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is4sinc-my.sharepoint.us/personal/clayten_tew_is4s_com/Documents/Orbital Fuze Development/Fireset_Phase_II/Component Resources/LM5156 Flyback Controller/snvc240a/"/>
    </mc:Choice>
  </mc:AlternateContent>
  <xr:revisionPtr revIDLastSave="0" documentId="8_{6B46ACFB-29C5-4292-9777-4A0BBDF6DACF}" xr6:coauthVersionLast="47" xr6:coauthVersionMax="47" xr10:uidLastSave="{00000000-0000-0000-0000-000000000000}"/>
  <workbookProtection workbookAlgorithmName="SHA-512" workbookHashValue="ecsVMYdm8qV5rN1GbykNvXcjtPPh1nWNeR+UEnbZTdUkV7Lo09fWtWHFdYM/YC/FRi3V1qgiMpJ01grWRtux7g==" workbookSaltValue="qM2vDIINA5RqckmIWGlLjw==" workbookSpinCount="100000" lockStructure="1"/>
  <bookViews>
    <workbookView xWindow="-108" yWindow="-108" windowWidth="23256" windowHeight="12576" tabRatio="730" xr2:uid="{00000000-000D-0000-FFFF-FFFF00000000}"/>
  </bookViews>
  <sheets>
    <sheet name="Design Converter" sheetId="1" r:id="rId1"/>
    <sheet name="Licenses" sheetId="12" r:id="rId2"/>
    <sheet name="Variable_Management" sheetId="2" state="hidden" r:id="rId3"/>
    <sheet name="CCM_Loop_Modeling_Isolated" sheetId="10" state="hidden" r:id="rId4"/>
    <sheet name="CCM_Loop_Modeling_non_isolated" sheetId="5" state="hidden" r:id="rId5"/>
    <sheet name="Eff_vs_IOUT" sheetId="4" state="hidden" r:id="rId6"/>
    <sheet name="Constants" sheetId="3" state="hidden" r:id="rId7"/>
    <sheet name="Plot_Management_Eff" sheetId="6" state="hidden" r:id="rId8"/>
    <sheet name="Lists" sheetId="8" state="hidden" r:id="rId9"/>
    <sheet name="Plot Management_Loop" sheetId="9" state="hidden" r:id="rId10"/>
    <sheet name="Plot Management_Sch" sheetId="11" state="hidden" r:id="rId11"/>
  </sheets>
  <definedNames>
    <definedName name="Acs">Constants!$B$32</definedName>
    <definedName name="Adc" localSheetId="3">CCM_Loop_Modeling_Isolated!$B$41</definedName>
    <definedName name="Adc">CCM_Loop_Modeling_non_isolated!$B$41</definedName>
    <definedName name="Adc_ea">CCM_Loop_Modeling_non_isolated!$B$69</definedName>
    <definedName name="Adc_ea_iso" localSheetId="3">CCM_Loop_Modeling_Isolated!$B$69</definedName>
    <definedName name="ADC_VINmin">Variable_Management!$B$178</definedName>
    <definedName name="CCOMP">Variable_Management!$B$270</definedName>
    <definedName name="CComp_calc">Variable_Management!$B$269</definedName>
    <definedName name="Ccomp_iso">Variable_Management!$B$231</definedName>
    <definedName name="Ccomp_iso_calc">Variable_Management!$B$230</definedName>
    <definedName name="CD3_">Variable_Management!$B$37</definedName>
    <definedName name="CHF">Variable_Management!$B$272</definedName>
    <definedName name="Comp_calc">Variable_Management!$B$269</definedName>
    <definedName name="Copto">Variable_Management!$B$213</definedName>
    <definedName name="Cout_total">Variable_Management!$B$150</definedName>
    <definedName name="Cout1">Variable_Management!$B$130</definedName>
    <definedName name="Cout1_min">Variable_Management!$B$128</definedName>
    <definedName name="Cout2">Variable_Management!$B$138</definedName>
    <definedName name="Cout2_min">Variable_Management!$B$136</definedName>
    <definedName name="Cout3">Variable_Management!$B$146</definedName>
    <definedName name="Cout3_min">Variable_Management!$B$144</definedName>
    <definedName name="D_limit_max">Constants!$B$20</definedName>
    <definedName name="D_limit_min">Constants!$B$18</definedName>
    <definedName name="D_limit_nom">Constants!$B$19</definedName>
    <definedName name="Dc_max_IC" localSheetId="3">Variable_Management!#REF!</definedName>
    <definedName name="Dc_max_IC">Variable_Management!#REF!</definedName>
    <definedName name="Dc_max_ideal" localSheetId="3">Variable_Management!#REF!</definedName>
    <definedName name="Dc_max_ideal">Variable_Management!#REF!</definedName>
    <definedName name="Dc_rip_max" localSheetId="3">Variable_Management!#REF!</definedName>
    <definedName name="Dc_rip_max">Variable_Management!#REF!</definedName>
    <definedName name="Dc_var_ccm" localSheetId="3">CCM_Loop_Modeling_Isolated!$B$40</definedName>
    <definedName name="Dc_var_ccm">CCM_Loop_Modeling_non_isolated!$B$40</definedName>
    <definedName name="Dc_VIN_max">Variable_Management!$B$59</definedName>
    <definedName name="Dc_VIN_min">Variable_Management!$B$57</definedName>
    <definedName name="Dc_VIN_nom">Variable_Management!$B$58</definedName>
    <definedName name="disp_test">INDIRECT(#REF!)</definedName>
    <definedName name="display_eff">INDIRECT(Plot_Management_Eff!$B$2)</definedName>
    <definedName name="display_LOOP">INDIRECT('Plot Management_Loop'!$A$2)</definedName>
    <definedName name="display_Sch">INDIRECT('Plot Management_Sch'!$A$1)</definedName>
    <definedName name="Dmax_limit">Variable_Management!$B$52</definedName>
    <definedName name="EFF_est">Variable_Management!$B$41</definedName>
    <definedName name="Eff_OUT_1">Plot_Management_Eff!$C$3</definedName>
    <definedName name="Eff_OUT_2">Plot_Management_Eff!$C$6</definedName>
    <definedName name="Eff_OUT_3">Plot_Management_Eff!$C$9</definedName>
    <definedName name="Eff_vs_IOUT">Plot_Management_Eff!$C$3</definedName>
    <definedName name="EN_OUT_2">Variable_Management!$B$23</definedName>
    <definedName name="EN_OUT_3">Variable_Management!$B$32</definedName>
    <definedName name="FB_type">Variable_Management!$B$175</definedName>
    <definedName name="fcross">Variable_Management!$B$253</definedName>
    <definedName name="fcross_est">Variable_Management!$B$252</definedName>
    <definedName name="fcross_iso">Variable_Management!$B$226</definedName>
    <definedName name="fcross_iso_est">Variable_Management!$B$225</definedName>
    <definedName name="fopto">Variable_Management!$B$218</definedName>
    <definedName name="fp_ea_est">Variable_Management!$B$263</definedName>
    <definedName name="Fsw">Variable_Management!$B$10</definedName>
    <definedName name="fz_ea_est">Variable_Management!$B$261</definedName>
    <definedName name="fz_rhp">Variable_Management!$B$187</definedName>
    <definedName name="Gcomp">Constants!$B$31</definedName>
    <definedName name="Gea_mid_calc">Variable_Management!$B$257</definedName>
    <definedName name="gfs">Variable_Management!$B$284</definedName>
    <definedName name="gm_ea">Constants!$B$36</definedName>
    <definedName name="Gplant_fc_dB" localSheetId="3">CCM_Loop_Modeling_Isolated!$AD$7</definedName>
    <definedName name="Gplant_fc_dB">CCM_Loop_Modeling_non_isolated!$AD$7</definedName>
    <definedName name="Icomp_sink_max">Constants!$B$38</definedName>
    <definedName name="IIN_33" localSheetId="3">Variable_Management!#REF!</definedName>
    <definedName name="IIN_33">Variable_Management!#REF!</definedName>
    <definedName name="IL_avg_VIN_max">Variable_Management!$B$88</definedName>
    <definedName name="IL_avg_VIN_min">Variable_Management!$B$80</definedName>
    <definedName name="IL_avg_VIN_nom">Variable_Management!$B$84</definedName>
    <definedName name="IL_pk">Variable_Management!$B$113</definedName>
    <definedName name="IL_pk_max">Variable_Management!$B$114</definedName>
    <definedName name="ILp_VINmax">Variable_Management!$B$90</definedName>
    <definedName name="ILp_VINmin">Variable_Management!$B$82</definedName>
    <definedName name="ILp_VINnom">Variable_Management!$B$86</definedName>
    <definedName name="ILrip">Variable_Management!$B$74</definedName>
    <definedName name="ILrip_VINmax">Variable_Management!$B$89</definedName>
    <definedName name="ILrip_VINmin">Variable_Management!$B$81</definedName>
    <definedName name="ILrip_VINnom">Variable_Management!$B$85</definedName>
    <definedName name="IOUT1">Variable_Management!$B$16</definedName>
    <definedName name="IOUT2">Variable_Management!$B$25</definedName>
    <definedName name="IOUT3">Variable_Management!$B$34</definedName>
    <definedName name="Ipk_margin">Variable_Management!$B$93</definedName>
    <definedName name="Ipk_selected">Variable_Management!$B$94</definedName>
    <definedName name="IQ">Constants!$B$56</definedName>
    <definedName name="IRMS_COUT">Variable_Management!$B$129</definedName>
    <definedName name="Isl">Constants!$B$27</definedName>
    <definedName name="Iss">Constants!$B$45</definedName>
    <definedName name="kopto_max">Variable_Management!$B$211</definedName>
    <definedName name="kopto_min">Variable_Management!$B$210</definedName>
    <definedName name="Kslope">Variable_Management!$B$101</definedName>
    <definedName name="Lm">Variable_Management!$B$76</definedName>
    <definedName name="LOOP_ISO">'Plot Management_Loop'!$B$5</definedName>
    <definedName name="LOOP_ISO_1">#REF!</definedName>
    <definedName name="Loop_look_2">#REF!</definedName>
    <definedName name="LOOP_nISO">'Plot Management_Loop'!$B$3</definedName>
    <definedName name="LOOP_nISO_1">#REF!</definedName>
    <definedName name="Loop_Pictures">INDEX(#REF!,MATCH(#REF!,#REF!,0))</definedName>
    <definedName name="LoopLookup">INDEX('Plot Management_Loop'!$B$3:$B$4,MATCH('Plot Management_Loop'!$A$2,'Plot Management_Loop'!$D$3:$D$4,0))</definedName>
    <definedName name="Lopt" localSheetId="3">Variable_Management!#REF!</definedName>
    <definedName name="Lopt">Variable_Management!#REF!</definedName>
    <definedName name="Lopt_2" localSheetId="3">Variable_Management!#REF!</definedName>
    <definedName name="Lopt_2">Variable_Management!#REF!</definedName>
    <definedName name="mc" localSheetId="3">CCM_Loop_Modeling_Isolated!$B$53</definedName>
    <definedName name="mc">CCM_Loop_Modeling_non_isolated!$B$53</definedName>
    <definedName name="Np">Variable_Management!$B$51</definedName>
    <definedName name="NS1_">Variable_Management!$B$54</definedName>
    <definedName name="NS2_">Variable_Management!$B$64</definedName>
    <definedName name="NS3_">Variable_Management!$B$69</definedName>
    <definedName name="POUT_Total">Variable_Management!$B$40</definedName>
    <definedName name="Pout_var" localSheetId="3">CCM_Loop_Modeling_Isolated!$B$17</definedName>
    <definedName name="Pout_var">CCM_Loop_Modeling_non_isolated!$B$17</definedName>
    <definedName name="POUT1">Variable_Management!$B$18</definedName>
    <definedName name="POUT2">Variable_Management!$B$27</definedName>
    <definedName name="POUT3">Variable_Management!$B$36</definedName>
    <definedName name="_xlnm.Print_Area" localSheetId="0">'Design Converter'!$A$1:$AE$123</definedName>
    <definedName name="Q" localSheetId="3">CCM_Loop_Modeling_Isolated!$B$55</definedName>
    <definedName name="Q">CCM_Loop_Modeling_non_isolated!$B$55</definedName>
    <definedName name="Q_VINmin">Variable_Management!$B$195</definedName>
    <definedName name="Qg_tot">Variable_Management!$B$279</definedName>
    <definedName name="Qgd">Variable_Management!$B$280</definedName>
    <definedName name="Qgs">Variable_Management!$B$281</definedName>
    <definedName name="Qrr">Variable_Management!#REF!</definedName>
    <definedName name="QRR1_">Variable_Management!$B$20</definedName>
    <definedName name="QRR2_">Variable_Management!$B$29</definedName>
    <definedName name="QRR3_">Variable_Management!$B$38</definedName>
    <definedName name="R_cs">Variable_Management!$B$109</definedName>
    <definedName name="R_sl">Variable_Management!$B$110</definedName>
    <definedName name="RCOMP">Variable_Management!$B$268</definedName>
    <definedName name="Rcomp_calc">Variable_Management!$B$267</definedName>
    <definedName name="Rcomp_iso">Variable_Management!$B$229</definedName>
    <definedName name="Rcs_max">Variable_Management!$B$98</definedName>
    <definedName name="Rcs_w_sl">Variable_Management!$B$102</definedName>
    <definedName name="Rcs_wo_sl">Variable_Management!$B$99</definedName>
    <definedName name="Rdcr">Variable_Management!$B$77</definedName>
    <definedName name="Rdcr1">Variable_Management!$B$55</definedName>
    <definedName name="Rdcr2">Variable_Management!$B$66</definedName>
    <definedName name="Rdcr3">Variable_Management!$B$71</definedName>
    <definedName name="RDS_on">Variable_Management!$B$278</definedName>
    <definedName name="Resr_total">Variable_Management!$B$151</definedName>
    <definedName name="Resr1">Variable_Management!$B$131</definedName>
    <definedName name="Resr2">Variable_Management!$B$139</definedName>
    <definedName name="Resr2_Trans">Variable_Management!$B$140</definedName>
    <definedName name="Resr3">Variable_Management!$B$147</definedName>
    <definedName name="Resr3_Trans">Variable_Management!$B$148</definedName>
    <definedName name="RFBB">Variable_Management!$B$240</definedName>
    <definedName name="RFBB_calc">Variable_Management!$B$239</definedName>
    <definedName name="RFBB_iso">Variable_Management!$B$207</definedName>
    <definedName name="RFBB_iso_calc">Variable_Management!$B$206</definedName>
    <definedName name="RFBT">Variable_Management!$B$238</definedName>
    <definedName name="RFBT_iso">Variable_Management!$B$205</definedName>
    <definedName name="Rgate">Variable_Management!$B$282</definedName>
    <definedName name="RLED">Variable_Management!$B$220</definedName>
    <definedName name="ROUT1">Variable_Management!$B$17</definedName>
    <definedName name="ROUT2">Variable_Management!$B$26</definedName>
    <definedName name="ROUT3">Variable_Management!$B$35</definedName>
    <definedName name="Rpullup">Variable_Management!$B$217</definedName>
    <definedName name="Rpullup_min">Variable_Management!$B$216</definedName>
    <definedName name="Rsl_int">Constants!$B$28</definedName>
    <definedName name="RT">Variable_Management!$B$11</definedName>
    <definedName name="Ruvlo_bottom_calc">Variable_Management!$B$168</definedName>
    <definedName name="Ruvlo_top">Variable_Management!$B$167</definedName>
    <definedName name="Ruvlo_top_calc">Variable_Management!$B$166</definedName>
    <definedName name="SCH_1">#REF!</definedName>
    <definedName name="sch_ISO_1">'Plot Management_Sch'!$F$6</definedName>
    <definedName name="sch_ISO_2">'Plot Management_Sch'!$D$6</definedName>
    <definedName name="sch_ISO_3">'Plot Management_Sch'!$B$6</definedName>
    <definedName name="sch_nISO_1">'Plot Management_Sch'!$F$4</definedName>
    <definedName name="sch_nISO_2">'Plot Management_Sch'!$D$4</definedName>
    <definedName name="sch_nISO_3">'Plot Management_Sch'!$B$4</definedName>
    <definedName name="Se_VINmin">Variable_Management!$B$191</definedName>
    <definedName name="Sn_VINmin">Variable_Management!$B$192</definedName>
    <definedName name="tf_sw">Variable_Management!$B$291</definedName>
    <definedName name="tr_sw">Variable_Management!$B$290</definedName>
    <definedName name="tss">Variable_Management!$B$157</definedName>
    <definedName name="UV_fall">Constants!$B$49</definedName>
    <definedName name="UV_I_hyst">Constants!$B$50</definedName>
    <definedName name="UV_rise">Constants!$B$48</definedName>
    <definedName name="Vcc">Constants!$B$53</definedName>
    <definedName name="VCE_sat">Variable_Management!$B$214</definedName>
    <definedName name="Vcl">Constants!$B$29</definedName>
    <definedName name="Vcomp_max">Constants!$B$37</definedName>
    <definedName name="VD">Constants!$B$8</definedName>
    <definedName name="Vd_opto">Variable_Management!$B$212</definedName>
    <definedName name="Vd_rect">Variable_Management!#REF!</definedName>
    <definedName name="VD1_">Variable_Management!$B$19</definedName>
    <definedName name="VD2_">Variable_Management!$B$28</definedName>
    <definedName name="VD3_">Variable_Management!$B$37</definedName>
    <definedName name="VIN_33" localSheetId="3">Variable_Management!#REF!</definedName>
    <definedName name="VIN_33">Variable_Management!#REF!</definedName>
    <definedName name="VIN_max">Variable_Management!$B$9</definedName>
    <definedName name="VIN_min">Variable_Management!$B$7</definedName>
    <definedName name="VIN_nom">Variable_Management!$B$8</definedName>
    <definedName name="VIN_op_max">Constants!$B$60</definedName>
    <definedName name="VIN_op_max_56">Constants!$B$61</definedName>
    <definedName name="VIN_op_min">Constants!$B$59</definedName>
    <definedName name="VIN_var">Variable_Management!$B$8</definedName>
    <definedName name="VOUT1">Variable_Management!$B$15</definedName>
    <definedName name="Vout1_rip_sel">Variable_Management!$B$126</definedName>
    <definedName name="VOUT2">Variable_Management!$B$24</definedName>
    <definedName name="Vout2_rip_sel">Variable_Management!$B$134</definedName>
    <definedName name="VOUT3">Variable_Management!$B$33</definedName>
    <definedName name="Vout3_rip_sel">Variable_Management!$B$142</definedName>
    <definedName name="Vpullup">Variable_Management!$B$215</definedName>
    <definedName name="Vref">Constants!$B$35</definedName>
    <definedName name="Vref_iso">Variable_Management!$B$204</definedName>
    <definedName name="Vth">Variable_Management!$B$285</definedName>
    <definedName name="Vuvlo_off">Variable_Management!$B$162</definedName>
    <definedName name="Vuvlo_on">Variable_Management!$B$161</definedName>
    <definedName name="wp_lf" localSheetId="3">CCM_Loop_Modeling_Isolated!$B$42</definedName>
    <definedName name="wp_lf">CCM_Loop_Modeling_non_isolated!$B$42</definedName>
    <definedName name="wp_lf_VINmin">Variable_Management!$B$180</definedName>
    <definedName name="wp0_ea">CCM_Loop_Modeling_non_isolated!$B$71</definedName>
    <definedName name="wp1_ea">CCM_Loop_Modeling_non_isolated!$B$72</definedName>
    <definedName name="wpA_ea_iso" localSheetId="3">CCM_Loop_Modeling_Isolated!$B$72</definedName>
    <definedName name="wpB_ea_iso" localSheetId="3">CCM_Loop_Modeling_Isolated!$B$73</definedName>
    <definedName name="wpC_ea_iso">CCM_Loop_Modeling_Isolated!$B$74</definedName>
    <definedName name="wsl" localSheetId="3">CCM_Loop_Modeling_Isolated!$B$54</definedName>
    <definedName name="wsl">CCM_Loop_Modeling_non_isolated!$B$54</definedName>
    <definedName name="wsl_VINmin">Variable_Management!$B$194</definedName>
    <definedName name="wz_ea">CCM_Loop_Modeling_non_isolated!$B$70</definedName>
    <definedName name="wz_esr" localSheetId="3">CCM_Loop_Modeling_Isolated!$B$48</definedName>
    <definedName name="wz_esr">CCM_Loop_Modeling_non_isolated!$B$48</definedName>
    <definedName name="wz_esr_VINmin">Variable_Management!$B$183</definedName>
    <definedName name="wz_rhp" localSheetId="3">CCM_Loop_Modeling_Isolated!$B$45</definedName>
    <definedName name="wz_rhp">CCM_Loop_Modeling_non_isolated!$B$45</definedName>
    <definedName name="wz_RHP_VINmin">Variable_Management!$B$186</definedName>
    <definedName name="wz1_ea_iso">CCM_Loop_Modeling_Isolated!$B$70</definedName>
    <definedName name="wz2_ea_iso" localSheetId="3">CCM_Loop_Modeling_Isolated!$B$71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K229" i="2" l="1"/>
  <c r="H230" i="2"/>
  <c r="B134" i="2" l="1"/>
  <c r="A1" i="11" l="1"/>
  <c r="A2" i="9"/>
  <c r="I5" i="9" s="1"/>
  <c r="B2" i="6" l="1"/>
  <c r="B32" i="2" l="1"/>
  <c r="B23" i="2"/>
  <c r="B28" i="2" l="1"/>
  <c r="B20" i="2"/>
  <c r="B19" i="2"/>
  <c r="B55" i="2" l="1"/>
  <c r="O560" i="10" l="1"/>
  <c r="O559" i="10"/>
  <c r="O558" i="10"/>
  <c r="O557" i="10"/>
  <c r="O556" i="10"/>
  <c r="O555" i="10"/>
  <c r="O554" i="10"/>
  <c r="O553" i="10"/>
  <c r="O552" i="10"/>
  <c r="O551" i="10"/>
  <c r="O550" i="10"/>
  <c r="O549" i="10"/>
  <c r="O548" i="10"/>
  <c r="O547" i="10"/>
  <c r="O546" i="10"/>
  <c r="O545" i="10"/>
  <c r="O544" i="10"/>
  <c r="O543" i="10"/>
  <c r="O542" i="10"/>
  <c r="O541" i="10"/>
  <c r="O540" i="10"/>
  <c r="O539" i="10"/>
  <c r="O538" i="10"/>
  <c r="O537" i="10"/>
  <c r="O536" i="10"/>
  <c r="O535" i="10"/>
  <c r="O534" i="10"/>
  <c r="O533" i="10"/>
  <c r="O532" i="10"/>
  <c r="O531" i="10"/>
  <c r="O530" i="10"/>
  <c r="O529" i="10"/>
  <c r="O528" i="10"/>
  <c r="O527" i="10"/>
  <c r="O526" i="10"/>
  <c r="O525" i="10"/>
  <c r="O524" i="10"/>
  <c r="O523" i="10"/>
  <c r="O522" i="10"/>
  <c r="O521" i="10"/>
  <c r="O520" i="10"/>
  <c r="O519" i="10"/>
  <c r="O518" i="10"/>
  <c r="O517" i="10"/>
  <c r="O516" i="10"/>
  <c r="O515" i="10"/>
  <c r="O514" i="10"/>
  <c r="O513" i="10"/>
  <c r="O512" i="10"/>
  <c r="O511" i="10"/>
  <c r="O510" i="10"/>
  <c r="O509" i="10"/>
  <c r="O508" i="10"/>
  <c r="O507" i="10"/>
  <c r="O506" i="10"/>
  <c r="O505" i="10"/>
  <c r="O504" i="10"/>
  <c r="O503" i="10"/>
  <c r="O502" i="10"/>
  <c r="O501" i="10"/>
  <c r="O500" i="10"/>
  <c r="O499" i="10"/>
  <c r="O498" i="10"/>
  <c r="O497" i="10"/>
  <c r="O496" i="10"/>
  <c r="O495" i="10"/>
  <c r="O494" i="10"/>
  <c r="O493" i="10"/>
  <c r="O492" i="10"/>
  <c r="O491" i="10"/>
  <c r="O490" i="10"/>
  <c r="O489" i="10"/>
  <c r="O488" i="10"/>
  <c r="O487" i="10"/>
  <c r="O486" i="10"/>
  <c r="O485" i="10"/>
  <c r="O484" i="10"/>
  <c r="O483" i="10"/>
  <c r="O482" i="10"/>
  <c r="O481" i="10"/>
  <c r="O480" i="10"/>
  <c r="O479" i="10"/>
  <c r="O478" i="10"/>
  <c r="O477" i="10"/>
  <c r="O476" i="10"/>
  <c r="O475" i="10"/>
  <c r="O474" i="10"/>
  <c r="O473" i="10"/>
  <c r="O472" i="10"/>
  <c r="O471" i="10"/>
  <c r="O470" i="10"/>
  <c r="O469" i="10"/>
  <c r="O468" i="10"/>
  <c r="O467" i="10"/>
  <c r="O466" i="10"/>
  <c r="O465" i="10"/>
  <c r="O464" i="10"/>
  <c r="O463" i="10"/>
  <c r="O462" i="10"/>
  <c r="O461" i="10"/>
  <c r="O460" i="10"/>
  <c r="O459" i="10"/>
  <c r="O458" i="10"/>
  <c r="O457" i="10"/>
  <c r="O456" i="10"/>
  <c r="O455" i="10"/>
  <c r="O454" i="10"/>
  <c r="O453" i="10"/>
  <c r="O452" i="10"/>
  <c r="O451" i="10"/>
  <c r="O450" i="10"/>
  <c r="O449" i="10"/>
  <c r="O448" i="10"/>
  <c r="O447" i="10"/>
  <c r="O446" i="10"/>
  <c r="O445" i="10"/>
  <c r="O444" i="10"/>
  <c r="O443" i="10"/>
  <c r="O442" i="10"/>
  <c r="O441" i="10"/>
  <c r="O440" i="10"/>
  <c r="O439" i="10"/>
  <c r="O438" i="10"/>
  <c r="O437" i="10"/>
  <c r="O436" i="10"/>
  <c r="O435" i="10"/>
  <c r="O434" i="10"/>
  <c r="O433" i="10"/>
  <c r="O432" i="10"/>
  <c r="O431" i="10"/>
  <c r="O430" i="10"/>
  <c r="O429" i="10"/>
  <c r="O428" i="10"/>
  <c r="O427" i="10"/>
  <c r="O426" i="10"/>
  <c r="O425" i="10"/>
  <c r="O424" i="10"/>
  <c r="O423" i="10"/>
  <c r="O422" i="10"/>
  <c r="O421" i="10"/>
  <c r="O420" i="10"/>
  <c r="O419" i="10"/>
  <c r="O418" i="10"/>
  <c r="O417" i="10"/>
  <c r="O416" i="10"/>
  <c r="O415" i="10"/>
  <c r="O414" i="10"/>
  <c r="O413" i="10"/>
  <c r="O412" i="10"/>
  <c r="O411" i="10"/>
  <c r="O410" i="10"/>
  <c r="O409" i="10"/>
  <c r="O408" i="10"/>
  <c r="O407" i="10"/>
  <c r="O406" i="10"/>
  <c r="O405" i="10"/>
  <c r="O404" i="10"/>
  <c r="O403" i="10"/>
  <c r="O402" i="10"/>
  <c r="O401" i="10"/>
  <c r="O400" i="10"/>
  <c r="O399" i="10"/>
  <c r="O398" i="10"/>
  <c r="O397" i="10"/>
  <c r="O396" i="10"/>
  <c r="O395" i="10"/>
  <c r="O394" i="10"/>
  <c r="O393" i="10"/>
  <c r="O392" i="10"/>
  <c r="O391" i="10"/>
  <c r="O390" i="10"/>
  <c r="O389" i="10"/>
  <c r="O388" i="10"/>
  <c r="O387" i="10"/>
  <c r="O386" i="10"/>
  <c r="O385" i="10"/>
  <c r="O384" i="10"/>
  <c r="O383" i="10"/>
  <c r="O382" i="10"/>
  <c r="O381" i="10"/>
  <c r="O380" i="10"/>
  <c r="O379" i="10"/>
  <c r="O378" i="10"/>
  <c r="O377" i="10"/>
  <c r="O376" i="10"/>
  <c r="O375" i="10"/>
  <c r="O374" i="10"/>
  <c r="O373" i="10"/>
  <c r="O372" i="10"/>
  <c r="O371" i="10"/>
  <c r="O370" i="10"/>
  <c r="O369" i="10"/>
  <c r="O368" i="10"/>
  <c r="O367" i="10"/>
  <c r="O366" i="10"/>
  <c r="O365" i="10"/>
  <c r="O364" i="10"/>
  <c r="O363" i="10"/>
  <c r="O362" i="10"/>
  <c r="O361" i="10"/>
  <c r="O360" i="10"/>
  <c r="O359" i="10"/>
  <c r="O358" i="10"/>
  <c r="O357" i="10"/>
  <c r="O356" i="10"/>
  <c r="O355" i="10"/>
  <c r="O354" i="10"/>
  <c r="O353" i="10"/>
  <c r="O352" i="10"/>
  <c r="O351" i="10"/>
  <c r="O350" i="10"/>
  <c r="O349" i="10"/>
  <c r="O348" i="10"/>
  <c r="O347" i="10"/>
  <c r="O346" i="10"/>
  <c r="O345" i="10"/>
  <c r="O344" i="10"/>
  <c r="O343" i="10"/>
  <c r="O342" i="10"/>
  <c r="O341" i="10"/>
  <c r="O340" i="10"/>
  <c r="O339" i="10"/>
  <c r="O338" i="10"/>
  <c r="O337" i="10"/>
  <c r="O336" i="10"/>
  <c r="O335" i="10"/>
  <c r="O334" i="10"/>
  <c r="O333" i="10"/>
  <c r="O332" i="10"/>
  <c r="O331" i="10"/>
  <c r="O330" i="10"/>
  <c r="O329" i="10"/>
  <c r="O328" i="10"/>
  <c r="O327" i="10"/>
  <c r="O326" i="10"/>
  <c r="O325" i="10"/>
  <c r="O324" i="10"/>
  <c r="O323" i="10"/>
  <c r="O322" i="10"/>
  <c r="O321" i="10"/>
  <c r="O320" i="10"/>
  <c r="O319" i="10"/>
  <c r="O318" i="10"/>
  <c r="O317" i="10"/>
  <c r="O316" i="10"/>
  <c r="O315" i="10"/>
  <c r="O314" i="10"/>
  <c r="O313" i="10"/>
  <c r="O312" i="10"/>
  <c r="O311" i="10"/>
  <c r="O310" i="10"/>
  <c r="O309" i="10"/>
  <c r="O308" i="10"/>
  <c r="O307" i="10"/>
  <c r="O306" i="10"/>
  <c r="O305" i="10"/>
  <c r="O304" i="10"/>
  <c r="O303" i="10"/>
  <c r="O302" i="10"/>
  <c r="O301" i="10"/>
  <c r="O300" i="10"/>
  <c r="O299" i="10"/>
  <c r="O298" i="10"/>
  <c r="O297" i="10"/>
  <c r="O296" i="10"/>
  <c r="O295" i="10"/>
  <c r="O294" i="10"/>
  <c r="O293" i="10"/>
  <c r="O292" i="10"/>
  <c r="O291" i="10"/>
  <c r="O290" i="10"/>
  <c r="O289" i="10"/>
  <c r="O288" i="10"/>
  <c r="O287" i="10"/>
  <c r="O286" i="10"/>
  <c r="O285" i="10"/>
  <c r="O284" i="10"/>
  <c r="O283" i="10"/>
  <c r="O282" i="10"/>
  <c r="O281" i="10"/>
  <c r="O280" i="10"/>
  <c r="O279" i="10"/>
  <c r="O278" i="10"/>
  <c r="O277" i="10"/>
  <c r="O276" i="10"/>
  <c r="O275" i="10"/>
  <c r="O274" i="10"/>
  <c r="O273" i="10"/>
  <c r="O272" i="10"/>
  <c r="O271" i="10"/>
  <c r="O270" i="10"/>
  <c r="O269" i="10"/>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238" i="10"/>
  <c r="O237" i="10"/>
  <c r="O236" i="10"/>
  <c r="O235" i="10"/>
  <c r="O234" i="10"/>
  <c r="O233" i="10"/>
  <c r="O232" i="10"/>
  <c r="O231" i="10"/>
  <c r="O230" i="10"/>
  <c r="O229" i="10"/>
  <c r="O228" i="10"/>
  <c r="O227" i="10"/>
  <c r="O226" i="10"/>
  <c r="O225" i="10"/>
  <c r="O224" i="10"/>
  <c r="O223" i="10"/>
  <c r="O222" i="10"/>
  <c r="O221" i="10"/>
  <c r="O220" i="10"/>
  <c r="O219" i="10"/>
  <c r="O218" i="10"/>
  <c r="O217" i="10"/>
  <c r="O216" i="10"/>
  <c r="O215" i="10"/>
  <c r="O214" i="10"/>
  <c r="O213" i="10"/>
  <c r="O212"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B36" i="10"/>
  <c r="O35" i="10"/>
  <c r="O34" i="10"/>
  <c r="O33" i="10"/>
  <c r="B33" i="10"/>
  <c r="O32" i="10"/>
  <c r="O31" i="10"/>
  <c r="O30" i="10"/>
  <c r="O29" i="10"/>
  <c r="O28" i="10"/>
  <c r="O27" i="10"/>
  <c r="O26" i="10"/>
  <c r="O25" i="10"/>
  <c r="O24" i="10"/>
  <c r="O23" i="10"/>
  <c r="O22" i="10"/>
  <c r="O21" i="10"/>
  <c r="O20" i="10"/>
  <c r="O19" i="10"/>
  <c r="AG19" i="10" s="1"/>
  <c r="G222" i="2"/>
  <c r="F222" i="2"/>
  <c r="B220" i="2"/>
  <c r="B214" i="2"/>
  <c r="B226" i="2"/>
  <c r="B217" i="2"/>
  <c r="B215" i="2"/>
  <c r="B216" i="2" s="1"/>
  <c r="H76" i="1" s="1"/>
  <c r="B213" i="2"/>
  <c r="I72" i="10" s="1"/>
  <c r="B38" i="3"/>
  <c r="B212" i="2"/>
  <c r="B211" i="2"/>
  <c r="B210" i="2"/>
  <c r="B205" i="2"/>
  <c r="B63" i="10" s="1"/>
  <c r="B204" i="2"/>
  <c r="E232" i="2" l="1"/>
  <c r="K222" i="2"/>
  <c r="AG31" i="10"/>
  <c r="AG33" i="10"/>
  <c r="AG39" i="10"/>
  <c r="AG47" i="10"/>
  <c r="AG57" i="10"/>
  <c r="AG69" i="10"/>
  <c r="AG81" i="10"/>
  <c r="AG89" i="10"/>
  <c r="AG97" i="10"/>
  <c r="AG105" i="10"/>
  <c r="AG113" i="10"/>
  <c r="AG121" i="10"/>
  <c r="AG129" i="10"/>
  <c r="AG137" i="10"/>
  <c r="AG145" i="10"/>
  <c r="AG153" i="10"/>
  <c r="AG161" i="10"/>
  <c r="AG165" i="10"/>
  <c r="AG173" i="10"/>
  <c r="AG181" i="10"/>
  <c r="AG189" i="10"/>
  <c r="AG197" i="10"/>
  <c r="AG205" i="10"/>
  <c r="AG213" i="10"/>
  <c r="AG221" i="10"/>
  <c r="AG229" i="10"/>
  <c r="AG237" i="10"/>
  <c r="AG245" i="10"/>
  <c r="AG253" i="10"/>
  <c r="AG261" i="10"/>
  <c r="AG269" i="10"/>
  <c r="AG277" i="10"/>
  <c r="AG285" i="10"/>
  <c r="AG289" i="10"/>
  <c r="AG297" i="10"/>
  <c r="AG305" i="10"/>
  <c r="AG313" i="10"/>
  <c r="AG321" i="10"/>
  <c r="AG329" i="10"/>
  <c r="AG337" i="10"/>
  <c r="AG349" i="10"/>
  <c r="AG353" i="10"/>
  <c r="AG361" i="10"/>
  <c r="AG369" i="10"/>
  <c r="AG377" i="10"/>
  <c r="AG385" i="10"/>
  <c r="AG397" i="10"/>
  <c r="AG405" i="10"/>
  <c r="AG413" i="10"/>
  <c r="AG421" i="10"/>
  <c r="AG429" i="10"/>
  <c r="AG437" i="10"/>
  <c r="AG445" i="10"/>
  <c r="AG453" i="10"/>
  <c r="AG461" i="10"/>
  <c r="AG469" i="10"/>
  <c r="AG477" i="10"/>
  <c r="AG485" i="10"/>
  <c r="AG493" i="10"/>
  <c r="AG497" i="10"/>
  <c r="AG505" i="10"/>
  <c r="AG517" i="10"/>
  <c r="AG525" i="10"/>
  <c r="AG533" i="10"/>
  <c r="AG537" i="10"/>
  <c r="AG545" i="10"/>
  <c r="AG553" i="10"/>
  <c r="AG20" i="10"/>
  <c r="AG26" i="10"/>
  <c r="AG36" i="10"/>
  <c r="AG48" i="10"/>
  <c r="AG58" i="10"/>
  <c r="AG66" i="10"/>
  <c r="AG78" i="10"/>
  <c r="AG86" i="10"/>
  <c r="AG94" i="10"/>
  <c r="AG102" i="10"/>
  <c r="AG110" i="10"/>
  <c r="AG118" i="10"/>
  <c r="AG126" i="10"/>
  <c r="AG138" i="10"/>
  <c r="AG146" i="10"/>
  <c r="AG154" i="10"/>
  <c r="AG162" i="10"/>
  <c r="AG170" i="10"/>
  <c r="AG178" i="10"/>
  <c r="AG186" i="10"/>
  <c r="AG194" i="10"/>
  <c r="AG202" i="10"/>
  <c r="AG206" i="10"/>
  <c r="AG214" i="10"/>
  <c r="AG222" i="10"/>
  <c r="AG230" i="10"/>
  <c r="AG238" i="10"/>
  <c r="AG246" i="10"/>
  <c r="AG254" i="10"/>
  <c r="AG262" i="10"/>
  <c r="AG270" i="10"/>
  <c r="AG282" i="10"/>
  <c r="AG290" i="10"/>
  <c r="AG298" i="10"/>
  <c r="AG306" i="10"/>
  <c r="AG314" i="10"/>
  <c r="AG322" i="10"/>
  <c r="AG330" i="10"/>
  <c r="AG338" i="10"/>
  <c r="AG346" i="10"/>
  <c r="AG354" i="10"/>
  <c r="AG362" i="10"/>
  <c r="AG370" i="10"/>
  <c r="AG378" i="10"/>
  <c r="AG386" i="10"/>
  <c r="AG394" i="10"/>
  <c r="AG402" i="10"/>
  <c r="AG410" i="10"/>
  <c r="AG414" i="10"/>
  <c r="AG422" i="10"/>
  <c r="AG434" i="10"/>
  <c r="AG442" i="10"/>
  <c r="AG450" i="10"/>
  <c r="AG454" i="10"/>
  <c r="AG458" i="10"/>
  <c r="AG466" i="10"/>
  <c r="AG470" i="10"/>
  <c r="AG474" i="10"/>
  <c r="AG478" i="10"/>
  <c r="AG482" i="10"/>
  <c r="AG486" i="10"/>
  <c r="AG490" i="10"/>
  <c r="AG494" i="10"/>
  <c r="AG498" i="10"/>
  <c r="AG502" i="10"/>
  <c r="AG506" i="10"/>
  <c r="AG510" i="10"/>
  <c r="AG514" i="10"/>
  <c r="AG518" i="10"/>
  <c r="AG522" i="10"/>
  <c r="AG526" i="10"/>
  <c r="AG530" i="10"/>
  <c r="AG538" i="10"/>
  <c r="AG542" i="10"/>
  <c r="AG546" i="10"/>
  <c r="AG550" i="10"/>
  <c r="AG554" i="10"/>
  <c r="AG558" i="10"/>
  <c r="AG21" i="10"/>
  <c r="AG27" i="10"/>
  <c r="AG30" i="10"/>
  <c r="AG32" i="10"/>
  <c r="AG34" i="10"/>
  <c r="AG37" i="10"/>
  <c r="AG41" i="10"/>
  <c r="AG45" i="10"/>
  <c r="AG49" i="10"/>
  <c r="AG52" i="10"/>
  <c r="AG55" i="10"/>
  <c r="AG59" i="10"/>
  <c r="AG63" i="10"/>
  <c r="AG67" i="10"/>
  <c r="AG71" i="10"/>
  <c r="AG75" i="10"/>
  <c r="AG79" i="10"/>
  <c r="AG83" i="10"/>
  <c r="AG87" i="10"/>
  <c r="AG91" i="10"/>
  <c r="AG95" i="10"/>
  <c r="AG99" i="10"/>
  <c r="AG103" i="10"/>
  <c r="AG107" i="10"/>
  <c r="AG111" i="10"/>
  <c r="AG115" i="10"/>
  <c r="AG119" i="10"/>
  <c r="AG123" i="10"/>
  <c r="AG127" i="10"/>
  <c r="AG131" i="10"/>
  <c r="AG135" i="10"/>
  <c r="AG139" i="10"/>
  <c r="AG143" i="10"/>
  <c r="AG147" i="10"/>
  <c r="AG151" i="10"/>
  <c r="AG155" i="10"/>
  <c r="AG159" i="10"/>
  <c r="AG163" i="10"/>
  <c r="AG167" i="10"/>
  <c r="AG171" i="10"/>
  <c r="AG175" i="10"/>
  <c r="AG179" i="10"/>
  <c r="AG183" i="10"/>
  <c r="AG187" i="10"/>
  <c r="AG191" i="10"/>
  <c r="AG195" i="10"/>
  <c r="AG199" i="10"/>
  <c r="AG203" i="10"/>
  <c r="AG207" i="10"/>
  <c r="AG211" i="10"/>
  <c r="AG215" i="10"/>
  <c r="AG219" i="10"/>
  <c r="AG223" i="10"/>
  <c r="AG227" i="10"/>
  <c r="AG231" i="10"/>
  <c r="AG235" i="10"/>
  <c r="AG239" i="10"/>
  <c r="AG243" i="10"/>
  <c r="AG247" i="10"/>
  <c r="AG251" i="10"/>
  <c r="AG255" i="10"/>
  <c r="AG259" i="10"/>
  <c r="AG263" i="10"/>
  <c r="AG267" i="10"/>
  <c r="AG271" i="10"/>
  <c r="AG275" i="10"/>
  <c r="AG279" i="10"/>
  <c r="AG283" i="10"/>
  <c r="AG287" i="10"/>
  <c r="AG291" i="10"/>
  <c r="AG295" i="10"/>
  <c r="AG299" i="10"/>
  <c r="AG303" i="10"/>
  <c r="AG307" i="10"/>
  <c r="AG311" i="10"/>
  <c r="AG315" i="10"/>
  <c r="AG319" i="10"/>
  <c r="AG323" i="10"/>
  <c r="AG327" i="10"/>
  <c r="AG331" i="10"/>
  <c r="AG335" i="10"/>
  <c r="AG339" i="10"/>
  <c r="AG343" i="10"/>
  <c r="AG347" i="10"/>
  <c r="AG351" i="10"/>
  <c r="AG355" i="10"/>
  <c r="AG359" i="10"/>
  <c r="AG363" i="10"/>
  <c r="AG367" i="10"/>
  <c r="AG371" i="10"/>
  <c r="AG375" i="10"/>
  <c r="AG379" i="10"/>
  <c r="AG383" i="10"/>
  <c r="AG387" i="10"/>
  <c r="AG391" i="10"/>
  <c r="AG395" i="10"/>
  <c r="AG399" i="10"/>
  <c r="AG403" i="10"/>
  <c r="AG407" i="10"/>
  <c r="AG411" i="10"/>
  <c r="AG415" i="10"/>
  <c r="AG419" i="10"/>
  <c r="AG423" i="10"/>
  <c r="AG427" i="10"/>
  <c r="AG431" i="10"/>
  <c r="AG435" i="10"/>
  <c r="AG439" i="10"/>
  <c r="AG443" i="10"/>
  <c r="AG447" i="10"/>
  <c r="AG451" i="10"/>
  <c r="AG455" i="10"/>
  <c r="AG459" i="10"/>
  <c r="AG463" i="10"/>
  <c r="AG467" i="10"/>
  <c r="AG471" i="10"/>
  <c r="AG475" i="10"/>
  <c r="AG479" i="10"/>
  <c r="AG483" i="10"/>
  <c r="AG487" i="10"/>
  <c r="AG491" i="10"/>
  <c r="AG495" i="10"/>
  <c r="AG499" i="10"/>
  <c r="AG503" i="10"/>
  <c r="AG507" i="10"/>
  <c r="AG511" i="10"/>
  <c r="AG515" i="10"/>
  <c r="AG519" i="10"/>
  <c r="AG523" i="10"/>
  <c r="AG527" i="10"/>
  <c r="AG531" i="10"/>
  <c r="AG535" i="10"/>
  <c r="AG539" i="10"/>
  <c r="AG543" i="10"/>
  <c r="AG547" i="10"/>
  <c r="AG551" i="10"/>
  <c r="AG555" i="10"/>
  <c r="AG559" i="10"/>
  <c r="AG23" i="10"/>
  <c r="AG43" i="10"/>
  <c r="AG61" i="10"/>
  <c r="AG65" i="10"/>
  <c r="AG73" i="10"/>
  <c r="AG77" i="10"/>
  <c r="AG85" i="10"/>
  <c r="AG93" i="10"/>
  <c r="AG101" i="10"/>
  <c r="AG109" i="10"/>
  <c r="AG117" i="10"/>
  <c r="AG125" i="10"/>
  <c r="AG133" i="10"/>
  <c r="AG141" i="10"/>
  <c r="AG149" i="10"/>
  <c r="AG157" i="10"/>
  <c r="AG169" i="10"/>
  <c r="AG177" i="10"/>
  <c r="AG185" i="10"/>
  <c r="AG193" i="10"/>
  <c r="AG201" i="10"/>
  <c r="AG209" i="10"/>
  <c r="AG217" i="10"/>
  <c r="AG225" i="10"/>
  <c r="AG233" i="10"/>
  <c r="AG241" i="10"/>
  <c r="AG249" i="10"/>
  <c r="AG257" i="10"/>
  <c r="AG265" i="10"/>
  <c r="AG273" i="10"/>
  <c r="AG281" i="10"/>
  <c r="AG293" i="10"/>
  <c r="AG301" i="10"/>
  <c r="AG309" i="10"/>
  <c r="AG317" i="10"/>
  <c r="AG325" i="10"/>
  <c r="AG333" i="10"/>
  <c r="AG341" i="10"/>
  <c r="AG345" i="10"/>
  <c r="AG357" i="10"/>
  <c r="AG365" i="10"/>
  <c r="AG373" i="10"/>
  <c r="AG381" i="10"/>
  <c r="AG389" i="10"/>
  <c r="AG393" i="10"/>
  <c r="AG401" i="10"/>
  <c r="AG409" i="10"/>
  <c r="AG417" i="10"/>
  <c r="AG425" i="10"/>
  <c r="AG433" i="10"/>
  <c r="AG441" i="10"/>
  <c r="AG449" i="10"/>
  <c r="AG457" i="10"/>
  <c r="AG465" i="10"/>
  <c r="AG473" i="10"/>
  <c r="AG481" i="10"/>
  <c r="AG489" i="10"/>
  <c r="AG501" i="10"/>
  <c r="AG509" i="10"/>
  <c r="AG513" i="10"/>
  <c r="AG521" i="10"/>
  <c r="AG529" i="10"/>
  <c r="AG541" i="10"/>
  <c r="AG549" i="10"/>
  <c r="AG557" i="10"/>
  <c r="AG24" i="10"/>
  <c r="AG29" i="10"/>
  <c r="AG40" i="10"/>
  <c r="AG44" i="10"/>
  <c r="AG51" i="10"/>
  <c r="AG54" i="10"/>
  <c r="AG62" i="10"/>
  <c r="AG70" i="10"/>
  <c r="AG74" i="10"/>
  <c r="AG82" i="10"/>
  <c r="AG90" i="10"/>
  <c r="AG98" i="10"/>
  <c r="AG106" i="10"/>
  <c r="AG114" i="10"/>
  <c r="AG122" i="10"/>
  <c r="AG130" i="10"/>
  <c r="AG134" i="10"/>
  <c r="AG142" i="10"/>
  <c r="AG150" i="10"/>
  <c r="AG158" i="10"/>
  <c r="AG166" i="10"/>
  <c r="AG174" i="10"/>
  <c r="AG182" i="10"/>
  <c r="AG190" i="10"/>
  <c r="AG198" i="10"/>
  <c r="AG210" i="10"/>
  <c r="AG218" i="10"/>
  <c r="AG226" i="10"/>
  <c r="AG234" i="10"/>
  <c r="AG242" i="10"/>
  <c r="AG250" i="10"/>
  <c r="AG258" i="10"/>
  <c r="AG266" i="10"/>
  <c r="AG274" i="10"/>
  <c r="AG278" i="10"/>
  <c r="AG286" i="10"/>
  <c r="AG294" i="10"/>
  <c r="AG302" i="10"/>
  <c r="AG310" i="10"/>
  <c r="AG318" i="10"/>
  <c r="AG326" i="10"/>
  <c r="AG334" i="10"/>
  <c r="AG342" i="10"/>
  <c r="AG350" i="10"/>
  <c r="AG358" i="10"/>
  <c r="AG366" i="10"/>
  <c r="AG374" i="10"/>
  <c r="AG382" i="10"/>
  <c r="AG390" i="10"/>
  <c r="AG398" i="10"/>
  <c r="AG406" i="10"/>
  <c r="AG418" i="10"/>
  <c r="AG426" i="10"/>
  <c r="AG430" i="10"/>
  <c r="AG438" i="10"/>
  <c r="AG446" i="10"/>
  <c r="AG462" i="10"/>
  <c r="AG534" i="10"/>
  <c r="AG22" i="10"/>
  <c r="AG25" i="10"/>
  <c r="AG28" i="10"/>
  <c r="AG35" i="10"/>
  <c r="AG38" i="10"/>
  <c r="AG42" i="10"/>
  <c r="AG46" i="10"/>
  <c r="AG50" i="10"/>
  <c r="AG53" i="10"/>
  <c r="AG56" i="10"/>
  <c r="AG60" i="10"/>
  <c r="AG64" i="10"/>
  <c r="AG68" i="10"/>
  <c r="AG72" i="10"/>
  <c r="AG76" i="10"/>
  <c r="AG80" i="10"/>
  <c r="AG84" i="10"/>
  <c r="AG88" i="10"/>
  <c r="AG92" i="10"/>
  <c r="AG96" i="10"/>
  <c r="AG100" i="10"/>
  <c r="AG104" i="10"/>
  <c r="AG108" i="10"/>
  <c r="AG112" i="10"/>
  <c r="AG116" i="10"/>
  <c r="AG120" i="10"/>
  <c r="AG124" i="10"/>
  <c r="AG128" i="10"/>
  <c r="AG132" i="10"/>
  <c r="AG136" i="10"/>
  <c r="AG140" i="10"/>
  <c r="AG144" i="10"/>
  <c r="AG148" i="10"/>
  <c r="AG152" i="10"/>
  <c r="AG156" i="10"/>
  <c r="AG160" i="10"/>
  <c r="AG164" i="10"/>
  <c r="AG168" i="10"/>
  <c r="AG172" i="10"/>
  <c r="AG176" i="10"/>
  <c r="AG180" i="10"/>
  <c r="AG184" i="10"/>
  <c r="AG188" i="10"/>
  <c r="AG192" i="10"/>
  <c r="AG196" i="10"/>
  <c r="AG200" i="10"/>
  <c r="AG204" i="10"/>
  <c r="AG208" i="10"/>
  <c r="AG212" i="10"/>
  <c r="AG216" i="10"/>
  <c r="AG220" i="10"/>
  <c r="AG224" i="10"/>
  <c r="AG228" i="10"/>
  <c r="AG232" i="10"/>
  <c r="AG236" i="10"/>
  <c r="AG240" i="10"/>
  <c r="AG244" i="10"/>
  <c r="AG248" i="10"/>
  <c r="AG252" i="10"/>
  <c r="AG256" i="10"/>
  <c r="AG260" i="10"/>
  <c r="AG264" i="10"/>
  <c r="AG268" i="10"/>
  <c r="AG272" i="10"/>
  <c r="AG276" i="10"/>
  <c r="AG280" i="10"/>
  <c r="AG284" i="10"/>
  <c r="AG288" i="10"/>
  <c r="AG292" i="10"/>
  <c r="AG296" i="10"/>
  <c r="AG300" i="10"/>
  <c r="AG304" i="10"/>
  <c r="AG308" i="10"/>
  <c r="AG312" i="10"/>
  <c r="AG316" i="10"/>
  <c r="AG320" i="10"/>
  <c r="AG324" i="10"/>
  <c r="AG328" i="10"/>
  <c r="AG332" i="10"/>
  <c r="AG336" i="10"/>
  <c r="AG340" i="10"/>
  <c r="AG344" i="10"/>
  <c r="AG348" i="10"/>
  <c r="AG352" i="10"/>
  <c r="AG356" i="10"/>
  <c r="AG360" i="10"/>
  <c r="AG364" i="10"/>
  <c r="AG368" i="10"/>
  <c r="AG372" i="10"/>
  <c r="AG376" i="10"/>
  <c r="AG380" i="10"/>
  <c r="AG384" i="10"/>
  <c r="AG388" i="10"/>
  <c r="AG392" i="10"/>
  <c r="AG396" i="10"/>
  <c r="AG400" i="10"/>
  <c r="AG404" i="10"/>
  <c r="AG408" i="10"/>
  <c r="AG412" i="10"/>
  <c r="AG416" i="10"/>
  <c r="AG420" i="10"/>
  <c r="AG424" i="10"/>
  <c r="AG428" i="10"/>
  <c r="AG432" i="10"/>
  <c r="AG436" i="10"/>
  <c r="AG440" i="10"/>
  <c r="AG444" i="10"/>
  <c r="AG448" i="10"/>
  <c r="AG452" i="10"/>
  <c r="AG456" i="10"/>
  <c r="AG460" i="10"/>
  <c r="AG464" i="10"/>
  <c r="AG468" i="10"/>
  <c r="AG472" i="10"/>
  <c r="AG476" i="10"/>
  <c r="AG480" i="10"/>
  <c r="AG484" i="10"/>
  <c r="AG488" i="10"/>
  <c r="AG492" i="10"/>
  <c r="AG496" i="10"/>
  <c r="AG500" i="10"/>
  <c r="AG504" i="10"/>
  <c r="AG508" i="10"/>
  <c r="AG512" i="10"/>
  <c r="AG516" i="10"/>
  <c r="AG520" i="10"/>
  <c r="AG524" i="10"/>
  <c r="AG528" i="10"/>
  <c r="AG532" i="10"/>
  <c r="AG536" i="10"/>
  <c r="AG540" i="10"/>
  <c r="AG544" i="10"/>
  <c r="AG548" i="10"/>
  <c r="AG552" i="10"/>
  <c r="AG556" i="10"/>
  <c r="AG560" i="10"/>
  <c r="B218" i="2"/>
  <c r="B224" i="2" s="1"/>
  <c r="B77" i="2"/>
  <c r="B142" i="2"/>
  <c r="B69" i="2" l="1"/>
  <c r="B54" i="2"/>
  <c r="H231" i="2" s="1"/>
  <c r="B16" i="2"/>
  <c r="B127" i="2" s="1"/>
  <c r="B15" i="2"/>
  <c r="B52" i="2"/>
  <c r="B26" i="10" l="1"/>
  <c r="B37" i="2"/>
  <c r="B38" i="2"/>
  <c r="B71" i="2"/>
  <c r="B29" i="2"/>
  <c r="B66" i="2"/>
  <c r="B10" i="4"/>
  <c r="B11" i="4" s="1"/>
  <c r="B219" i="2"/>
  <c r="H78" i="1" s="1"/>
  <c r="B25" i="10"/>
  <c r="E222" i="2"/>
  <c r="B206" i="2"/>
  <c r="B34" i="2"/>
  <c r="B143" i="2" s="1"/>
  <c r="B147" i="2"/>
  <c r="B148" i="2" s="1"/>
  <c r="B146" i="2"/>
  <c r="B138" i="2"/>
  <c r="B139" i="2"/>
  <c r="B25" i="2"/>
  <c r="B135" i="2" s="1"/>
  <c r="B60" i="2"/>
  <c r="B70" i="2"/>
  <c r="B64" i="2"/>
  <c r="B33" i="2"/>
  <c r="BL27" i="4" s="1"/>
  <c r="B24" i="2"/>
  <c r="B140" i="2" l="1"/>
  <c r="K150" i="2"/>
  <c r="BL125" i="4"/>
  <c r="BL60" i="4"/>
  <c r="BL150" i="4"/>
  <c r="BL57" i="4"/>
  <c r="BL143" i="4"/>
  <c r="BL75" i="4"/>
  <c r="BL133" i="4"/>
  <c r="BL17" i="4"/>
  <c r="BL154" i="4"/>
  <c r="BL104" i="4"/>
  <c r="BL19" i="4"/>
  <c r="BL106" i="4"/>
  <c r="BL9" i="4"/>
  <c r="BL48" i="4"/>
  <c r="BL13" i="4"/>
  <c r="BL115" i="4"/>
  <c r="BL52" i="4"/>
  <c r="BL70" i="4"/>
  <c r="BL7" i="4"/>
  <c r="BL151" i="4"/>
  <c r="BL153" i="4"/>
  <c r="BL40" i="4"/>
  <c r="BL87" i="4"/>
  <c r="BL84" i="4"/>
  <c r="BL85" i="4"/>
  <c r="BL16" i="4"/>
  <c r="BL22" i="4"/>
  <c r="BL37" i="4"/>
  <c r="BL43" i="4"/>
  <c r="BL65" i="4"/>
  <c r="BL80" i="4"/>
  <c r="BL86" i="4"/>
  <c r="BL101" i="4"/>
  <c r="BL108" i="4"/>
  <c r="BL10" i="4"/>
  <c r="BL25" i="4"/>
  <c r="BL31" i="4"/>
  <c r="BL73" i="4"/>
  <c r="BL79" i="4"/>
  <c r="BL12" i="4"/>
  <c r="BL18" i="4"/>
  <c r="BL33" i="4"/>
  <c r="BL39" i="4"/>
  <c r="BL76" i="4"/>
  <c r="BL82" i="4"/>
  <c r="BL97" i="4"/>
  <c r="BL103" i="4"/>
  <c r="BL29" i="4"/>
  <c r="BL88" i="4"/>
  <c r="BL141" i="4"/>
  <c r="BL147" i="4"/>
  <c r="BL46" i="4"/>
  <c r="BL117" i="4"/>
  <c r="BL139" i="4"/>
  <c r="BL45" i="4"/>
  <c r="BL118" i="4"/>
  <c r="BL124" i="4"/>
  <c r="BL152" i="4"/>
  <c r="BL105" i="4"/>
  <c r="BL62" i="4"/>
  <c r="BL126" i="4"/>
  <c r="BL132" i="4"/>
  <c r="BL56" i="4"/>
  <c r="BL123" i="4"/>
  <c r="BL138" i="4"/>
  <c r="BL32" i="4"/>
  <c r="BL38" i="4"/>
  <c r="BL53" i="4"/>
  <c r="BL59" i="4"/>
  <c r="BL96" i="4"/>
  <c r="BL102" i="4"/>
  <c r="BL109" i="4"/>
  <c r="BL20" i="4"/>
  <c r="BL26" i="4"/>
  <c r="BL41" i="4"/>
  <c r="BL47" i="4"/>
  <c r="BL68" i="4"/>
  <c r="BL74" i="4"/>
  <c r="BL89" i="4"/>
  <c r="BL95" i="4"/>
  <c r="BL28" i="4"/>
  <c r="BL34" i="4"/>
  <c r="BL49" i="4"/>
  <c r="BL55" i="4"/>
  <c r="BL92" i="4"/>
  <c r="BL98" i="4"/>
  <c r="BL14" i="4"/>
  <c r="BL93" i="4"/>
  <c r="BL114" i="4"/>
  <c r="BL120" i="4"/>
  <c r="BL61" i="4"/>
  <c r="BL144" i="4"/>
  <c r="BL30" i="4"/>
  <c r="BL94" i="4"/>
  <c r="BL113" i="4"/>
  <c r="BL119" i="4"/>
  <c r="BL134" i="4"/>
  <c r="BL140" i="4"/>
  <c r="BL149" i="4"/>
  <c r="BL67" i="4"/>
  <c r="BL121" i="4"/>
  <c r="BL127" i="4"/>
  <c r="BL142" i="4"/>
  <c r="BL148" i="4"/>
  <c r="BL128" i="4"/>
  <c r="BL21" i="4"/>
  <c r="BL64" i="4"/>
  <c r="BL91" i="4"/>
  <c r="BL107" i="4"/>
  <c r="BL15" i="4"/>
  <c r="BL58" i="4"/>
  <c r="BL100" i="4"/>
  <c r="BL23" i="4"/>
  <c r="BL66" i="4"/>
  <c r="BL81" i="4"/>
  <c r="BL24" i="4"/>
  <c r="BL83" i="4"/>
  <c r="BL131" i="4"/>
  <c r="BL146" i="4"/>
  <c r="BL112" i="4"/>
  <c r="BL157" i="4"/>
  <c r="BL145" i="4"/>
  <c r="BL77" i="4"/>
  <c r="BL116" i="4"/>
  <c r="BL156" i="4"/>
  <c r="BL51" i="4"/>
  <c r="BL11" i="4"/>
  <c r="BL54" i="4"/>
  <c r="BL69" i="4"/>
  <c r="BL110" i="4"/>
  <c r="BL36" i="4"/>
  <c r="BL63" i="4"/>
  <c r="BL90" i="4"/>
  <c r="BL44" i="4"/>
  <c r="BL71" i="4"/>
  <c r="BL111" i="4"/>
  <c r="BL136" i="4"/>
  <c r="BL155" i="4"/>
  <c r="BL35" i="4"/>
  <c r="BL99" i="4"/>
  <c r="BL135" i="4"/>
  <c r="BL122" i="4"/>
  <c r="BL137" i="4"/>
  <c r="BL72" i="4"/>
  <c r="BL129" i="4"/>
  <c r="BL130" i="4"/>
  <c r="BL78" i="4"/>
  <c r="BL50" i="4"/>
  <c r="BL42" i="4"/>
  <c r="BL8" i="4"/>
  <c r="B18" i="4"/>
  <c r="BA8" i="4"/>
  <c r="BA12" i="4"/>
  <c r="BA15" i="4"/>
  <c r="BA18" i="4"/>
  <c r="BA22" i="4"/>
  <c r="BA25" i="4"/>
  <c r="BA29" i="4"/>
  <c r="BA33" i="4"/>
  <c r="BA37" i="4"/>
  <c r="BA40" i="4"/>
  <c r="BA7" i="4"/>
  <c r="BA10" i="4"/>
  <c r="BA13" i="4"/>
  <c r="BA16" i="4"/>
  <c r="BA19" i="4"/>
  <c r="BA23" i="4"/>
  <c r="BA27" i="4"/>
  <c r="BA30" i="4"/>
  <c r="BA34" i="4"/>
  <c r="BA38" i="4"/>
  <c r="BA42" i="4"/>
  <c r="B14" i="4"/>
  <c r="BA9" i="4"/>
  <c r="BA11" i="4"/>
  <c r="BA14" i="4"/>
  <c r="BA17" i="4"/>
  <c r="BA20" i="4"/>
  <c r="BA21" i="4"/>
  <c r="BA24" i="4"/>
  <c r="BA26" i="4"/>
  <c r="BA28" i="4"/>
  <c r="BA31" i="4"/>
  <c r="BA32" i="4"/>
  <c r="BA35" i="4"/>
  <c r="BA36" i="4"/>
  <c r="BA39" i="4"/>
  <c r="BA41" i="4"/>
  <c r="BA131" i="4"/>
  <c r="BA142" i="4"/>
  <c r="BA145" i="4"/>
  <c r="BA148" i="4"/>
  <c r="BA149" i="4"/>
  <c r="BA152" i="4"/>
  <c r="BA155" i="4"/>
  <c r="BA156" i="4"/>
  <c r="BA43" i="4"/>
  <c r="BA44" i="4"/>
  <c r="BA45" i="4"/>
  <c r="BA46" i="4"/>
  <c r="BA48" i="4"/>
  <c r="BA49" i="4"/>
  <c r="BA50" i="4"/>
  <c r="BA51" i="4"/>
  <c r="BA53" i="4"/>
  <c r="BA55" i="4"/>
  <c r="BA57" i="4"/>
  <c r="BA59" i="4"/>
  <c r="BA61" i="4"/>
  <c r="BA63" i="4"/>
  <c r="BA65" i="4"/>
  <c r="BA67" i="4"/>
  <c r="BA69" i="4"/>
  <c r="BA71" i="4"/>
  <c r="BA73" i="4"/>
  <c r="BA75" i="4"/>
  <c r="BA77" i="4"/>
  <c r="BA79" i="4"/>
  <c r="BA81" i="4"/>
  <c r="BA83" i="4"/>
  <c r="BA85" i="4"/>
  <c r="BA87" i="4"/>
  <c r="BA89" i="4"/>
  <c r="BA91" i="4"/>
  <c r="BA93" i="4"/>
  <c r="BA95" i="4"/>
  <c r="BA97" i="4"/>
  <c r="BA99" i="4"/>
  <c r="BA101" i="4"/>
  <c r="BA103" i="4"/>
  <c r="BA105" i="4"/>
  <c r="BA107" i="4"/>
  <c r="BA109" i="4"/>
  <c r="BA111" i="4"/>
  <c r="BA113" i="4"/>
  <c r="BA115" i="4"/>
  <c r="BA117" i="4"/>
  <c r="BA119" i="4"/>
  <c r="BA121" i="4"/>
  <c r="BA123" i="4"/>
  <c r="BA125" i="4"/>
  <c r="BA127" i="4"/>
  <c r="BA129" i="4"/>
  <c r="BA132" i="4"/>
  <c r="BA134" i="4"/>
  <c r="BA136" i="4"/>
  <c r="BA138" i="4"/>
  <c r="BA140" i="4"/>
  <c r="BA143" i="4"/>
  <c r="BA146" i="4"/>
  <c r="BA150" i="4"/>
  <c r="BA153" i="4"/>
  <c r="BA157" i="4"/>
  <c r="BA47" i="4"/>
  <c r="BA52" i="4"/>
  <c r="BA54" i="4"/>
  <c r="BA56" i="4"/>
  <c r="BA58" i="4"/>
  <c r="BA60" i="4"/>
  <c r="BA62" i="4"/>
  <c r="BA64" i="4"/>
  <c r="BA66" i="4"/>
  <c r="BA68" i="4"/>
  <c r="BA70" i="4"/>
  <c r="BA72" i="4"/>
  <c r="BA74" i="4"/>
  <c r="BA76" i="4"/>
  <c r="BA78" i="4"/>
  <c r="BA80" i="4"/>
  <c r="BA82" i="4"/>
  <c r="BA84" i="4"/>
  <c r="BA86" i="4"/>
  <c r="BA88" i="4"/>
  <c r="BA90" i="4"/>
  <c r="BA92" i="4"/>
  <c r="BA94" i="4"/>
  <c r="BA96" i="4"/>
  <c r="BA98" i="4"/>
  <c r="BA100" i="4"/>
  <c r="BA102" i="4"/>
  <c r="BA104" i="4"/>
  <c r="BA106" i="4"/>
  <c r="BA108" i="4"/>
  <c r="BA110" i="4"/>
  <c r="BA112" i="4"/>
  <c r="BA114" i="4"/>
  <c r="BA116" i="4"/>
  <c r="BA118" i="4"/>
  <c r="BA120" i="4"/>
  <c r="BA122" i="4"/>
  <c r="BA124" i="4"/>
  <c r="BA126" i="4"/>
  <c r="BA128" i="4"/>
  <c r="BA130" i="4"/>
  <c r="BA133" i="4"/>
  <c r="BA135" i="4"/>
  <c r="BA137" i="4"/>
  <c r="BA139" i="4"/>
  <c r="BA141" i="4"/>
  <c r="BA144" i="4"/>
  <c r="BA147" i="4"/>
  <c r="BA151" i="4"/>
  <c r="BA154" i="4"/>
  <c r="AK114" i="4"/>
  <c r="AK50" i="4"/>
  <c r="AK66" i="4"/>
  <c r="AK58" i="4"/>
  <c r="AK106" i="4"/>
  <c r="AK40" i="4"/>
  <c r="AK94" i="4"/>
  <c r="AK18" i="4"/>
  <c r="AK68" i="4"/>
  <c r="AK123" i="4"/>
  <c r="AK75" i="4"/>
  <c r="AK27" i="4"/>
  <c r="AK125" i="4"/>
  <c r="AK61" i="4"/>
  <c r="AK13" i="4"/>
  <c r="AK87" i="4"/>
  <c r="AK23" i="4"/>
  <c r="AK121" i="4"/>
  <c r="AK89" i="4"/>
  <c r="AK41" i="4"/>
  <c r="AK78" i="4"/>
  <c r="AK14" i="4"/>
  <c r="AK116" i="4"/>
  <c r="AK147" i="4"/>
  <c r="AK115" i="4"/>
  <c r="AK35" i="4"/>
  <c r="AK133" i="4"/>
  <c r="AK69" i="4"/>
  <c r="AK146" i="4"/>
  <c r="AK9" i="4"/>
  <c r="AK154" i="4"/>
  <c r="AK74" i="4"/>
  <c r="AK130" i="4"/>
  <c r="AK136" i="4"/>
  <c r="AK80" i="4"/>
  <c r="AK24" i="4"/>
  <c r="AK150" i="4"/>
  <c r="AK118" i="4"/>
  <c r="AK86" i="4"/>
  <c r="AK54" i="4"/>
  <c r="AK22" i="4"/>
  <c r="AK10" i="4"/>
  <c r="AK88" i="4"/>
  <c r="AK156" i="4"/>
  <c r="AK124" i="4"/>
  <c r="AK92" i="4"/>
  <c r="AK60" i="4"/>
  <c r="AK28" i="4"/>
  <c r="AK151" i="4"/>
  <c r="AK119" i="4"/>
  <c r="AK55" i="4"/>
  <c r="AK137" i="4"/>
  <c r="AK73" i="4"/>
  <c r="AK122" i="4"/>
  <c r="AK72" i="4"/>
  <c r="AK52" i="4"/>
  <c r="AK83" i="4"/>
  <c r="AK19" i="4"/>
  <c r="AK101" i="4"/>
  <c r="AK37" i="4"/>
  <c r="AK98" i="4"/>
  <c r="AK90" i="4"/>
  <c r="AK138" i="4"/>
  <c r="AK104" i="4"/>
  <c r="AK48" i="4"/>
  <c r="AK8" i="4"/>
  <c r="AK134" i="4"/>
  <c r="AK102" i="4"/>
  <c r="AK70" i="4"/>
  <c r="AK38" i="4"/>
  <c r="AK26" i="4"/>
  <c r="AK128" i="4"/>
  <c r="AK56" i="4"/>
  <c r="AK140" i="4"/>
  <c r="AK108" i="4"/>
  <c r="AK76" i="4"/>
  <c r="AK44" i="4"/>
  <c r="AK12" i="4"/>
  <c r="AK143" i="4"/>
  <c r="AK127" i="4"/>
  <c r="AK111" i="4"/>
  <c r="AK95" i="4"/>
  <c r="AK79" i="4"/>
  <c r="AK63" i="4"/>
  <c r="AK47" i="4"/>
  <c r="AK31" i="4"/>
  <c r="AK15" i="4"/>
  <c r="AK145" i="4"/>
  <c r="AK129" i="4"/>
  <c r="AK113" i="4"/>
  <c r="AK97" i="4"/>
  <c r="AK81" i="4"/>
  <c r="AK65" i="4"/>
  <c r="AK49" i="4"/>
  <c r="AK33" i="4"/>
  <c r="AK17" i="4"/>
  <c r="AK152" i="4"/>
  <c r="AK96" i="4"/>
  <c r="AK7" i="4"/>
  <c r="AK126" i="4"/>
  <c r="AK62" i="4"/>
  <c r="AK30" i="4"/>
  <c r="AK112" i="4"/>
  <c r="AK32" i="4"/>
  <c r="AK132" i="4"/>
  <c r="AK100" i="4"/>
  <c r="AK36" i="4"/>
  <c r="AK155" i="4"/>
  <c r="AK139" i="4"/>
  <c r="AK107" i="4"/>
  <c r="AK91" i="4"/>
  <c r="AK59" i="4"/>
  <c r="AK43" i="4"/>
  <c r="AK11" i="4"/>
  <c r="AK141" i="4"/>
  <c r="AK109" i="4"/>
  <c r="AK93" i="4"/>
  <c r="AK77" i="4"/>
  <c r="AK45" i="4"/>
  <c r="AK29" i="4"/>
  <c r="AK135" i="4"/>
  <c r="AK103" i="4"/>
  <c r="AK71" i="4"/>
  <c r="AK39" i="4"/>
  <c r="AK153" i="4"/>
  <c r="AK105" i="4"/>
  <c r="AK57" i="4"/>
  <c r="AK25" i="4"/>
  <c r="AK82" i="4"/>
  <c r="AK157" i="4"/>
  <c r="AK42" i="4"/>
  <c r="AK34" i="4"/>
  <c r="AK120" i="4"/>
  <c r="AK64" i="4"/>
  <c r="AK16" i="4"/>
  <c r="AK142" i="4"/>
  <c r="AK110" i="4"/>
  <c r="AK46" i="4"/>
  <c r="AK144" i="4"/>
  <c r="AK148" i="4"/>
  <c r="AK84" i="4"/>
  <c r="AK20" i="4"/>
  <c r="AK131" i="4"/>
  <c r="AK99" i="4"/>
  <c r="AK67" i="4"/>
  <c r="AK51" i="4"/>
  <c r="AK149" i="4"/>
  <c r="AK117" i="4"/>
  <c r="AK85" i="4"/>
  <c r="AK53" i="4"/>
  <c r="AK21" i="4"/>
  <c r="B27" i="2"/>
  <c r="B15" i="4" s="1"/>
  <c r="B65" i="2"/>
  <c r="N19" i="1" s="1"/>
  <c r="N27" i="1"/>
  <c r="B63" i="2"/>
  <c r="N16" i="1" s="1"/>
  <c r="B35" i="2"/>
  <c r="B68" i="2"/>
  <c r="N24" i="1" s="1"/>
  <c r="B26" i="2"/>
  <c r="B36" i="2"/>
  <c r="B19" i="4" s="1"/>
  <c r="BK9" i="4" l="1"/>
  <c r="BM9" i="4" s="1"/>
  <c r="BK31" i="4"/>
  <c r="BM31" i="4" s="1"/>
  <c r="BK52" i="4"/>
  <c r="BM52" i="4" s="1"/>
  <c r="BK58" i="4"/>
  <c r="BM58" i="4" s="1"/>
  <c r="BK73" i="4"/>
  <c r="BM73" i="4" s="1"/>
  <c r="BK95" i="4"/>
  <c r="BK19" i="4"/>
  <c r="BM19" i="4" s="1"/>
  <c r="BK40" i="4"/>
  <c r="BM40" i="4" s="1"/>
  <c r="BK46" i="4"/>
  <c r="BM46" i="4" s="1"/>
  <c r="BK61" i="4"/>
  <c r="BM61" i="4" s="1"/>
  <c r="BK67" i="4"/>
  <c r="BM67" i="4" s="1"/>
  <c r="BK88" i="4"/>
  <c r="BK94" i="4"/>
  <c r="BK27" i="4"/>
  <c r="BM27" i="4" s="1"/>
  <c r="BK48" i="4"/>
  <c r="BM48" i="4" s="1"/>
  <c r="BK54" i="4"/>
  <c r="BM54" i="4" s="1"/>
  <c r="BK69" i="4"/>
  <c r="BM69" i="4" s="1"/>
  <c r="BK91" i="4"/>
  <c r="BK109" i="4"/>
  <c r="BK49" i="4"/>
  <c r="BM49" i="4" s="1"/>
  <c r="BK113" i="4"/>
  <c r="BK119" i="4"/>
  <c r="BK134" i="4"/>
  <c r="BK112" i="4"/>
  <c r="BK133" i="4"/>
  <c r="BK139" i="4"/>
  <c r="BK132" i="4"/>
  <c r="BK23" i="4"/>
  <c r="BM23" i="4" s="1"/>
  <c r="BK82" i="4"/>
  <c r="BK111" i="4"/>
  <c r="BK120" i="4"/>
  <c r="BK141" i="4"/>
  <c r="BK147" i="4"/>
  <c r="BK153" i="4"/>
  <c r="BK157" i="4"/>
  <c r="BK10" i="4"/>
  <c r="BM10" i="4" s="1"/>
  <c r="BK25" i="4"/>
  <c r="BM25" i="4" s="1"/>
  <c r="BK47" i="4"/>
  <c r="BM47" i="4" s="1"/>
  <c r="BK68" i="4"/>
  <c r="BM68" i="4" s="1"/>
  <c r="BK74" i="4"/>
  <c r="BM74" i="4" s="1"/>
  <c r="BK89" i="4"/>
  <c r="BK13" i="4"/>
  <c r="BM13" i="4" s="1"/>
  <c r="BK35" i="4"/>
  <c r="BM35" i="4" s="1"/>
  <c r="BK56" i="4"/>
  <c r="BM56" i="4" s="1"/>
  <c r="BK62" i="4"/>
  <c r="BM62" i="4" s="1"/>
  <c r="BK83" i="4"/>
  <c r="BK104" i="4"/>
  <c r="BK21" i="4"/>
  <c r="BM21" i="4" s="1"/>
  <c r="BK43" i="4"/>
  <c r="BM43" i="4" s="1"/>
  <c r="BK64" i="4"/>
  <c r="BM64" i="4" s="1"/>
  <c r="BK70" i="4"/>
  <c r="BM70" i="4" s="1"/>
  <c r="BK85" i="4"/>
  <c r="BK110" i="4"/>
  <c r="BK34" i="4"/>
  <c r="BM34" i="4" s="1"/>
  <c r="BK129" i="4"/>
  <c r="BK135" i="4"/>
  <c r="BK152" i="4"/>
  <c r="BK121" i="4"/>
  <c r="BK50" i="4"/>
  <c r="BM50" i="4" s="1"/>
  <c r="BK128" i="4"/>
  <c r="BK149" i="4"/>
  <c r="BK28" i="4"/>
  <c r="BM28" i="4" s="1"/>
  <c r="BK87" i="4"/>
  <c r="BK114" i="4"/>
  <c r="BK136" i="4"/>
  <c r="BK154" i="4"/>
  <c r="BK8" i="4"/>
  <c r="BM8" i="4" s="1"/>
  <c r="BS8" i="4" s="1"/>
  <c r="BK12" i="4"/>
  <c r="BM12" i="4" s="1"/>
  <c r="BK71" i="4"/>
  <c r="BM71" i="4" s="1"/>
  <c r="BK142" i="4"/>
  <c r="BK36" i="4"/>
  <c r="BM36" i="4" s="1"/>
  <c r="BK79" i="4"/>
  <c r="BM79" i="4" s="1"/>
  <c r="BK30" i="4"/>
  <c r="BM30" i="4" s="1"/>
  <c r="BK45" i="4"/>
  <c r="BM45" i="4" s="1"/>
  <c r="BK72" i="4"/>
  <c r="BM72" i="4" s="1"/>
  <c r="BK11" i="4"/>
  <c r="BM11" i="4" s="1"/>
  <c r="BK38" i="4"/>
  <c r="BM38" i="4" s="1"/>
  <c r="BK53" i="4"/>
  <c r="BM53" i="4" s="1"/>
  <c r="BK96" i="4"/>
  <c r="BN96" i="4" s="1"/>
  <c r="BK108" i="4"/>
  <c r="BK118" i="4"/>
  <c r="BK60" i="4"/>
  <c r="BM60" i="4" s="1"/>
  <c r="BK117" i="4"/>
  <c r="BK66" i="4"/>
  <c r="BM66" i="4" s="1"/>
  <c r="BK18" i="4"/>
  <c r="BM18" i="4" s="1"/>
  <c r="BK131" i="4"/>
  <c r="BK146" i="4"/>
  <c r="BK156" i="4"/>
  <c r="BK26" i="4"/>
  <c r="BM26" i="4" s="1"/>
  <c r="BK41" i="4"/>
  <c r="BM41" i="4" s="1"/>
  <c r="BK84" i="4"/>
  <c r="BK51" i="4"/>
  <c r="BM51" i="4" s="1"/>
  <c r="BK77" i="4"/>
  <c r="BM77" i="4" s="1"/>
  <c r="BK105" i="4"/>
  <c r="BK16" i="4"/>
  <c r="BM16" i="4" s="1"/>
  <c r="BK59" i="4"/>
  <c r="BM59" i="4" s="1"/>
  <c r="BK86" i="4"/>
  <c r="BK101" i="4"/>
  <c r="BK39" i="4"/>
  <c r="BM39" i="4" s="1"/>
  <c r="BK98" i="4"/>
  <c r="BK124" i="4"/>
  <c r="BK126" i="4"/>
  <c r="BK122" i="4"/>
  <c r="BK150" i="4"/>
  <c r="BK33" i="4"/>
  <c r="BM33" i="4" s="1"/>
  <c r="BK92" i="4"/>
  <c r="BK151" i="4"/>
  <c r="BK63" i="4"/>
  <c r="BM63" i="4" s="1"/>
  <c r="BK90" i="4"/>
  <c r="BK14" i="4"/>
  <c r="BM14" i="4" s="1"/>
  <c r="BK99" i="4"/>
  <c r="BK22" i="4"/>
  <c r="BM22" i="4" s="1"/>
  <c r="BK80" i="4"/>
  <c r="BK107" i="4"/>
  <c r="BK81" i="4"/>
  <c r="BK55" i="4"/>
  <c r="BM55" i="4" s="1"/>
  <c r="BK125" i="4"/>
  <c r="BK143" i="4"/>
  <c r="BK15" i="4"/>
  <c r="BM15" i="4" s="1"/>
  <c r="BK42" i="4"/>
  <c r="BM42" i="4" s="1"/>
  <c r="BK100" i="4"/>
  <c r="BK24" i="4"/>
  <c r="BM24" i="4" s="1"/>
  <c r="BK78" i="4"/>
  <c r="BM78" i="4" s="1"/>
  <c r="BK32" i="4"/>
  <c r="BM32" i="4" s="1"/>
  <c r="BK103" i="4"/>
  <c r="BK140" i="4"/>
  <c r="BK137" i="4"/>
  <c r="BK138" i="4"/>
  <c r="BK127" i="4"/>
  <c r="BK97" i="4"/>
  <c r="BK130" i="4"/>
  <c r="BK155" i="4"/>
  <c r="BK76" i="4"/>
  <c r="BM76" i="4" s="1"/>
  <c r="BK20" i="4"/>
  <c r="BM20" i="4" s="1"/>
  <c r="BK106" i="4"/>
  <c r="BK29" i="4"/>
  <c r="BM29" i="4" s="1"/>
  <c r="BK37" i="4"/>
  <c r="BM37" i="4" s="1"/>
  <c r="BK65" i="4"/>
  <c r="BM65" i="4" s="1"/>
  <c r="BK145" i="4"/>
  <c r="BK148" i="4"/>
  <c r="BK144" i="4"/>
  <c r="BK115" i="4"/>
  <c r="BK116" i="4"/>
  <c r="BK57" i="4"/>
  <c r="BM57" i="4" s="1"/>
  <c r="BK93" i="4"/>
  <c r="BK75" i="4"/>
  <c r="BM75" i="4" s="1"/>
  <c r="BK102" i="4"/>
  <c r="BK44" i="4"/>
  <c r="BM44" i="4" s="1"/>
  <c r="BK17" i="4"/>
  <c r="BM17" i="4" s="1"/>
  <c r="BK123" i="4"/>
  <c r="BM96" i="4"/>
  <c r="BK7" i="4"/>
  <c r="BM7" i="4" s="1"/>
  <c r="AZ7" i="4"/>
  <c r="BB7" i="4" s="1"/>
  <c r="AZ31" i="4"/>
  <c r="AZ134" i="4"/>
  <c r="AZ130" i="4"/>
  <c r="AZ109" i="4"/>
  <c r="AZ95" i="4"/>
  <c r="AZ148" i="4"/>
  <c r="AZ132" i="4"/>
  <c r="AZ76" i="4"/>
  <c r="AZ8" i="4"/>
  <c r="BC8" i="4" s="1"/>
  <c r="AZ24" i="4"/>
  <c r="AZ40" i="4"/>
  <c r="AZ56" i="4"/>
  <c r="AZ72" i="4"/>
  <c r="AZ88" i="4"/>
  <c r="AZ102" i="4"/>
  <c r="AZ118" i="4"/>
  <c r="AZ22" i="4"/>
  <c r="AZ38" i="4"/>
  <c r="AZ54" i="4"/>
  <c r="AZ70" i="4"/>
  <c r="AZ86" i="4"/>
  <c r="AZ100" i="4"/>
  <c r="AZ116" i="4"/>
  <c r="AZ10" i="4"/>
  <c r="AZ26" i="4"/>
  <c r="AZ42" i="4"/>
  <c r="AZ58" i="4"/>
  <c r="AZ74" i="4"/>
  <c r="AZ90" i="4"/>
  <c r="AZ107" i="4"/>
  <c r="AZ123" i="4"/>
  <c r="AZ152" i="4"/>
  <c r="AZ136" i="4"/>
  <c r="AZ92" i="4"/>
  <c r="AZ28" i="4"/>
  <c r="AZ146" i="4"/>
  <c r="AZ68" i="4"/>
  <c r="AZ157" i="4"/>
  <c r="AZ156" i="4"/>
  <c r="AZ16" i="4"/>
  <c r="AZ80" i="4"/>
  <c r="AZ110" i="4"/>
  <c r="AZ78" i="4"/>
  <c r="AZ34" i="4"/>
  <c r="AZ131" i="4"/>
  <c r="AZ117" i="4"/>
  <c r="AZ36" i="4"/>
  <c r="AZ12" i="4"/>
  <c r="AZ145" i="4"/>
  <c r="AZ137" i="4"/>
  <c r="AZ154" i="4"/>
  <c r="AZ143" i="4"/>
  <c r="AZ126" i="4"/>
  <c r="AZ55" i="4"/>
  <c r="AZ11" i="4"/>
  <c r="AZ27" i="4"/>
  <c r="AZ43" i="4"/>
  <c r="AZ59" i="4"/>
  <c r="AZ75" i="4"/>
  <c r="AZ91" i="4"/>
  <c r="AZ105" i="4"/>
  <c r="AZ9" i="4"/>
  <c r="AZ25" i="4"/>
  <c r="AZ41" i="4"/>
  <c r="AZ57" i="4"/>
  <c r="AZ73" i="4"/>
  <c r="AZ89" i="4"/>
  <c r="AZ103" i="4"/>
  <c r="AZ119" i="4"/>
  <c r="AZ13" i="4"/>
  <c r="AZ29" i="4"/>
  <c r="AZ45" i="4"/>
  <c r="AZ61" i="4"/>
  <c r="AZ77" i="4"/>
  <c r="AZ93" i="4"/>
  <c r="AZ112" i="4"/>
  <c r="AZ128" i="4"/>
  <c r="AZ147" i="4"/>
  <c r="AZ125" i="4"/>
  <c r="AZ71" i="4"/>
  <c r="AZ141" i="4"/>
  <c r="AZ122" i="4"/>
  <c r="AZ47" i="4"/>
  <c r="AZ20" i="4"/>
  <c r="AZ101" i="4"/>
  <c r="AZ48" i="4"/>
  <c r="AZ96" i="4"/>
  <c r="AZ30" i="4"/>
  <c r="AZ46" i="4"/>
  <c r="AZ18" i="4"/>
  <c r="AZ82" i="4"/>
  <c r="AZ98" i="4"/>
  <c r="AZ115" i="4"/>
  <c r="AZ60" i="4"/>
  <c r="AZ114" i="4"/>
  <c r="AZ142" i="4"/>
  <c r="AZ84" i="4"/>
  <c r="AZ52" i="4"/>
  <c r="AZ150" i="4"/>
  <c r="AZ63" i="4"/>
  <c r="AZ151" i="4"/>
  <c r="AZ135" i="4"/>
  <c r="AZ87" i="4"/>
  <c r="AZ23" i="4"/>
  <c r="AZ19" i="4"/>
  <c r="AZ35" i="4"/>
  <c r="AZ51" i="4"/>
  <c r="AZ67" i="4"/>
  <c r="AZ83" i="4"/>
  <c r="AZ99" i="4"/>
  <c r="AZ113" i="4"/>
  <c r="AZ17" i="4"/>
  <c r="AZ33" i="4"/>
  <c r="AZ49" i="4"/>
  <c r="AZ65" i="4"/>
  <c r="AZ81" i="4"/>
  <c r="AZ97" i="4"/>
  <c r="AZ111" i="4"/>
  <c r="AZ127" i="4"/>
  <c r="AZ21" i="4"/>
  <c r="AZ37" i="4"/>
  <c r="AZ53" i="4"/>
  <c r="AZ69" i="4"/>
  <c r="AZ85" i="4"/>
  <c r="AZ104" i="4"/>
  <c r="AZ120" i="4"/>
  <c r="AZ155" i="4"/>
  <c r="AZ139" i="4"/>
  <c r="AZ106" i="4"/>
  <c r="AZ39" i="4"/>
  <c r="AZ149" i="4"/>
  <c r="AZ133" i="4"/>
  <c r="AZ79" i="4"/>
  <c r="AZ15" i="4"/>
  <c r="AZ129" i="4"/>
  <c r="AZ153" i="4"/>
  <c r="AZ121" i="4"/>
  <c r="AZ140" i="4"/>
  <c r="AZ44" i="4"/>
  <c r="AZ32" i="4"/>
  <c r="AZ64" i="4"/>
  <c r="AZ14" i="4"/>
  <c r="AZ62" i="4"/>
  <c r="AZ94" i="4"/>
  <c r="AZ108" i="4"/>
  <c r="AZ124" i="4"/>
  <c r="AZ50" i="4"/>
  <c r="AZ66" i="4"/>
  <c r="AZ144" i="4"/>
  <c r="AZ138" i="4"/>
  <c r="B56" i="3"/>
  <c r="R25" i="4" l="1"/>
  <c r="AF25" i="4" s="1"/>
  <c r="BB14" i="4"/>
  <c r="BH14" i="4" s="1"/>
  <c r="BC14" i="4"/>
  <c r="BB120" i="4"/>
  <c r="BH120" i="4" s="1"/>
  <c r="BC120" i="4"/>
  <c r="BB99" i="4"/>
  <c r="BH99" i="4" s="1"/>
  <c r="BC99" i="4"/>
  <c r="BB35" i="4"/>
  <c r="BH35" i="4" s="1"/>
  <c r="BC35" i="4"/>
  <c r="BB135" i="4"/>
  <c r="BH135" i="4" s="1"/>
  <c r="BC135" i="4"/>
  <c r="BB52" i="4"/>
  <c r="BH52" i="4" s="1"/>
  <c r="BC52" i="4"/>
  <c r="BC60" i="4"/>
  <c r="BB60" i="4"/>
  <c r="BH60" i="4" s="1"/>
  <c r="BB18" i="4"/>
  <c r="BH18" i="4" s="1"/>
  <c r="BC18" i="4"/>
  <c r="BC48" i="4"/>
  <c r="BB48" i="4"/>
  <c r="BH48" i="4" s="1"/>
  <c r="BB122" i="4"/>
  <c r="BH122" i="4" s="1"/>
  <c r="BC122" i="4"/>
  <c r="BC147" i="4"/>
  <c r="BB147" i="4"/>
  <c r="BH147" i="4" s="1"/>
  <c r="BC77" i="4"/>
  <c r="BB77" i="4"/>
  <c r="BH77" i="4" s="1"/>
  <c r="BC13" i="4"/>
  <c r="BB13" i="4"/>
  <c r="BH13" i="4" s="1"/>
  <c r="BC73" i="4"/>
  <c r="BB73" i="4"/>
  <c r="BH73" i="4" s="1"/>
  <c r="BB9" i="4"/>
  <c r="BH9" i="4" s="1"/>
  <c r="BC9" i="4"/>
  <c r="BC59" i="4"/>
  <c r="BB59" i="4"/>
  <c r="BH59" i="4" s="1"/>
  <c r="BB55" i="4"/>
  <c r="BH55" i="4" s="1"/>
  <c r="BC55" i="4"/>
  <c r="BC154" i="4"/>
  <c r="BB154" i="4"/>
  <c r="BH154" i="4" s="1"/>
  <c r="BB36" i="4"/>
  <c r="BH36" i="4" s="1"/>
  <c r="BC36" i="4"/>
  <c r="BB78" i="4"/>
  <c r="BH78" i="4" s="1"/>
  <c r="BC78" i="4"/>
  <c r="BB156" i="4"/>
  <c r="BH156" i="4" s="1"/>
  <c r="BC156" i="4"/>
  <c r="BB28" i="4"/>
  <c r="BH28" i="4" s="1"/>
  <c r="BC28" i="4"/>
  <c r="BC123" i="4"/>
  <c r="BB123" i="4"/>
  <c r="BH123" i="4" s="1"/>
  <c r="BB58" i="4"/>
  <c r="BH58" i="4" s="1"/>
  <c r="BC58" i="4"/>
  <c r="BB116" i="4"/>
  <c r="BH116" i="4" s="1"/>
  <c r="BC116" i="4"/>
  <c r="BB54" i="4"/>
  <c r="BH54" i="4" s="1"/>
  <c r="BC54" i="4"/>
  <c r="BB102" i="4"/>
  <c r="BH102" i="4" s="1"/>
  <c r="BC102" i="4"/>
  <c r="BC40" i="4"/>
  <c r="BB40" i="4"/>
  <c r="BH40" i="4" s="1"/>
  <c r="BB132" i="4"/>
  <c r="BH132" i="4" s="1"/>
  <c r="BC132" i="4"/>
  <c r="BB130" i="4"/>
  <c r="BH130" i="4" s="1"/>
  <c r="BC130" i="4"/>
  <c r="BM148" i="4"/>
  <c r="BS148" i="4" s="1"/>
  <c r="BN148" i="4"/>
  <c r="BM155" i="4"/>
  <c r="BS155" i="4" s="1"/>
  <c r="BN155" i="4"/>
  <c r="BM138" i="4"/>
  <c r="BN138" i="4"/>
  <c r="BM150" i="4"/>
  <c r="BS150" i="4" s="1"/>
  <c r="BN150" i="4"/>
  <c r="BM98" i="4"/>
  <c r="BS98" i="4" s="1"/>
  <c r="BN98" i="4"/>
  <c r="BM156" i="4"/>
  <c r="BP156" i="4" s="1"/>
  <c r="BQ156" i="4" s="1"/>
  <c r="BN156" i="4"/>
  <c r="BM108" i="4"/>
  <c r="BN108" i="4"/>
  <c r="BM114" i="4"/>
  <c r="BP114" i="4" s="1"/>
  <c r="BQ114" i="4" s="1"/>
  <c r="BN114" i="4"/>
  <c r="BM128" i="4"/>
  <c r="BP128" i="4" s="1"/>
  <c r="BQ128" i="4" s="1"/>
  <c r="BN128" i="4"/>
  <c r="BM135" i="4"/>
  <c r="BP135" i="4" s="1"/>
  <c r="BQ135" i="4" s="1"/>
  <c r="BN135" i="4"/>
  <c r="BM85" i="4"/>
  <c r="BN85" i="4"/>
  <c r="BM141" i="4"/>
  <c r="BS141" i="4" s="1"/>
  <c r="BN141" i="4"/>
  <c r="BM112" i="4"/>
  <c r="BN112" i="4"/>
  <c r="BM88" i="4"/>
  <c r="BS88" i="4" s="1"/>
  <c r="BN88" i="4"/>
  <c r="BB140" i="4"/>
  <c r="BH140" i="4" s="1"/>
  <c r="BC140" i="4"/>
  <c r="BC53" i="4"/>
  <c r="BB53" i="4"/>
  <c r="BH53" i="4" s="1"/>
  <c r="BB144" i="4"/>
  <c r="BH144" i="4" s="1"/>
  <c r="BC144" i="4"/>
  <c r="BB121" i="4"/>
  <c r="BH121" i="4" s="1"/>
  <c r="BC121" i="4"/>
  <c r="BB104" i="4"/>
  <c r="BH104" i="4" s="1"/>
  <c r="BC104" i="4"/>
  <c r="BB37" i="4"/>
  <c r="BH37" i="4" s="1"/>
  <c r="BC37" i="4"/>
  <c r="BC97" i="4"/>
  <c r="BB97" i="4"/>
  <c r="BH97" i="4" s="1"/>
  <c r="BB33" i="4"/>
  <c r="BH33" i="4" s="1"/>
  <c r="BC33" i="4"/>
  <c r="BC83" i="4"/>
  <c r="BB83" i="4"/>
  <c r="BH83" i="4" s="1"/>
  <c r="BC19" i="4"/>
  <c r="BB19" i="4"/>
  <c r="BH19" i="4" s="1"/>
  <c r="BB151" i="4"/>
  <c r="BH151" i="4" s="1"/>
  <c r="BC151" i="4"/>
  <c r="BC84" i="4"/>
  <c r="BB84" i="4"/>
  <c r="BH84" i="4" s="1"/>
  <c r="BB115" i="4"/>
  <c r="BH115" i="4" s="1"/>
  <c r="BC115" i="4"/>
  <c r="BC46" i="4"/>
  <c r="BB46" i="4"/>
  <c r="BH46" i="4" s="1"/>
  <c r="BC101" i="4"/>
  <c r="BB101" i="4"/>
  <c r="BH101" i="4" s="1"/>
  <c r="BB141" i="4"/>
  <c r="BH141" i="4" s="1"/>
  <c r="BC141" i="4"/>
  <c r="BB128" i="4"/>
  <c r="BH128" i="4" s="1"/>
  <c r="BC128" i="4"/>
  <c r="BB61" i="4"/>
  <c r="BH61" i="4" s="1"/>
  <c r="BC61" i="4"/>
  <c r="BB119" i="4"/>
  <c r="BH119" i="4" s="1"/>
  <c r="BC119" i="4"/>
  <c r="BB57" i="4"/>
  <c r="BH57" i="4" s="1"/>
  <c r="BC57" i="4"/>
  <c r="BB105" i="4"/>
  <c r="BH105" i="4" s="1"/>
  <c r="BC105" i="4"/>
  <c r="BC43" i="4"/>
  <c r="BB43" i="4"/>
  <c r="BH43" i="4" s="1"/>
  <c r="BB126" i="4"/>
  <c r="BH126" i="4" s="1"/>
  <c r="BC126" i="4"/>
  <c r="BB137" i="4"/>
  <c r="BH137" i="4" s="1"/>
  <c r="BC137" i="4"/>
  <c r="BB117" i="4"/>
  <c r="BH117" i="4" s="1"/>
  <c r="BC117" i="4"/>
  <c r="BB110" i="4"/>
  <c r="BH110" i="4" s="1"/>
  <c r="BC110" i="4"/>
  <c r="BC157" i="4"/>
  <c r="BB157" i="4"/>
  <c r="BH157" i="4" s="1"/>
  <c r="BC92" i="4"/>
  <c r="BB92" i="4"/>
  <c r="BH92" i="4" s="1"/>
  <c r="BB107" i="4"/>
  <c r="BH107" i="4" s="1"/>
  <c r="BC107" i="4"/>
  <c r="BB42" i="4"/>
  <c r="BH42" i="4" s="1"/>
  <c r="BC42" i="4"/>
  <c r="BB100" i="4"/>
  <c r="BH100" i="4" s="1"/>
  <c r="BC100" i="4"/>
  <c r="BB38" i="4"/>
  <c r="BH38" i="4" s="1"/>
  <c r="BC38" i="4"/>
  <c r="BB88" i="4"/>
  <c r="BH88" i="4" s="1"/>
  <c r="BC88" i="4"/>
  <c r="BC24" i="4"/>
  <c r="BB24" i="4"/>
  <c r="BH24" i="4" s="1"/>
  <c r="BB148" i="4"/>
  <c r="BH148" i="4" s="1"/>
  <c r="BC148" i="4"/>
  <c r="BB134" i="4"/>
  <c r="BH134" i="4" s="1"/>
  <c r="BC134" i="4"/>
  <c r="BM102" i="4"/>
  <c r="BS102" i="4" s="1"/>
  <c r="BN102" i="4"/>
  <c r="BM116" i="4"/>
  <c r="BS116" i="4" s="1"/>
  <c r="BN116" i="4"/>
  <c r="BM145" i="4"/>
  <c r="BP145" i="4" s="1"/>
  <c r="BQ145" i="4" s="1"/>
  <c r="BN145" i="4"/>
  <c r="BM106" i="4"/>
  <c r="BS106" i="4" s="1"/>
  <c r="BN106" i="4"/>
  <c r="BM130" i="4"/>
  <c r="BS130" i="4" s="1"/>
  <c r="BN130" i="4"/>
  <c r="BM137" i="4"/>
  <c r="BP137" i="4" s="1"/>
  <c r="BQ137" i="4" s="1"/>
  <c r="BN137" i="4"/>
  <c r="BM81" i="4"/>
  <c r="BP81" i="4" s="1"/>
  <c r="BQ81" i="4" s="1"/>
  <c r="BN81" i="4"/>
  <c r="BM99" i="4"/>
  <c r="BS99" i="4" s="1"/>
  <c r="BN99" i="4"/>
  <c r="BM151" i="4"/>
  <c r="BN151" i="4"/>
  <c r="BM122" i="4"/>
  <c r="BS122" i="4" s="1"/>
  <c r="BN122" i="4"/>
  <c r="BM84" i="4"/>
  <c r="BS84" i="4" s="1"/>
  <c r="BN84" i="4"/>
  <c r="BM146" i="4"/>
  <c r="BS146" i="4" s="1"/>
  <c r="BN146" i="4"/>
  <c r="BM117" i="4"/>
  <c r="BP117" i="4" s="1"/>
  <c r="BQ117" i="4" s="1"/>
  <c r="BN117" i="4"/>
  <c r="BM87" i="4"/>
  <c r="BP87" i="4" s="1"/>
  <c r="BQ87" i="4" s="1"/>
  <c r="BN87" i="4"/>
  <c r="BM129" i="4"/>
  <c r="BS129" i="4" s="1"/>
  <c r="BN129" i="4"/>
  <c r="BM104" i="4"/>
  <c r="BS104" i="4" s="1"/>
  <c r="BN104" i="4"/>
  <c r="BM157" i="4"/>
  <c r="BN157" i="4"/>
  <c r="BM120" i="4"/>
  <c r="BP120" i="4" s="1"/>
  <c r="BQ120" i="4" s="1"/>
  <c r="BN120" i="4"/>
  <c r="BM132" i="4"/>
  <c r="BN132" i="4"/>
  <c r="BM134" i="4"/>
  <c r="BS134" i="4" s="1"/>
  <c r="BN134" i="4"/>
  <c r="BM109" i="4"/>
  <c r="BN109" i="4"/>
  <c r="BB138" i="4"/>
  <c r="BH138" i="4" s="1"/>
  <c r="BC138" i="4"/>
  <c r="BB15" i="4"/>
  <c r="BH15" i="4" s="1"/>
  <c r="BC15" i="4"/>
  <c r="BC111" i="4"/>
  <c r="BB111" i="4"/>
  <c r="BH111" i="4" s="1"/>
  <c r="BB108" i="4"/>
  <c r="BH108" i="4" s="1"/>
  <c r="BC108" i="4"/>
  <c r="BC79" i="4"/>
  <c r="BB79" i="4"/>
  <c r="BH79" i="4" s="1"/>
  <c r="BB94" i="4"/>
  <c r="BH94" i="4" s="1"/>
  <c r="BC94" i="4"/>
  <c r="BC133" i="4"/>
  <c r="BB133" i="4"/>
  <c r="BH133" i="4" s="1"/>
  <c r="BB21" i="4"/>
  <c r="BH21" i="4" s="1"/>
  <c r="BC21" i="4"/>
  <c r="BC17" i="4"/>
  <c r="BB17" i="4"/>
  <c r="BH17" i="4" s="1"/>
  <c r="BB23" i="4"/>
  <c r="BH23" i="4" s="1"/>
  <c r="BC23" i="4"/>
  <c r="BB142" i="4"/>
  <c r="BH142" i="4" s="1"/>
  <c r="BC142" i="4"/>
  <c r="BB30" i="4"/>
  <c r="BH30" i="4" s="1"/>
  <c r="BC30" i="4"/>
  <c r="BB20" i="4"/>
  <c r="BH20" i="4" s="1"/>
  <c r="BC20" i="4"/>
  <c r="BC71" i="4"/>
  <c r="BB71" i="4"/>
  <c r="BH71" i="4" s="1"/>
  <c r="BB112" i="4"/>
  <c r="BH112" i="4" s="1"/>
  <c r="BC112" i="4"/>
  <c r="BC45" i="4"/>
  <c r="BB45" i="4"/>
  <c r="BH45" i="4" s="1"/>
  <c r="BB103" i="4"/>
  <c r="BH103" i="4" s="1"/>
  <c r="BC103" i="4"/>
  <c r="BB41" i="4"/>
  <c r="BH41" i="4" s="1"/>
  <c r="BC41" i="4"/>
  <c r="BB91" i="4"/>
  <c r="BH91" i="4" s="1"/>
  <c r="BC91" i="4"/>
  <c r="BC27" i="4"/>
  <c r="BB27" i="4"/>
  <c r="BH27" i="4" s="1"/>
  <c r="BC143" i="4"/>
  <c r="BB143" i="4"/>
  <c r="BH143" i="4" s="1"/>
  <c r="BB145" i="4"/>
  <c r="BH145" i="4" s="1"/>
  <c r="BC145" i="4"/>
  <c r="BB131" i="4"/>
  <c r="BH131" i="4" s="1"/>
  <c r="BC131" i="4"/>
  <c r="BB80" i="4"/>
  <c r="BH80" i="4" s="1"/>
  <c r="BC80" i="4"/>
  <c r="BC68" i="4"/>
  <c r="BB68" i="4"/>
  <c r="BH68" i="4" s="1"/>
  <c r="BB136" i="4"/>
  <c r="BH136" i="4" s="1"/>
  <c r="BC136" i="4"/>
  <c r="BB90" i="4"/>
  <c r="BH90" i="4" s="1"/>
  <c r="BC90" i="4"/>
  <c r="BB26" i="4"/>
  <c r="BH26" i="4" s="1"/>
  <c r="BC26" i="4"/>
  <c r="BB86" i="4"/>
  <c r="BH86" i="4" s="1"/>
  <c r="BC86" i="4"/>
  <c r="BB22" i="4"/>
  <c r="BH22" i="4" s="1"/>
  <c r="BC22" i="4"/>
  <c r="BB72" i="4"/>
  <c r="BH72" i="4" s="1"/>
  <c r="BC72" i="4"/>
  <c r="BC95" i="4"/>
  <c r="BB95" i="4"/>
  <c r="BH95" i="4" s="1"/>
  <c r="BB31" i="4"/>
  <c r="BH31" i="4" s="1"/>
  <c r="BC31" i="4"/>
  <c r="BM123" i="4"/>
  <c r="BP123" i="4" s="1"/>
  <c r="BQ123" i="4" s="1"/>
  <c r="BN123" i="4"/>
  <c r="BM115" i="4"/>
  <c r="BS115" i="4" s="1"/>
  <c r="BN115" i="4"/>
  <c r="BM97" i="4"/>
  <c r="BS97" i="4" s="1"/>
  <c r="BN97" i="4"/>
  <c r="BM140" i="4"/>
  <c r="BS140" i="4" s="1"/>
  <c r="BN140" i="4"/>
  <c r="BM143" i="4"/>
  <c r="BP143" i="4" s="1"/>
  <c r="BQ143" i="4" s="1"/>
  <c r="BN143" i="4"/>
  <c r="BM107" i="4"/>
  <c r="BS107" i="4" s="1"/>
  <c r="BN107" i="4"/>
  <c r="BM92" i="4"/>
  <c r="BS92" i="4" s="1"/>
  <c r="BN92" i="4"/>
  <c r="BM126" i="4"/>
  <c r="BP126" i="4" s="1"/>
  <c r="BQ126" i="4" s="1"/>
  <c r="BN126" i="4"/>
  <c r="BM101" i="4"/>
  <c r="BS101" i="4" s="1"/>
  <c r="BN101" i="4"/>
  <c r="BM105" i="4"/>
  <c r="BP105" i="4" s="1"/>
  <c r="BQ105" i="4" s="1"/>
  <c r="BN105" i="4"/>
  <c r="BM131" i="4"/>
  <c r="BP131" i="4" s="1"/>
  <c r="BQ131" i="4" s="1"/>
  <c r="BN131" i="4"/>
  <c r="BM142" i="4"/>
  <c r="BS142" i="4" s="1"/>
  <c r="BN142" i="4"/>
  <c r="BM154" i="4"/>
  <c r="BP154" i="4" s="1"/>
  <c r="BQ154" i="4" s="1"/>
  <c r="BN154" i="4"/>
  <c r="BM121" i="4"/>
  <c r="BS121" i="4" s="1"/>
  <c r="BN121" i="4"/>
  <c r="BM83" i="4"/>
  <c r="BS83" i="4" s="1"/>
  <c r="BN83" i="4"/>
  <c r="BM153" i="4"/>
  <c r="BS153" i="4" s="1"/>
  <c r="BN153" i="4"/>
  <c r="BM111" i="4"/>
  <c r="BP111" i="4" s="1"/>
  <c r="BQ111" i="4" s="1"/>
  <c r="BN111" i="4"/>
  <c r="BM139" i="4"/>
  <c r="BP139" i="4" s="1"/>
  <c r="BQ139" i="4" s="1"/>
  <c r="BN139" i="4"/>
  <c r="BM119" i="4"/>
  <c r="BS119" i="4" s="1"/>
  <c r="BN119" i="4"/>
  <c r="BM91" i="4"/>
  <c r="BP91" i="4" s="1"/>
  <c r="BQ91" i="4" s="1"/>
  <c r="BN91" i="4"/>
  <c r="BM95" i="4"/>
  <c r="BP95" i="4" s="1"/>
  <c r="BQ95" i="4" s="1"/>
  <c r="BN95" i="4"/>
  <c r="BB124" i="4"/>
  <c r="BH124" i="4" s="1"/>
  <c r="BC124" i="4"/>
  <c r="BB39" i="4"/>
  <c r="BH39" i="4" s="1"/>
  <c r="BC39" i="4"/>
  <c r="BB49" i="4"/>
  <c r="BH49" i="4" s="1"/>
  <c r="BC49" i="4"/>
  <c r="BB64" i="4"/>
  <c r="BH64" i="4" s="1"/>
  <c r="BC64" i="4"/>
  <c r="BB106" i="4"/>
  <c r="BH106" i="4" s="1"/>
  <c r="BC106" i="4"/>
  <c r="BC66" i="4"/>
  <c r="BB66" i="4"/>
  <c r="BH66" i="4" s="1"/>
  <c r="BC32" i="4"/>
  <c r="BB32" i="4"/>
  <c r="BH32" i="4" s="1"/>
  <c r="BC153" i="4"/>
  <c r="BB153" i="4"/>
  <c r="BH153" i="4" s="1"/>
  <c r="BB139" i="4"/>
  <c r="BH139" i="4" s="1"/>
  <c r="BC139" i="4"/>
  <c r="BC85" i="4"/>
  <c r="BB85" i="4"/>
  <c r="BH85" i="4" s="1"/>
  <c r="BB81" i="4"/>
  <c r="BH81" i="4" s="1"/>
  <c r="BC81" i="4"/>
  <c r="BC67" i="4"/>
  <c r="BB67" i="4"/>
  <c r="BH67" i="4" s="1"/>
  <c r="BB63" i="4"/>
  <c r="BH63" i="4" s="1"/>
  <c r="BC63" i="4"/>
  <c r="BB98" i="4"/>
  <c r="BH98" i="4" s="1"/>
  <c r="BC98" i="4"/>
  <c r="BB50" i="4"/>
  <c r="BH50" i="4" s="1"/>
  <c r="BC50" i="4"/>
  <c r="BC62" i="4"/>
  <c r="BB62" i="4"/>
  <c r="BH62" i="4" s="1"/>
  <c r="BC44" i="4"/>
  <c r="BB44" i="4"/>
  <c r="BH44" i="4" s="1"/>
  <c r="BC129" i="4"/>
  <c r="BB129" i="4"/>
  <c r="BH129" i="4" s="1"/>
  <c r="BC149" i="4"/>
  <c r="BB149" i="4"/>
  <c r="BH149" i="4" s="1"/>
  <c r="BB155" i="4"/>
  <c r="BH155" i="4" s="1"/>
  <c r="BC155" i="4"/>
  <c r="BC69" i="4"/>
  <c r="BB69" i="4"/>
  <c r="BH69" i="4" s="1"/>
  <c r="BB127" i="4"/>
  <c r="BH127" i="4" s="1"/>
  <c r="BC127" i="4"/>
  <c r="BB65" i="4"/>
  <c r="BH65" i="4" s="1"/>
  <c r="BC65" i="4"/>
  <c r="BB113" i="4"/>
  <c r="BH113" i="4" s="1"/>
  <c r="BC113" i="4"/>
  <c r="BB51" i="4"/>
  <c r="BH51" i="4" s="1"/>
  <c r="BC51" i="4"/>
  <c r="BC87" i="4"/>
  <c r="BB87" i="4"/>
  <c r="BH87" i="4" s="1"/>
  <c r="BB150" i="4"/>
  <c r="BH150" i="4" s="1"/>
  <c r="BC150" i="4"/>
  <c r="BB114" i="4"/>
  <c r="BH114" i="4" s="1"/>
  <c r="BC114" i="4"/>
  <c r="BC82" i="4"/>
  <c r="BB82" i="4"/>
  <c r="BH82" i="4" s="1"/>
  <c r="BB96" i="4"/>
  <c r="BH96" i="4" s="1"/>
  <c r="BC96" i="4"/>
  <c r="BB47" i="4"/>
  <c r="BH47" i="4" s="1"/>
  <c r="BC47" i="4"/>
  <c r="BC125" i="4"/>
  <c r="BB125" i="4"/>
  <c r="BH125" i="4" s="1"/>
  <c r="BC93" i="4"/>
  <c r="BB93" i="4"/>
  <c r="BH93" i="4" s="1"/>
  <c r="BC29" i="4"/>
  <c r="BB29" i="4"/>
  <c r="BH29" i="4" s="1"/>
  <c r="BC89" i="4"/>
  <c r="BB89" i="4"/>
  <c r="BH89" i="4" s="1"/>
  <c r="BB25" i="4"/>
  <c r="BH25" i="4" s="1"/>
  <c r="BC25" i="4"/>
  <c r="BC75" i="4"/>
  <c r="BB75" i="4"/>
  <c r="BH75" i="4" s="1"/>
  <c r="BB11" i="4"/>
  <c r="BH11" i="4" s="1"/>
  <c r="BC11" i="4"/>
  <c r="BB12" i="4"/>
  <c r="BH12" i="4" s="1"/>
  <c r="BC12" i="4"/>
  <c r="BB34" i="4"/>
  <c r="BH34" i="4" s="1"/>
  <c r="BC34" i="4"/>
  <c r="BC16" i="4"/>
  <c r="BB16" i="4"/>
  <c r="BH16" i="4" s="1"/>
  <c r="BB146" i="4"/>
  <c r="BH146" i="4" s="1"/>
  <c r="BC146" i="4"/>
  <c r="BB152" i="4"/>
  <c r="BH152" i="4" s="1"/>
  <c r="BC152" i="4"/>
  <c r="BC74" i="4"/>
  <c r="BB74" i="4"/>
  <c r="BH74" i="4" s="1"/>
  <c r="BB10" i="4"/>
  <c r="BH10" i="4" s="1"/>
  <c r="BC10" i="4"/>
  <c r="BC70" i="4"/>
  <c r="BB70" i="4"/>
  <c r="BH70" i="4" s="1"/>
  <c r="BB118" i="4"/>
  <c r="BH118" i="4" s="1"/>
  <c r="BC118" i="4"/>
  <c r="BB56" i="4"/>
  <c r="BH56" i="4" s="1"/>
  <c r="BC56" i="4"/>
  <c r="BC76" i="4"/>
  <c r="BB76" i="4"/>
  <c r="BH76" i="4" s="1"/>
  <c r="BB109" i="4"/>
  <c r="BH109" i="4" s="1"/>
  <c r="BC109" i="4"/>
  <c r="BM93" i="4"/>
  <c r="BP93" i="4" s="1"/>
  <c r="BQ93" i="4" s="1"/>
  <c r="BN93" i="4"/>
  <c r="BM144" i="4"/>
  <c r="BS144" i="4" s="1"/>
  <c r="BN144" i="4"/>
  <c r="BM127" i="4"/>
  <c r="BP127" i="4" s="1"/>
  <c r="BQ127" i="4" s="1"/>
  <c r="BN127" i="4"/>
  <c r="BM103" i="4"/>
  <c r="BP103" i="4" s="1"/>
  <c r="BQ103" i="4" s="1"/>
  <c r="BN103" i="4"/>
  <c r="BM100" i="4"/>
  <c r="BS100" i="4" s="1"/>
  <c r="BN100" i="4"/>
  <c r="BM125" i="4"/>
  <c r="BS125" i="4" s="1"/>
  <c r="BN125" i="4"/>
  <c r="BM80" i="4"/>
  <c r="BS80" i="4" s="1"/>
  <c r="BN80" i="4"/>
  <c r="BM90" i="4"/>
  <c r="BS90" i="4" s="1"/>
  <c r="BN90" i="4"/>
  <c r="BM124" i="4"/>
  <c r="BP124" i="4" s="1"/>
  <c r="BQ124" i="4" s="1"/>
  <c r="BN124" i="4"/>
  <c r="BM86" i="4"/>
  <c r="BS86" i="4" s="1"/>
  <c r="BN86" i="4"/>
  <c r="BM118" i="4"/>
  <c r="BP118" i="4" s="1"/>
  <c r="BQ118" i="4" s="1"/>
  <c r="BN118" i="4"/>
  <c r="BM136" i="4"/>
  <c r="BS136" i="4" s="1"/>
  <c r="BN136" i="4"/>
  <c r="BM149" i="4"/>
  <c r="BP149" i="4" s="1"/>
  <c r="BQ149" i="4" s="1"/>
  <c r="BN149" i="4"/>
  <c r="BM152" i="4"/>
  <c r="BP152" i="4" s="1"/>
  <c r="BQ152" i="4" s="1"/>
  <c r="BN152" i="4"/>
  <c r="BM110" i="4"/>
  <c r="BS110" i="4" s="1"/>
  <c r="BN110" i="4"/>
  <c r="BM89" i="4"/>
  <c r="BS89" i="4" s="1"/>
  <c r="BN89" i="4"/>
  <c r="BM147" i="4"/>
  <c r="BP147" i="4" s="1"/>
  <c r="BQ147" i="4" s="1"/>
  <c r="BN147" i="4"/>
  <c r="BM82" i="4"/>
  <c r="BP82" i="4" s="1"/>
  <c r="BQ82" i="4" s="1"/>
  <c r="BN82" i="4"/>
  <c r="BM133" i="4"/>
  <c r="BS133" i="4" s="1"/>
  <c r="BN133" i="4"/>
  <c r="BM113" i="4"/>
  <c r="BS113" i="4" s="1"/>
  <c r="BN113" i="4"/>
  <c r="BM94" i="4"/>
  <c r="BP94" i="4" s="1"/>
  <c r="BQ94" i="4" s="1"/>
  <c r="BN94" i="4"/>
  <c r="R17" i="4"/>
  <c r="AF17" i="4" s="1"/>
  <c r="BP24" i="4"/>
  <c r="BQ24" i="4" s="1"/>
  <c r="BS24" i="4"/>
  <c r="BS44" i="4"/>
  <c r="BP44" i="4"/>
  <c r="BQ44" i="4" s="1"/>
  <c r="BS32" i="4"/>
  <c r="BP32" i="4"/>
  <c r="BQ32" i="4" s="1"/>
  <c r="BS56" i="4"/>
  <c r="BP56" i="4"/>
  <c r="BQ56" i="4" s="1"/>
  <c r="BP72" i="4"/>
  <c r="BQ72" i="4" s="1"/>
  <c r="BS72" i="4"/>
  <c r="BS96" i="4"/>
  <c r="BP96" i="4"/>
  <c r="BQ96" i="4" s="1"/>
  <c r="BP42" i="4"/>
  <c r="BQ42" i="4" s="1"/>
  <c r="BS42" i="4"/>
  <c r="BP22" i="4"/>
  <c r="BQ22" i="4" s="1"/>
  <c r="BS22" i="4"/>
  <c r="BS59" i="4"/>
  <c r="BP59" i="4"/>
  <c r="BQ59" i="4" s="1"/>
  <c r="BP11" i="4"/>
  <c r="BQ11" i="4" s="1"/>
  <c r="BS11" i="4"/>
  <c r="BP12" i="4"/>
  <c r="BQ12" i="4" s="1"/>
  <c r="BS12" i="4"/>
  <c r="BS128" i="4"/>
  <c r="BS85" i="4"/>
  <c r="BP85" i="4"/>
  <c r="BQ85" i="4" s="1"/>
  <c r="BP74" i="4"/>
  <c r="BQ74" i="4" s="1"/>
  <c r="BS74" i="4"/>
  <c r="BS112" i="4"/>
  <c r="BP112" i="4"/>
  <c r="BQ112" i="4" s="1"/>
  <c r="BP54" i="4"/>
  <c r="BQ54" i="4" s="1"/>
  <c r="BS54" i="4"/>
  <c r="BP58" i="4"/>
  <c r="BQ58" i="4" s="1"/>
  <c r="BS58" i="4"/>
  <c r="BP28" i="4"/>
  <c r="BQ28" i="4" s="1"/>
  <c r="BS28" i="4"/>
  <c r="BS65" i="4"/>
  <c r="BP65" i="4"/>
  <c r="BQ65" i="4" s="1"/>
  <c r="BP102" i="4"/>
  <c r="BQ102" i="4" s="1"/>
  <c r="BP130" i="4"/>
  <c r="BQ130" i="4" s="1"/>
  <c r="BP15" i="4"/>
  <c r="BQ15" i="4" s="1"/>
  <c r="BS15" i="4"/>
  <c r="BS81" i="4"/>
  <c r="BS151" i="4"/>
  <c r="BP151" i="4"/>
  <c r="BQ151" i="4" s="1"/>
  <c r="BP39" i="4"/>
  <c r="BQ39" i="4" s="1"/>
  <c r="BS39" i="4"/>
  <c r="BP50" i="4"/>
  <c r="BQ50" i="4" s="1"/>
  <c r="BS50" i="4"/>
  <c r="BP70" i="4"/>
  <c r="BQ70" i="4" s="1"/>
  <c r="BS70" i="4"/>
  <c r="BS35" i="4"/>
  <c r="BP35" i="4"/>
  <c r="BQ35" i="4" s="1"/>
  <c r="BS157" i="4"/>
  <c r="BP157" i="4"/>
  <c r="BQ157" i="4" s="1"/>
  <c r="BP52" i="4"/>
  <c r="BQ52" i="4" s="1"/>
  <c r="BS52" i="4"/>
  <c r="BP75" i="4"/>
  <c r="BQ75" i="4" s="1"/>
  <c r="BS75" i="4"/>
  <c r="BS41" i="4"/>
  <c r="BP41" i="4"/>
  <c r="BQ41" i="4" s="1"/>
  <c r="BS131" i="4"/>
  <c r="BP60" i="4"/>
  <c r="BQ60" i="4" s="1"/>
  <c r="BS60" i="4"/>
  <c r="BS53" i="4"/>
  <c r="BP53" i="4"/>
  <c r="BQ53" i="4" s="1"/>
  <c r="BS45" i="4"/>
  <c r="BP45" i="4"/>
  <c r="BQ45" i="4" s="1"/>
  <c r="BP34" i="4"/>
  <c r="BQ34" i="4" s="1"/>
  <c r="BS34" i="4"/>
  <c r="BP64" i="4"/>
  <c r="BQ64" i="4" s="1"/>
  <c r="BS64" i="4"/>
  <c r="BP83" i="4"/>
  <c r="BQ83" i="4" s="1"/>
  <c r="BP13" i="4"/>
  <c r="BQ13" i="4" s="1"/>
  <c r="BS13" i="4"/>
  <c r="BP47" i="4"/>
  <c r="BQ47" i="4" s="1"/>
  <c r="BS47" i="4"/>
  <c r="BS111" i="4"/>
  <c r="BP119" i="4"/>
  <c r="BQ119" i="4" s="1"/>
  <c r="BS27" i="4"/>
  <c r="BP27" i="4"/>
  <c r="BQ27" i="4" s="1"/>
  <c r="BS61" i="4"/>
  <c r="BP61" i="4"/>
  <c r="BQ61" i="4" s="1"/>
  <c r="BP31" i="4"/>
  <c r="BQ31" i="4" s="1"/>
  <c r="BS31" i="4"/>
  <c r="BP68" i="4"/>
  <c r="BQ68" i="4" s="1"/>
  <c r="BS68" i="4"/>
  <c r="BP36" i="4"/>
  <c r="BQ36" i="4" s="1"/>
  <c r="BS36" i="4"/>
  <c r="BS57" i="4"/>
  <c r="BP57" i="4"/>
  <c r="BQ57" i="4" s="1"/>
  <c r="BS29" i="4"/>
  <c r="BP29" i="4"/>
  <c r="BQ29" i="4" s="1"/>
  <c r="BS138" i="4"/>
  <c r="BP138" i="4"/>
  <c r="BQ138" i="4" s="1"/>
  <c r="BS55" i="4"/>
  <c r="BP55" i="4"/>
  <c r="BQ55" i="4" s="1"/>
  <c r="BS63" i="4"/>
  <c r="BP63" i="4"/>
  <c r="BQ63" i="4" s="1"/>
  <c r="BP98" i="4"/>
  <c r="BQ98" i="4" s="1"/>
  <c r="BS51" i="4"/>
  <c r="BP51" i="4"/>
  <c r="BQ51" i="4" s="1"/>
  <c r="BP66" i="4"/>
  <c r="BQ66" i="4" s="1"/>
  <c r="BS66" i="4"/>
  <c r="BS108" i="4"/>
  <c r="BP108" i="4"/>
  <c r="BQ108" i="4" s="1"/>
  <c r="BS79" i="4"/>
  <c r="BP79" i="4"/>
  <c r="BQ79" i="4" s="1"/>
  <c r="BS114" i="4"/>
  <c r="BS21" i="4"/>
  <c r="BP21" i="4"/>
  <c r="BQ21" i="4" s="1"/>
  <c r="BP10" i="4"/>
  <c r="BQ10" i="4" s="1"/>
  <c r="BS10" i="4"/>
  <c r="BS23" i="4"/>
  <c r="BP23" i="4"/>
  <c r="BQ23" i="4" s="1"/>
  <c r="BP49" i="4"/>
  <c r="BQ49" i="4" s="1"/>
  <c r="BS49" i="4"/>
  <c r="BP40" i="4"/>
  <c r="BQ40" i="4" s="1"/>
  <c r="BS40" i="4"/>
  <c r="BS76" i="4"/>
  <c r="BP76" i="4"/>
  <c r="BQ76" i="4" s="1"/>
  <c r="BS137" i="4"/>
  <c r="BP78" i="4"/>
  <c r="BQ78" i="4" s="1"/>
  <c r="BS78" i="4"/>
  <c r="BP16" i="4"/>
  <c r="BQ16" i="4" s="1"/>
  <c r="BS16" i="4"/>
  <c r="BS132" i="4"/>
  <c r="BP132" i="4"/>
  <c r="BQ132" i="4" s="1"/>
  <c r="BS109" i="4"/>
  <c r="BP109" i="4"/>
  <c r="BQ109" i="4" s="1"/>
  <c r="BS48" i="4"/>
  <c r="BP48" i="4"/>
  <c r="BQ48" i="4" s="1"/>
  <c r="BS67" i="4"/>
  <c r="BP67" i="4"/>
  <c r="BQ67" i="4" s="1"/>
  <c r="BS19" i="4"/>
  <c r="BP19" i="4"/>
  <c r="BQ19" i="4" s="1"/>
  <c r="BP20" i="4"/>
  <c r="BQ20" i="4" s="1"/>
  <c r="BS20" i="4"/>
  <c r="BP14" i="4"/>
  <c r="BQ14" i="4" s="1"/>
  <c r="BS14" i="4"/>
  <c r="BS17" i="4"/>
  <c r="BP17" i="4"/>
  <c r="BQ17" i="4" s="1"/>
  <c r="BS37" i="4"/>
  <c r="BP37" i="4"/>
  <c r="BQ37" i="4" s="1"/>
  <c r="BS33" i="4"/>
  <c r="BP33" i="4"/>
  <c r="BQ33" i="4" s="1"/>
  <c r="BP77" i="4"/>
  <c r="BQ77" i="4" s="1"/>
  <c r="BS77" i="4"/>
  <c r="BP26" i="4"/>
  <c r="BQ26" i="4" s="1"/>
  <c r="BS26" i="4"/>
  <c r="BP18" i="4"/>
  <c r="BQ18" i="4" s="1"/>
  <c r="BS18" i="4"/>
  <c r="BP38" i="4"/>
  <c r="BQ38" i="4" s="1"/>
  <c r="BS38" i="4"/>
  <c r="BP30" i="4"/>
  <c r="BQ30" i="4" s="1"/>
  <c r="BS30" i="4"/>
  <c r="BS71" i="4"/>
  <c r="BP71" i="4"/>
  <c r="BQ71" i="4" s="1"/>
  <c r="BS43" i="4"/>
  <c r="BP43" i="4"/>
  <c r="BQ43" i="4" s="1"/>
  <c r="BS62" i="4"/>
  <c r="BP62" i="4"/>
  <c r="BQ62" i="4" s="1"/>
  <c r="BP25" i="4"/>
  <c r="BQ25" i="4" s="1"/>
  <c r="BS25" i="4"/>
  <c r="BS69" i="4"/>
  <c r="BP69" i="4"/>
  <c r="BQ69" i="4" s="1"/>
  <c r="BP46" i="4"/>
  <c r="BQ46" i="4" s="1"/>
  <c r="BS46" i="4"/>
  <c r="BP73" i="4"/>
  <c r="BQ73" i="4" s="1"/>
  <c r="BS73" i="4"/>
  <c r="BS9" i="4"/>
  <c r="BP9" i="4"/>
  <c r="BQ9" i="4" s="1"/>
  <c r="BE140" i="4"/>
  <c r="BF140" i="4" s="1"/>
  <c r="BE120" i="4"/>
  <c r="BF120" i="4" s="1"/>
  <c r="BE135" i="4"/>
  <c r="BF135" i="4" s="1"/>
  <c r="BE122" i="4"/>
  <c r="BF122" i="4" s="1"/>
  <c r="BE85" i="4"/>
  <c r="BF85" i="4" s="1"/>
  <c r="BE21" i="4"/>
  <c r="BF21" i="4" s="1"/>
  <c r="BE67" i="4"/>
  <c r="BF67" i="4" s="1"/>
  <c r="BE98" i="4"/>
  <c r="BF98" i="4" s="1"/>
  <c r="BE30" i="4"/>
  <c r="BF30" i="4" s="1"/>
  <c r="BE45" i="4"/>
  <c r="BF45" i="4" s="1"/>
  <c r="BE41" i="4"/>
  <c r="BF41" i="4" s="1"/>
  <c r="BE27" i="4"/>
  <c r="BF27" i="4" s="1"/>
  <c r="BE145" i="4"/>
  <c r="BF145" i="4" s="1"/>
  <c r="BE80" i="4"/>
  <c r="BF80" i="4" s="1"/>
  <c r="BE26" i="4"/>
  <c r="BF26" i="4" s="1"/>
  <c r="BE95" i="4"/>
  <c r="BF95" i="4" s="1"/>
  <c r="BE155" i="4"/>
  <c r="BF155" i="4" s="1"/>
  <c r="BE127" i="4"/>
  <c r="BF127" i="4" s="1"/>
  <c r="BE87" i="4"/>
  <c r="BF87" i="4" s="1"/>
  <c r="BE96" i="4"/>
  <c r="BF96" i="4" s="1"/>
  <c r="BE125" i="4"/>
  <c r="BF125" i="4" s="1"/>
  <c r="BE29" i="4"/>
  <c r="BF29" i="4" s="1"/>
  <c r="BE11" i="4"/>
  <c r="BF11" i="4" s="1"/>
  <c r="BE70" i="4"/>
  <c r="BF70" i="4" s="1"/>
  <c r="BE14" i="4"/>
  <c r="BF14" i="4" s="1"/>
  <c r="BE39" i="4"/>
  <c r="BF39" i="4" s="1"/>
  <c r="BE52" i="4"/>
  <c r="BF52" i="4" s="1"/>
  <c r="BE48" i="4"/>
  <c r="BF48" i="4" s="1"/>
  <c r="BE13" i="4"/>
  <c r="BF13" i="4" s="1"/>
  <c r="BE9" i="4"/>
  <c r="BF9" i="4" s="1"/>
  <c r="BE55" i="4"/>
  <c r="BF55" i="4" s="1"/>
  <c r="BE156" i="4"/>
  <c r="BF156" i="4" s="1"/>
  <c r="BE28" i="4"/>
  <c r="BF28" i="4" s="1"/>
  <c r="BE116" i="4"/>
  <c r="BF116" i="4" s="1"/>
  <c r="BE54" i="4"/>
  <c r="BF54" i="4" s="1"/>
  <c r="BE102" i="4"/>
  <c r="BF102" i="4" s="1"/>
  <c r="BE132" i="4"/>
  <c r="BF132" i="4" s="1"/>
  <c r="BE108" i="4"/>
  <c r="BF108" i="4" s="1"/>
  <c r="BE104" i="4"/>
  <c r="BF104" i="4" s="1"/>
  <c r="BE83" i="4"/>
  <c r="BF83" i="4" s="1"/>
  <c r="BE151" i="4"/>
  <c r="BF151" i="4" s="1"/>
  <c r="BE115" i="4"/>
  <c r="BF115" i="4" s="1"/>
  <c r="BE128" i="4"/>
  <c r="BF128" i="4" s="1"/>
  <c r="BE105" i="4"/>
  <c r="BF105" i="4" s="1"/>
  <c r="BE117" i="4"/>
  <c r="BF117" i="4" s="1"/>
  <c r="BE107" i="4"/>
  <c r="BF107" i="4" s="1"/>
  <c r="BE88" i="4"/>
  <c r="BF88" i="4" s="1"/>
  <c r="BP8" i="4"/>
  <c r="R86" i="4"/>
  <c r="AF86" i="4" s="1"/>
  <c r="R26" i="4"/>
  <c r="BB8" i="4"/>
  <c r="R72" i="4"/>
  <c r="AF72" i="4" s="1"/>
  <c r="R21" i="4"/>
  <c r="AF21" i="4" s="1"/>
  <c r="R16" i="4"/>
  <c r="AF16" i="4" s="1"/>
  <c r="R94" i="4"/>
  <c r="AF94" i="4" s="1"/>
  <c r="R112" i="4"/>
  <c r="AF112" i="4" s="1"/>
  <c r="R28" i="4"/>
  <c r="AF28" i="4" s="1"/>
  <c r="R75" i="4"/>
  <c r="AF75" i="4" s="1"/>
  <c r="R127" i="4"/>
  <c r="AF127" i="4" s="1"/>
  <c r="R147" i="4"/>
  <c r="AF147" i="4" s="1"/>
  <c r="R154" i="4"/>
  <c r="AF154" i="4" s="1"/>
  <c r="R15" i="4"/>
  <c r="AF15" i="4" s="1"/>
  <c r="R74" i="4"/>
  <c r="AF74" i="4" s="1"/>
  <c r="R109" i="4"/>
  <c r="AF109" i="4" s="1"/>
  <c r="R39" i="4"/>
  <c r="AF39" i="4" s="1"/>
  <c r="R44" i="4"/>
  <c r="AF44" i="4" s="1"/>
  <c r="R13" i="4"/>
  <c r="AF13" i="4" s="1"/>
  <c r="R37" i="4"/>
  <c r="AF37" i="4" s="1"/>
  <c r="R14" i="4"/>
  <c r="AF14" i="4" s="1"/>
  <c r="R138" i="4"/>
  <c r="AF138" i="4" s="1"/>
  <c r="R52" i="4"/>
  <c r="AF52" i="4" s="1"/>
  <c r="R40" i="4"/>
  <c r="AF40" i="4" s="1"/>
  <c r="R60" i="4"/>
  <c r="AF60" i="4" s="1"/>
  <c r="R36" i="4"/>
  <c r="AF36" i="4" s="1"/>
  <c r="R58" i="4"/>
  <c r="AF58" i="4" s="1"/>
  <c r="R54" i="4"/>
  <c r="AF54" i="4" s="1"/>
  <c r="R59" i="4"/>
  <c r="AF59" i="4" s="1"/>
  <c r="R148" i="4"/>
  <c r="AF148" i="4" s="1"/>
  <c r="R157" i="4"/>
  <c r="R116" i="4"/>
  <c r="AF116" i="4" s="1"/>
  <c r="R55" i="4"/>
  <c r="AF55" i="4" s="1"/>
  <c r="R79" i="4"/>
  <c r="AF79" i="4" s="1"/>
  <c r="R57" i="4"/>
  <c r="AF57" i="4" s="1"/>
  <c r="R18" i="4"/>
  <c r="AF18" i="4" s="1"/>
  <c r="R156" i="4"/>
  <c r="AF156" i="4" s="1"/>
  <c r="R102" i="4"/>
  <c r="AF102" i="4" s="1"/>
  <c r="R99" i="4"/>
  <c r="AF99" i="4" s="1"/>
  <c r="R130" i="4"/>
  <c r="AF130" i="4" s="1"/>
  <c r="R77" i="4"/>
  <c r="AF77" i="4" s="1"/>
  <c r="R19" i="4"/>
  <c r="AF19" i="4" s="1"/>
  <c r="R97" i="4"/>
  <c r="AF97" i="4" s="1"/>
  <c r="R141" i="4"/>
  <c r="AF141" i="4" s="1"/>
  <c r="R137" i="4"/>
  <c r="AF137" i="4" s="1"/>
  <c r="R126" i="4"/>
  <c r="AF126" i="4" s="1"/>
  <c r="R117" i="4"/>
  <c r="AF117" i="4" s="1"/>
  <c r="R103" i="4"/>
  <c r="AF103" i="4" s="1"/>
  <c r="R88" i="4"/>
  <c r="AF88" i="4" s="1"/>
  <c r="R101" i="4"/>
  <c r="AF101" i="4" s="1"/>
  <c r="R108" i="4"/>
  <c r="AF108" i="4" s="1"/>
  <c r="R33" i="4"/>
  <c r="AF33" i="4" s="1"/>
  <c r="R45" i="4"/>
  <c r="AF45" i="4" s="1"/>
  <c r="R144" i="4"/>
  <c r="AF144" i="4" s="1"/>
  <c r="R87" i="4"/>
  <c r="AF87" i="4" s="1"/>
  <c r="R128" i="4"/>
  <c r="AF128" i="4" s="1"/>
  <c r="R34" i="4"/>
  <c r="AF34" i="4" s="1"/>
  <c r="R146" i="4"/>
  <c r="AF146" i="4" s="1"/>
  <c r="R48" i="4"/>
  <c r="AF48" i="4" s="1"/>
  <c r="R132" i="4"/>
  <c r="AF132" i="4" s="1"/>
  <c r="R123" i="4"/>
  <c r="AF123" i="4" s="1"/>
  <c r="R122" i="4"/>
  <c r="AF122" i="4" s="1"/>
  <c r="R49" i="4"/>
  <c r="AF49" i="4" s="1"/>
  <c r="R43" i="4"/>
  <c r="AF43" i="4" s="1"/>
  <c r="R104" i="4"/>
  <c r="AF104" i="4" s="1"/>
  <c r="R124" i="4"/>
  <c r="AF124" i="4" s="1"/>
  <c r="R111" i="4"/>
  <c r="AF111" i="4" s="1"/>
  <c r="R84" i="4"/>
  <c r="AF84" i="4" s="1"/>
  <c r="R35" i="4"/>
  <c r="AF35" i="4" s="1"/>
  <c r="R140" i="4"/>
  <c r="AF140" i="4" s="1"/>
  <c r="R107" i="4"/>
  <c r="AF107" i="4" s="1"/>
  <c r="R134" i="4"/>
  <c r="AF134" i="4" s="1"/>
  <c r="R42" i="4"/>
  <c r="AF42" i="4" s="1"/>
  <c r="R24" i="4"/>
  <c r="AF24" i="4" s="1"/>
  <c r="R125" i="4"/>
  <c r="AF125" i="4" s="1"/>
  <c r="R151" i="4"/>
  <c r="AF151" i="4" s="1"/>
  <c r="R65" i="4"/>
  <c r="AF65" i="4" s="1"/>
  <c r="R118" i="4"/>
  <c r="AF118" i="4" s="1"/>
  <c r="R113" i="4"/>
  <c r="AF113" i="4" s="1"/>
  <c r="R46" i="4"/>
  <c r="AF46" i="4" s="1"/>
  <c r="R98" i="4"/>
  <c r="AF98" i="4" s="1"/>
  <c r="R139" i="4"/>
  <c r="AF139" i="4" s="1"/>
  <c r="R153" i="4"/>
  <c r="AF153" i="4" s="1"/>
  <c r="R90" i="4"/>
  <c r="AF90" i="4" s="1"/>
  <c r="R133" i="4"/>
  <c r="AF133" i="4" s="1"/>
  <c r="R41" i="4"/>
  <c r="AF41" i="4" s="1"/>
  <c r="R23" i="4"/>
  <c r="AF23" i="4" s="1"/>
  <c r="R152" i="4"/>
  <c r="AF152" i="4" s="1"/>
  <c r="R82" i="4"/>
  <c r="AF82" i="4" s="1"/>
  <c r="R10" i="4"/>
  <c r="AF10" i="4" s="1"/>
  <c r="R12" i="4"/>
  <c r="AF12" i="4" s="1"/>
  <c r="R51" i="4"/>
  <c r="AF51" i="4" s="1"/>
  <c r="R96" i="4"/>
  <c r="AF96" i="4" s="1"/>
  <c r="R143" i="4"/>
  <c r="AF143" i="4" s="1"/>
  <c r="R131" i="4"/>
  <c r="AF131" i="4" s="1"/>
  <c r="R145" i="4"/>
  <c r="AF145" i="4" s="1"/>
  <c r="R29" i="4"/>
  <c r="AF29" i="4" s="1"/>
  <c r="R11" i="4"/>
  <c r="AF11" i="4" s="1"/>
  <c r="R66" i="4"/>
  <c r="AF66" i="4" s="1"/>
  <c r="R89" i="4"/>
  <c r="AF89" i="4" s="1"/>
  <c r="R80" i="4"/>
  <c r="AF80" i="4" s="1"/>
  <c r="R7" i="4"/>
  <c r="AF7" i="4" s="1"/>
  <c r="R149" i="4"/>
  <c r="AF149" i="4" s="1"/>
  <c r="R27" i="4"/>
  <c r="AF27" i="4" s="1"/>
  <c r="R69" i="4"/>
  <c r="AF69" i="4" s="1"/>
  <c r="R76" i="4"/>
  <c r="AF76" i="4" s="1"/>
  <c r="R81" i="4"/>
  <c r="AF81" i="4" s="1"/>
  <c r="R155" i="4"/>
  <c r="AF155" i="4" s="1"/>
  <c r="R68" i="4"/>
  <c r="AF68" i="4" s="1"/>
  <c r="R115" i="4"/>
  <c r="AF115" i="4" s="1"/>
  <c r="R22" i="4"/>
  <c r="AF22" i="4" s="1"/>
  <c r="R83" i="4"/>
  <c r="AF83" i="4" s="1"/>
  <c r="R56" i="4"/>
  <c r="AF56" i="4" s="1"/>
  <c r="R129" i="4"/>
  <c r="AF129" i="4" s="1"/>
  <c r="R135" i="4"/>
  <c r="AF135" i="4" s="1"/>
  <c r="R110" i="4"/>
  <c r="AF110" i="4" s="1"/>
  <c r="R50" i="4"/>
  <c r="AF50" i="4" s="1"/>
  <c r="R121" i="4"/>
  <c r="AF121" i="4" s="1"/>
  <c r="R136" i="4"/>
  <c r="AF136" i="4" s="1"/>
  <c r="R119" i="4"/>
  <c r="AF119" i="4" s="1"/>
  <c r="R38" i="4"/>
  <c r="AF38" i="4" s="1"/>
  <c r="R31" i="4"/>
  <c r="AF31" i="4" s="1"/>
  <c r="R100" i="4"/>
  <c r="AF100" i="4" s="1"/>
  <c r="R64" i="4"/>
  <c r="AF64" i="4" s="1"/>
  <c r="R71" i="4"/>
  <c r="AF71" i="4" s="1"/>
  <c r="R63" i="4"/>
  <c r="AF63" i="4" s="1"/>
  <c r="R114" i="4"/>
  <c r="AF114" i="4" s="1"/>
  <c r="R67" i="4"/>
  <c r="AF67" i="4" s="1"/>
  <c r="R20" i="4"/>
  <c r="AF20" i="4" s="1"/>
  <c r="R91" i="4"/>
  <c r="AF91" i="4" s="1"/>
  <c r="R32" i="4"/>
  <c r="AF32" i="4" s="1"/>
  <c r="R142" i="4"/>
  <c r="AF142" i="4" s="1"/>
  <c r="R106" i="4"/>
  <c r="AF106" i="4" s="1"/>
  <c r="R78" i="4"/>
  <c r="AF78" i="4" s="1"/>
  <c r="R150" i="4"/>
  <c r="AF150" i="4" s="1"/>
  <c r="R73" i="4"/>
  <c r="AF73" i="4" s="1"/>
  <c r="R70" i="4"/>
  <c r="AF70" i="4" s="1"/>
  <c r="R47" i="4"/>
  <c r="AF47" i="4" s="1"/>
  <c r="R62" i="4"/>
  <c r="AF62" i="4" s="1"/>
  <c r="R93" i="4"/>
  <c r="AF93" i="4" s="1"/>
  <c r="R120" i="4"/>
  <c r="AF120" i="4" s="1"/>
  <c r="R85" i="4"/>
  <c r="AF85" i="4" s="1"/>
  <c r="R61" i="4"/>
  <c r="AF61" i="4" s="1"/>
  <c r="R9" i="4"/>
  <c r="AF9" i="4" s="1"/>
  <c r="R92" i="4"/>
  <c r="AF92" i="4" s="1"/>
  <c r="R8" i="4"/>
  <c r="R95" i="4"/>
  <c r="AF95" i="4" s="1"/>
  <c r="R30" i="4"/>
  <c r="AF30" i="4" s="1"/>
  <c r="R105" i="4"/>
  <c r="AF105" i="4" s="1"/>
  <c r="R53" i="4"/>
  <c r="AF53" i="4" s="1"/>
  <c r="B286" i="2"/>
  <c r="B285" i="2"/>
  <c r="B282" i="2"/>
  <c r="B281" i="2"/>
  <c r="B280" i="2"/>
  <c r="B279" i="2"/>
  <c r="B278" i="2"/>
  <c r="AG25" i="4" l="1"/>
  <c r="BE62" i="4"/>
  <c r="BF62" i="4" s="1"/>
  <c r="BS135" i="4"/>
  <c r="BE129" i="4"/>
  <c r="BF129" i="4" s="1"/>
  <c r="BE25" i="4"/>
  <c r="BF25" i="4" s="1"/>
  <c r="BP144" i="4"/>
  <c r="BQ144" i="4" s="1"/>
  <c r="BE56" i="4"/>
  <c r="BF56" i="4" s="1"/>
  <c r="BE66" i="4"/>
  <c r="BF66" i="4" s="1"/>
  <c r="BP99" i="4"/>
  <c r="BQ99" i="4" s="1"/>
  <c r="BE100" i="4"/>
  <c r="BF100" i="4" s="1"/>
  <c r="BE101" i="4"/>
  <c r="BF101" i="4" s="1"/>
  <c r="BE144" i="4"/>
  <c r="BF144" i="4" s="1"/>
  <c r="BE36" i="4"/>
  <c r="BF36" i="4" s="1"/>
  <c r="BE15" i="4"/>
  <c r="BF15" i="4" s="1"/>
  <c r="BE99" i="4"/>
  <c r="BF99" i="4" s="1"/>
  <c r="BS123" i="4"/>
  <c r="BE153" i="4"/>
  <c r="BF153" i="4" s="1"/>
  <c r="BE114" i="4"/>
  <c r="BF114" i="4" s="1"/>
  <c r="BE22" i="4"/>
  <c r="BF22" i="4" s="1"/>
  <c r="BE71" i="4"/>
  <c r="BF71" i="4" s="1"/>
  <c r="BE94" i="4"/>
  <c r="BF94" i="4" s="1"/>
  <c r="BS82" i="4"/>
  <c r="BP129" i="4"/>
  <c r="BQ129" i="4" s="1"/>
  <c r="BP148" i="4"/>
  <c r="BQ148" i="4" s="1"/>
  <c r="BE126" i="4"/>
  <c r="BF126" i="4" s="1"/>
  <c r="BE97" i="4"/>
  <c r="BF97" i="4" s="1"/>
  <c r="BE147" i="4"/>
  <c r="BF147" i="4" s="1"/>
  <c r="BE74" i="4"/>
  <c r="BF74" i="4" s="1"/>
  <c r="BP101" i="4"/>
  <c r="BQ101" i="4" s="1"/>
  <c r="BE123" i="4"/>
  <c r="BF123" i="4" s="1"/>
  <c r="BE34" i="4"/>
  <c r="BF34" i="4" s="1"/>
  <c r="BE113" i="4"/>
  <c r="BF113" i="4" s="1"/>
  <c r="BE136" i="4"/>
  <c r="BF136" i="4" s="1"/>
  <c r="BP84" i="4"/>
  <c r="BQ84" i="4" s="1"/>
  <c r="BS143" i="4"/>
  <c r="BS145" i="4"/>
  <c r="BE157" i="4"/>
  <c r="BF157" i="4" s="1"/>
  <c r="BE148" i="4"/>
  <c r="BF148" i="4" s="1"/>
  <c r="BE119" i="4"/>
  <c r="BF119" i="4" s="1"/>
  <c r="BE64" i="4"/>
  <c r="BF64" i="4" s="1"/>
  <c r="BE23" i="4"/>
  <c r="BF23" i="4" s="1"/>
  <c r="BE60" i="4"/>
  <c r="BF60" i="4" s="1"/>
  <c r="BP86" i="4"/>
  <c r="BQ86" i="4" s="1"/>
  <c r="BS95" i="4"/>
  <c r="BS154" i="4"/>
  <c r="BP97" i="4"/>
  <c r="BQ97" i="4" s="1"/>
  <c r="BP92" i="4"/>
  <c r="BQ92" i="4" s="1"/>
  <c r="BS117" i="4"/>
  <c r="BP141" i="4"/>
  <c r="BQ141" i="4" s="1"/>
  <c r="BS152" i="4"/>
  <c r="BP125" i="4"/>
  <c r="BQ125" i="4" s="1"/>
  <c r="BP136" i="4"/>
  <c r="BQ136" i="4" s="1"/>
  <c r="BP90" i="4"/>
  <c r="BQ90" i="4" s="1"/>
  <c r="BE109" i="4"/>
  <c r="BF109" i="4" s="1"/>
  <c r="BE146" i="4"/>
  <c r="BF146" i="4" s="1"/>
  <c r="BE86" i="4"/>
  <c r="BF86" i="4" s="1"/>
  <c r="BP113" i="4"/>
  <c r="BQ113" i="4" s="1"/>
  <c r="BP89" i="4"/>
  <c r="BQ89" i="4" s="1"/>
  <c r="BS103" i="4"/>
  <c r="BS105" i="4"/>
  <c r="BE33" i="4"/>
  <c r="BF33" i="4" s="1"/>
  <c r="BE58" i="4"/>
  <c r="BF58" i="4" s="1"/>
  <c r="BE134" i="4"/>
  <c r="BF134" i="4" s="1"/>
  <c r="BE137" i="4"/>
  <c r="BF137" i="4" s="1"/>
  <c r="BE35" i="4"/>
  <c r="BF35" i="4" s="1"/>
  <c r="BE103" i="4"/>
  <c r="BF103" i="4" s="1"/>
  <c r="BE138" i="4"/>
  <c r="BF138" i="4" s="1"/>
  <c r="BP104" i="4"/>
  <c r="BQ104" i="4" s="1"/>
  <c r="BS87" i="4"/>
  <c r="BP116" i="4"/>
  <c r="BQ116" i="4" s="1"/>
  <c r="BP146" i="4"/>
  <c r="BQ146" i="4" s="1"/>
  <c r="BS156" i="4"/>
  <c r="BP155" i="4"/>
  <c r="BQ155" i="4" s="1"/>
  <c r="BE141" i="4"/>
  <c r="BF141" i="4" s="1"/>
  <c r="BE106" i="4"/>
  <c r="BF106" i="4" s="1"/>
  <c r="BE130" i="4"/>
  <c r="BF130" i="4" s="1"/>
  <c r="BE18" i="4"/>
  <c r="BF18" i="4" s="1"/>
  <c r="BE31" i="4"/>
  <c r="BF31" i="4" s="1"/>
  <c r="BP153" i="4"/>
  <c r="BQ153" i="4" s="1"/>
  <c r="BP88" i="4"/>
  <c r="BQ88" i="4" s="1"/>
  <c r="BE38" i="4"/>
  <c r="BF38" i="4" s="1"/>
  <c r="BE57" i="4"/>
  <c r="BF57" i="4" s="1"/>
  <c r="BE78" i="4"/>
  <c r="BF78" i="4" s="1"/>
  <c r="BE20" i="4"/>
  <c r="BF20" i="4" s="1"/>
  <c r="BE124" i="4"/>
  <c r="BF124" i="4" s="1"/>
  <c r="BP150" i="4"/>
  <c r="BQ150" i="4" s="1"/>
  <c r="BP142" i="4"/>
  <c r="BQ142" i="4" s="1"/>
  <c r="BE143" i="4"/>
  <c r="BF143" i="4" s="1"/>
  <c r="BE53" i="4"/>
  <c r="BF53" i="4" s="1"/>
  <c r="BE63" i="4"/>
  <c r="BF63" i="4" s="1"/>
  <c r="BE51" i="4"/>
  <c r="BF51" i="4" s="1"/>
  <c r="BE133" i="4"/>
  <c r="BF133" i="4" s="1"/>
  <c r="BP107" i="4"/>
  <c r="BQ107" i="4" s="1"/>
  <c r="BE10" i="4"/>
  <c r="BF10" i="4" s="1"/>
  <c r="BP115" i="4"/>
  <c r="BQ115" i="4" s="1"/>
  <c r="BE81" i="4"/>
  <c r="BF81" i="4" s="1"/>
  <c r="BS91" i="4"/>
  <c r="BS126" i="4"/>
  <c r="BP140" i="4"/>
  <c r="BQ140" i="4" s="1"/>
  <c r="BP134" i="4"/>
  <c r="BQ134" i="4" s="1"/>
  <c r="BS93" i="4"/>
  <c r="BS139" i="4"/>
  <c r="BP110" i="4"/>
  <c r="BQ110" i="4" s="1"/>
  <c r="BS149" i="4"/>
  <c r="BS94" i="4"/>
  <c r="BE68" i="4"/>
  <c r="BF68" i="4" s="1"/>
  <c r="BS124" i="4"/>
  <c r="BE77" i="4"/>
  <c r="BF77" i="4" s="1"/>
  <c r="BE75" i="4"/>
  <c r="BF75" i="4" s="1"/>
  <c r="BE82" i="4"/>
  <c r="BF82" i="4" s="1"/>
  <c r="BE44" i="4"/>
  <c r="BF44" i="4" s="1"/>
  <c r="BE84" i="4"/>
  <c r="BF84" i="4" s="1"/>
  <c r="BE40" i="4"/>
  <c r="BF40" i="4" s="1"/>
  <c r="BE76" i="4"/>
  <c r="BF76" i="4" s="1"/>
  <c r="BE93" i="4"/>
  <c r="BF93" i="4" s="1"/>
  <c r="BE69" i="4"/>
  <c r="BF69" i="4" s="1"/>
  <c r="BE72" i="4"/>
  <c r="BF72" i="4" s="1"/>
  <c r="BE90" i="4"/>
  <c r="BF90" i="4" s="1"/>
  <c r="BE131" i="4"/>
  <c r="BF131" i="4" s="1"/>
  <c r="BE91" i="4"/>
  <c r="BF91" i="4" s="1"/>
  <c r="BE112" i="4"/>
  <c r="BF112" i="4" s="1"/>
  <c r="BE32" i="4"/>
  <c r="BF32" i="4" s="1"/>
  <c r="BP133" i="4"/>
  <c r="BQ133" i="4" s="1"/>
  <c r="BS147" i="4"/>
  <c r="BS118" i="4"/>
  <c r="BS127" i="4"/>
  <c r="BP121" i="4"/>
  <c r="BQ121" i="4" s="1"/>
  <c r="BP100" i="4"/>
  <c r="BQ100" i="4" s="1"/>
  <c r="BS120" i="4"/>
  <c r="BP122" i="4"/>
  <c r="BQ122" i="4" s="1"/>
  <c r="BP106" i="4"/>
  <c r="BQ106" i="4" s="1"/>
  <c r="BP80" i="4"/>
  <c r="BQ80" i="4" s="1"/>
  <c r="BE92" i="4"/>
  <c r="BF92" i="4" s="1"/>
  <c r="BE59" i="4"/>
  <c r="BF59" i="4" s="1"/>
  <c r="BE16" i="4"/>
  <c r="BF16" i="4" s="1"/>
  <c r="BE111" i="4"/>
  <c r="BF111" i="4" s="1"/>
  <c r="BE79" i="4"/>
  <c r="BF79" i="4" s="1"/>
  <c r="BE24" i="4"/>
  <c r="BF24" i="4" s="1"/>
  <c r="BE42" i="4"/>
  <c r="BF42" i="4" s="1"/>
  <c r="BE110" i="4"/>
  <c r="BF110" i="4" s="1"/>
  <c r="BE43" i="4"/>
  <c r="BF43" i="4" s="1"/>
  <c r="BE61" i="4"/>
  <c r="BF61" i="4" s="1"/>
  <c r="BE46" i="4"/>
  <c r="BF46" i="4" s="1"/>
  <c r="BE19" i="4"/>
  <c r="BF19" i="4" s="1"/>
  <c r="BE37" i="4"/>
  <c r="BF37" i="4" s="1"/>
  <c r="BE121" i="4"/>
  <c r="BF121" i="4" s="1"/>
  <c r="BE154" i="4"/>
  <c r="BF154" i="4" s="1"/>
  <c r="BE73" i="4"/>
  <c r="BF73" i="4" s="1"/>
  <c r="BE49" i="4"/>
  <c r="BF49" i="4" s="1"/>
  <c r="BE118" i="4"/>
  <c r="BF118" i="4" s="1"/>
  <c r="BE152" i="4"/>
  <c r="BF152" i="4" s="1"/>
  <c r="BE12" i="4"/>
  <c r="BF12" i="4" s="1"/>
  <c r="BE89" i="4"/>
  <c r="BF89" i="4" s="1"/>
  <c r="BE47" i="4"/>
  <c r="BF47" i="4" s="1"/>
  <c r="BE150" i="4"/>
  <c r="BF150" i="4" s="1"/>
  <c r="BE65" i="4"/>
  <c r="BF65" i="4" s="1"/>
  <c r="BE149" i="4"/>
  <c r="BF149" i="4" s="1"/>
  <c r="BE50" i="4"/>
  <c r="BF50" i="4" s="1"/>
  <c r="BE142" i="4"/>
  <c r="BF142" i="4" s="1"/>
  <c r="BE17" i="4"/>
  <c r="BF17" i="4" s="1"/>
  <c r="BE139" i="4"/>
  <c r="BF139" i="4" s="1"/>
  <c r="BE8" i="4"/>
  <c r="BF8" i="4" s="1"/>
  <c r="BH8" i="4"/>
  <c r="AF8" i="4"/>
  <c r="AG17" i="4"/>
  <c r="AG157" i="4"/>
  <c r="AF157" i="4"/>
  <c r="AF26" i="4"/>
  <c r="AG26" i="4"/>
  <c r="AG8" i="4"/>
  <c r="AG47" i="4"/>
  <c r="AG91" i="4"/>
  <c r="AG31" i="4"/>
  <c r="AG129" i="4"/>
  <c r="AG76" i="4"/>
  <c r="AG11" i="4"/>
  <c r="AG143" i="4"/>
  <c r="AG41" i="4"/>
  <c r="AG118" i="4"/>
  <c r="AG124" i="4"/>
  <c r="AG146" i="4"/>
  <c r="AG126" i="4"/>
  <c r="AG102" i="4"/>
  <c r="AG148" i="4"/>
  <c r="AG138" i="4"/>
  <c r="AG15" i="4"/>
  <c r="AG105" i="4"/>
  <c r="AG120" i="4"/>
  <c r="AG20" i="4"/>
  <c r="AG38" i="4"/>
  <c r="AG56" i="4"/>
  <c r="AG69" i="4"/>
  <c r="AG96" i="4"/>
  <c r="AG133" i="4"/>
  <c r="AG65" i="4"/>
  <c r="AG35" i="4"/>
  <c r="AG104" i="4"/>
  <c r="AG34" i="4"/>
  <c r="AG88" i="4"/>
  <c r="AG77" i="4"/>
  <c r="AG55" i="4"/>
  <c r="AG59" i="4"/>
  <c r="AG14" i="4"/>
  <c r="AG154" i="4"/>
  <c r="AG21" i="4"/>
  <c r="AG95" i="4"/>
  <c r="AG61" i="4"/>
  <c r="AG62" i="4"/>
  <c r="AG150" i="4"/>
  <c r="AG32" i="4"/>
  <c r="AG114" i="4"/>
  <c r="AG100" i="4"/>
  <c r="AG136" i="4"/>
  <c r="AG135" i="4"/>
  <c r="AG22" i="4"/>
  <c r="AG81" i="4"/>
  <c r="AG149" i="4"/>
  <c r="AG66" i="4"/>
  <c r="AG131" i="4"/>
  <c r="AG12" i="4"/>
  <c r="AG23" i="4"/>
  <c r="AG153" i="4"/>
  <c r="AG113" i="4"/>
  <c r="AG125" i="4"/>
  <c r="AG107" i="4"/>
  <c r="AG111" i="4"/>
  <c r="AG49" i="4"/>
  <c r="AG48" i="4"/>
  <c r="AG87" i="4"/>
  <c r="AG108" i="4"/>
  <c r="AG117" i="4"/>
  <c r="AG97" i="4"/>
  <c r="AG99" i="4"/>
  <c r="AG57" i="4"/>
  <c r="AG58" i="4"/>
  <c r="AG52" i="4"/>
  <c r="AG13" i="4"/>
  <c r="AG74" i="4"/>
  <c r="AG127" i="4"/>
  <c r="AG94" i="4"/>
  <c r="AG53" i="4"/>
  <c r="AG85" i="4"/>
  <c r="AG78" i="4"/>
  <c r="AG63" i="4"/>
  <c r="AG121" i="4"/>
  <c r="AG115" i="4"/>
  <c r="AG7" i="4"/>
  <c r="AG10" i="4"/>
  <c r="AG139" i="4"/>
  <c r="AG24" i="4"/>
  <c r="AG140" i="4"/>
  <c r="AG122" i="4"/>
  <c r="AG144" i="4"/>
  <c r="AG101" i="4"/>
  <c r="AG19" i="4"/>
  <c r="AG79" i="4"/>
  <c r="AG36" i="4"/>
  <c r="AG44" i="4"/>
  <c r="AG75" i="4"/>
  <c r="AG16" i="4"/>
  <c r="AG92" i="4"/>
  <c r="AG70" i="4"/>
  <c r="AG106" i="4"/>
  <c r="AG71" i="4"/>
  <c r="AG50" i="4"/>
  <c r="AG68" i="4"/>
  <c r="AG80" i="4"/>
  <c r="AG29" i="4"/>
  <c r="AG82" i="4"/>
  <c r="AG98" i="4"/>
  <c r="AG42" i="4"/>
  <c r="AG123" i="4"/>
  <c r="AG45" i="4"/>
  <c r="AG137" i="4"/>
  <c r="AG156" i="4"/>
  <c r="AG60" i="4"/>
  <c r="AG39" i="4"/>
  <c r="AG28" i="4"/>
  <c r="AG86" i="4"/>
  <c r="AG30" i="4"/>
  <c r="AG9" i="4"/>
  <c r="AG93" i="4"/>
  <c r="AG73" i="4"/>
  <c r="AG142" i="4"/>
  <c r="AG67" i="4"/>
  <c r="AG64" i="4"/>
  <c r="AG119" i="4"/>
  <c r="AG110" i="4"/>
  <c r="AG83" i="4"/>
  <c r="AG155" i="4"/>
  <c r="AG27" i="4"/>
  <c r="AG89" i="4"/>
  <c r="AG145" i="4"/>
  <c r="AG51" i="4"/>
  <c r="AG152" i="4"/>
  <c r="AG90" i="4"/>
  <c r="AG46" i="4"/>
  <c r="AG151" i="4"/>
  <c r="AG134" i="4"/>
  <c r="AG84" i="4"/>
  <c r="AG43" i="4"/>
  <c r="AG132" i="4"/>
  <c r="AG128" i="4"/>
  <c r="AG33" i="4"/>
  <c r="AG103" i="4"/>
  <c r="AG141" i="4"/>
  <c r="AG130" i="4"/>
  <c r="AG18" i="4"/>
  <c r="AG116" i="4"/>
  <c r="AG54" i="4"/>
  <c r="AG40" i="4"/>
  <c r="AG37" i="4"/>
  <c r="AG109" i="4"/>
  <c r="AG147" i="4"/>
  <c r="AG112" i="4"/>
  <c r="AG72" i="4"/>
  <c r="B167" i="2"/>
  <c r="B50" i="3"/>
  <c r="B165" i="2" s="1"/>
  <c r="B164" i="2"/>
  <c r="B163" i="2"/>
  <c r="B162" i="2"/>
  <c r="B161" i="2"/>
  <c r="B157" i="2"/>
  <c r="B45" i="3"/>
  <c r="B155" i="2" s="1"/>
  <c r="B158" i="2" l="1"/>
  <c r="B166" i="2"/>
  <c r="H54" i="1" s="1"/>
  <c r="B168" i="2"/>
  <c r="B253" i="2"/>
  <c r="B36" i="3"/>
  <c r="O548" i="5"/>
  <c r="O549" i="5"/>
  <c r="O550" i="5"/>
  <c r="O551" i="5"/>
  <c r="O552" i="5"/>
  <c r="O553" i="5"/>
  <c r="O554" i="5"/>
  <c r="O555" i="5"/>
  <c r="O556" i="5"/>
  <c r="O557" i="5"/>
  <c r="O558" i="5"/>
  <c r="O559" i="5"/>
  <c r="O560" i="5"/>
  <c r="O537" i="5"/>
  <c r="O538" i="5"/>
  <c r="O539" i="5"/>
  <c r="O540" i="5"/>
  <c r="O541" i="5"/>
  <c r="O542" i="5"/>
  <c r="O543" i="5"/>
  <c r="O544" i="5"/>
  <c r="O545" i="5"/>
  <c r="O546" i="5"/>
  <c r="O547" i="5"/>
  <c r="O520" i="5"/>
  <c r="O521" i="5"/>
  <c r="O522" i="5"/>
  <c r="O523" i="5"/>
  <c r="O524" i="5"/>
  <c r="O525" i="5"/>
  <c r="O526" i="5"/>
  <c r="O527" i="5"/>
  <c r="O528" i="5"/>
  <c r="O529" i="5"/>
  <c r="O530" i="5"/>
  <c r="O531" i="5"/>
  <c r="O532" i="5"/>
  <c r="O533" i="5"/>
  <c r="O534" i="5"/>
  <c r="O535" i="5"/>
  <c r="O536" i="5"/>
  <c r="O5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4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3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2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1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9" i="5"/>
  <c r="O8" i="10" l="1"/>
  <c r="O7" i="10"/>
  <c r="O8" i="5"/>
  <c r="O7" i="5"/>
  <c r="B169" i="2"/>
  <c r="H56" i="1"/>
  <c r="B170" i="2"/>
  <c r="B259" i="2"/>
  <c r="AG8" i="10" l="1"/>
  <c r="AG7" i="10"/>
  <c r="B36" i="5"/>
  <c r="AI8" i="10" l="1"/>
  <c r="AH8" i="10"/>
  <c r="AH7" i="10"/>
  <c r="AI7" i="10"/>
  <c r="B238" i="2"/>
  <c r="B63" i="5" s="1"/>
  <c r="B33" i="5"/>
  <c r="B131" i="2" l="1"/>
  <c r="B151" i="2" s="1"/>
  <c r="B130" i="2"/>
  <c r="B150" i="2" s="1"/>
  <c r="B126" i="2"/>
  <c r="B115" i="2"/>
  <c r="B29" i="3"/>
  <c r="B27" i="3"/>
  <c r="B93" i="2"/>
  <c r="B34" i="10" l="1"/>
  <c r="B34" i="5"/>
  <c r="B48" i="10"/>
  <c r="B156" i="2"/>
  <c r="B19" i="5"/>
  <c r="B19" i="10"/>
  <c r="B48" i="5"/>
  <c r="B49" i="5" s="1"/>
  <c r="B76" i="2"/>
  <c r="AO2" i="4" s="1"/>
  <c r="B24" i="3"/>
  <c r="B74" i="2"/>
  <c r="B10" i="2"/>
  <c r="B16" i="3"/>
  <c r="B14" i="3"/>
  <c r="B12" i="3"/>
  <c r="B9" i="2"/>
  <c r="B12" i="10" s="1"/>
  <c r="B8" i="2"/>
  <c r="H59" i="1" s="1"/>
  <c r="B7" i="2"/>
  <c r="B10" i="10" s="1"/>
  <c r="B183" i="2" l="1"/>
  <c r="T7" i="5" s="1"/>
  <c r="V7" i="5" s="1"/>
  <c r="B18" i="5"/>
  <c r="B18" i="10"/>
  <c r="BV8" i="4"/>
  <c r="BV24" i="4"/>
  <c r="BV40" i="4"/>
  <c r="BV56" i="4"/>
  <c r="BV72" i="4"/>
  <c r="BV88" i="4"/>
  <c r="BV104" i="4"/>
  <c r="BV120" i="4"/>
  <c r="BV136" i="4"/>
  <c r="BV152" i="4"/>
  <c r="BV39" i="4"/>
  <c r="BV71" i="4"/>
  <c r="BV17" i="4"/>
  <c r="BV33" i="4"/>
  <c r="BV49" i="4"/>
  <c r="BV65" i="4"/>
  <c r="BV81" i="4"/>
  <c r="BV97" i="4"/>
  <c r="BV113" i="4"/>
  <c r="BV129" i="4"/>
  <c r="BV145" i="4"/>
  <c r="BV10" i="4"/>
  <c r="BV26" i="4"/>
  <c r="BV42" i="4"/>
  <c r="BV58" i="4"/>
  <c r="BV74" i="4"/>
  <c r="BV90" i="4"/>
  <c r="BV106" i="4"/>
  <c r="BV122" i="4"/>
  <c r="BV138" i="4"/>
  <c r="BV154" i="4"/>
  <c r="BV27" i="4"/>
  <c r="BV59" i="4"/>
  <c r="BV111" i="4"/>
  <c r="BV99" i="4"/>
  <c r="BV87" i="4"/>
  <c r="BV151" i="4"/>
  <c r="BV139" i="4"/>
  <c r="BV20" i="4"/>
  <c r="BV44" i="4"/>
  <c r="BV64" i="4"/>
  <c r="BV84" i="4"/>
  <c r="BV108" i="4"/>
  <c r="BV128" i="4"/>
  <c r="BV148" i="4"/>
  <c r="BV47" i="4"/>
  <c r="BV9" i="4"/>
  <c r="BV29" i="4"/>
  <c r="BV53" i="4"/>
  <c r="BV73" i="4"/>
  <c r="BV93" i="4"/>
  <c r="BV117" i="4"/>
  <c r="BV137" i="4"/>
  <c r="BV157" i="4"/>
  <c r="BV30" i="4"/>
  <c r="BV50" i="4"/>
  <c r="BV70" i="4"/>
  <c r="BV94" i="4"/>
  <c r="BV114" i="4"/>
  <c r="BV134" i="4"/>
  <c r="BV11" i="4"/>
  <c r="BV43" i="4"/>
  <c r="BV95" i="4"/>
  <c r="BV115" i="4"/>
  <c r="BV119" i="4"/>
  <c r="BV123" i="4"/>
  <c r="BV28" i="4"/>
  <c r="BV48" i="4"/>
  <c r="BV68" i="4"/>
  <c r="BV92" i="4"/>
  <c r="BV112" i="4"/>
  <c r="BV132" i="4"/>
  <c r="BV156" i="4"/>
  <c r="BV55" i="4"/>
  <c r="BV13" i="4"/>
  <c r="BV37" i="4"/>
  <c r="BV57" i="4"/>
  <c r="BV77" i="4"/>
  <c r="BV101" i="4"/>
  <c r="BV121" i="4"/>
  <c r="BV141" i="4"/>
  <c r="BV14" i="4"/>
  <c r="BV34" i="4"/>
  <c r="BV54" i="4"/>
  <c r="BV78" i="4"/>
  <c r="BV98" i="4"/>
  <c r="BV118" i="4"/>
  <c r="BV142" i="4"/>
  <c r="BV19" i="4"/>
  <c r="BV51" i="4"/>
  <c r="BV127" i="4"/>
  <c r="BV131" i="4"/>
  <c r="BV135" i="4"/>
  <c r="BV155" i="4"/>
  <c r="BV12" i="4"/>
  <c r="BV32" i="4"/>
  <c r="BV52" i="4"/>
  <c r="BV76" i="4"/>
  <c r="BV96" i="4"/>
  <c r="BV116" i="4"/>
  <c r="BV140" i="4"/>
  <c r="BV15" i="4"/>
  <c r="BV63" i="4"/>
  <c r="BV21" i="4"/>
  <c r="BV41" i="4"/>
  <c r="BV61" i="4"/>
  <c r="BV85" i="4"/>
  <c r="BV105" i="4"/>
  <c r="BV125" i="4"/>
  <c r="BV149" i="4"/>
  <c r="BV18" i="4"/>
  <c r="BV38" i="4"/>
  <c r="BV62" i="4"/>
  <c r="BV82" i="4"/>
  <c r="BV102" i="4"/>
  <c r="BV126" i="4"/>
  <c r="BV146" i="4"/>
  <c r="BV23" i="4"/>
  <c r="BV67" i="4"/>
  <c r="BV143" i="4"/>
  <c r="BV147" i="4"/>
  <c r="BV91" i="4"/>
  <c r="BV80" i="4"/>
  <c r="BV31" i="4"/>
  <c r="BV69" i="4"/>
  <c r="BV153" i="4"/>
  <c r="BV86" i="4"/>
  <c r="BV35" i="4"/>
  <c r="BV107" i="4"/>
  <c r="BV16" i="4"/>
  <c r="BV100" i="4"/>
  <c r="BV79" i="4"/>
  <c r="BV89" i="4"/>
  <c r="BV22" i="4"/>
  <c r="BV110" i="4"/>
  <c r="BV75" i="4"/>
  <c r="BV36" i="4"/>
  <c r="BV124" i="4"/>
  <c r="BV25" i="4"/>
  <c r="BV109" i="4"/>
  <c r="BV46" i="4"/>
  <c r="BV130" i="4"/>
  <c r="BV83" i="4"/>
  <c r="BV60" i="4"/>
  <c r="BV144" i="4"/>
  <c r="BV45" i="4"/>
  <c r="BV133" i="4"/>
  <c r="BV66" i="4"/>
  <c r="BV150" i="4"/>
  <c r="BV103" i="4"/>
  <c r="B29" i="10"/>
  <c r="B54" i="10"/>
  <c r="B13" i="10"/>
  <c r="T8" i="10"/>
  <c r="T7" i="10"/>
  <c r="B16" i="10"/>
  <c r="P15" i="10" s="1"/>
  <c r="B11" i="10"/>
  <c r="B40" i="10"/>
  <c r="AI537" i="10"/>
  <c r="AH537" i="10"/>
  <c r="AI502" i="10"/>
  <c r="AH502" i="10"/>
  <c r="AH385" i="10"/>
  <c r="AI385" i="10"/>
  <c r="AH336" i="10"/>
  <c r="AI336" i="10"/>
  <c r="AH305" i="10"/>
  <c r="AI305" i="10"/>
  <c r="AH269" i="10"/>
  <c r="AI269" i="10"/>
  <c r="AH245" i="10"/>
  <c r="AI245" i="10"/>
  <c r="AI226" i="10"/>
  <c r="AH226" i="10"/>
  <c r="AI155" i="10"/>
  <c r="AH155" i="10"/>
  <c r="AH118" i="10"/>
  <c r="AI118" i="10"/>
  <c r="AH200" i="10"/>
  <c r="AI200" i="10"/>
  <c r="AI22" i="10"/>
  <c r="AH22" i="10"/>
  <c r="AH558" i="10"/>
  <c r="AI558" i="10"/>
  <c r="AH497" i="10"/>
  <c r="AI497" i="10"/>
  <c r="AI490" i="10"/>
  <c r="AH490" i="10"/>
  <c r="AH429" i="10"/>
  <c r="AI429" i="10"/>
  <c r="AI396" i="10"/>
  <c r="AH396" i="10"/>
  <c r="AH348" i="10"/>
  <c r="AI348" i="10"/>
  <c r="AI193" i="10"/>
  <c r="AH193" i="10"/>
  <c r="AH276" i="10"/>
  <c r="AI276" i="10"/>
  <c r="AI238" i="10"/>
  <c r="AH238" i="10"/>
  <c r="AH208" i="10"/>
  <c r="AI208" i="10"/>
  <c r="AI174" i="10"/>
  <c r="AH174" i="10"/>
  <c r="AH130" i="10"/>
  <c r="AI130" i="10"/>
  <c r="AH42" i="10"/>
  <c r="AI42" i="10"/>
  <c r="AH40" i="10"/>
  <c r="AI40" i="10"/>
  <c r="AI535" i="10"/>
  <c r="AH535" i="10"/>
  <c r="AH471" i="10"/>
  <c r="AI471" i="10"/>
  <c r="AI400" i="10"/>
  <c r="AH400" i="10"/>
  <c r="AI321" i="10"/>
  <c r="AH321" i="10"/>
  <c r="AH281" i="10"/>
  <c r="AI281" i="10"/>
  <c r="AI519" i="10"/>
  <c r="AH519" i="10"/>
  <c r="AI506" i="10"/>
  <c r="AH506" i="10"/>
  <c r="AI456" i="10"/>
  <c r="AH456" i="10"/>
  <c r="AI426" i="10"/>
  <c r="AH426" i="10"/>
  <c r="AH393" i="10"/>
  <c r="AI393" i="10"/>
  <c r="AI392" i="10"/>
  <c r="AH392" i="10"/>
  <c r="AI349" i="10"/>
  <c r="AH349" i="10"/>
  <c r="AI317" i="10"/>
  <c r="AH317" i="10"/>
  <c r="AH312" i="10"/>
  <c r="AI312" i="10"/>
  <c r="AH387" i="10"/>
  <c r="AI387" i="10"/>
  <c r="AI218" i="10"/>
  <c r="AH218" i="10"/>
  <c r="AI117" i="10"/>
  <c r="AH117" i="10"/>
  <c r="AI101" i="10"/>
  <c r="AH101" i="10"/>
  <c r="AI147" i="10"/>
  <c r="AH147" i="10"/>
  <c r="AH142" i="10"/>
  <c r="AI142" i="10"/>
  <c r="AH78" i="10"/>
  <c r="AI78" i="10"/>
  <c r="AI64" i="10"/>
  <c r="AH64" i="10"/>
  <c r="AH30" i="10"/>
  <c r="AI30" i="10"/>
  <c r="AH530" i="10"/>
  <c r="AI530" i="10"/>
  <c r="AI329" i="10"/>
  <c r="AH329" i="10"/>
  <c r="AH261" i="10"/>
  <c r="AI261" i="10"/>
  <c r="AH538" i="10"/>
  <c r="AI538" i="10"/>
  <c r="AI514" i="10"/>
  <c r="AH514" i="10"/>
  <c r="AI494" i="10"/>
  <c r="AH494" i="10"/>
  <c r="AI451" i="10"/>
  <c r="AH451" i="10"/>
  <c r="AH444" i="10"/>
  <c r="AI444" i="10"/>
  <c r="AH405" i="10"/>
  <c r="AI405" i="10"/>
  <c r="AI388" i="10"/>
  <c r="AH388" i="10"/>
  <c r="AH356" i="10"/>
  <c r="AI356" i="10"/>
  <c r="AH241" i="10"/>
  <c r="AI241" i="10"/>
  <c r="AH373" i="10"/>
  <c r="AI373" i="10"/>
  <c r="AH288" i="10"/>
  <c r="AI288" i="10"/>
  <c r="AH256" i="10"/>
  <c r="AI256" i="10"/>
  <c r="AI85" i="10"/>
  <c r="AH85" i="10"/>
  <c r="AI194" i="10"/>
  <c r="AH194" i="10"/>
  <c r="AH154" i="10"/>
  <c r="AI154" i="10"/>
  <c r="AH98" i="10"/>
  <c r="AI98" i="10"/>
  <c r="AI19" i="10"/>
  <c r="AH19" i="10"/>
  <c r="AI39" i="10"/>
  <c r="AH39" i="10"/>
  <c r="AH88" i="10"/>
  <c r="AI88" i="10"/>
  <c r="AI44" i="10"/>
  <c r="AH44" i="10"/>
  <c r="AI55" i="10"/>
  <c r="AH55" i="10"/>
  <c r="AI104" i="10"/>
  <c r="AH104" i="10"/>
  <c r="AI120" i="10"/>
  <c r="AH120" i="10"/>
  <c r="AI136" i="10"/>
  <c r="AH136" i="10"/>
  <c r="AI152" i="10"/>
  <c r="AH152" i="10"/>
  <c r="AI48" i="10"/>
  <c r="AH48" i="10"/>
  <c r="AH76" i="10"/>
  <c r="AI76" i="10"/>
  <c r="AH164" i="10"/>
  <c r="AI164" i="10"/>
  <c r="AI206" i="10"/>
  <c r="AH206" i="10"/>
  <c r="AI202" i="10"/>
  <c r="AH202" i="10"/>
  <c r="AH172" i="10"/>
  <c r="AI172" i="10"/>
  <c r="AI26" i="10"/>
  <c r="AH26" i="10"/>
  <c r="AI149" i="10"/>
  <c r="AH149" i="10"/>
  <c r="AI247" i="10"/>
  <c r="AH247" i="10"/>
  <c r="AI263" i="10"/>
  <c r="AH263" i="10"/>
  <c r="AI279" i="10"/>
  <c r="AH279" i="10"/>
  <c r="AI295" i="10"/>
  <c r="AH295" i="10"/>
  <c r="AH224" i="10"/>
  <c r="AI224" i="10"/>
  <c r="AH240" i="10"/>
  <c r="AI240" i="10"/>
  <c r="AH254" i="10"/>
  <c r="AI254" i="10"/>
  <c r="AH270" i="10"/>
  <c r="AI270" i="10"/>
  <c r="AH286" i="10"/>
  <c r="AI286" i="10"/>
  <c r="AI67" i="10"/>
  <c r="AH67" i="10"/>
  <c r="AI87" i="10"/>
  <c r="AH87" i="10"/>
  <c r="AI103" i="10"/>
  <c r="AH103" i="10"/>
  <c r="AI119" i="10"/>
  <c r="AH119" i="10"/>
  <c r="AI171" i="10"/>
  <c r="AH171" i="10"/>
  <c r="AI187" i="10"/>
  <c r="AH187" i="10"/>
  <c r="AI318" i="10"/>
  <c r="AH318" i="10"/>
  <c r="AI334" i="10"/>
  <c r="AH334" i="10"/>
  <c r="AI350" i="10"/>
  <c r="AH350" i="10"/>
  <c r="AH302" i="10"/>
  <c r="AI302" i="10"/>
  <c r="AI203" i="10"/>
  <c r="AH203" i="10"/>
  <c r="AI219" i="10"/>
  <c r="AH219" i="10"/>
  <c r="AI235" i="10"/>
  <c r="AH235" i="10"/>
  <c r="AH367" i="10"/>
  <c r="AI367" i="10"/>
  <c r="AI315" i="10"/>
  <c r="AH315" i="10"/>
  <c r="AI331" i="10"/>
  <c r="AH331" i="10"/>
  <c r="AI347" i="10"/>
  <c r="AH347" i="10"/>
  <c r="AI362" i="10"/>
  <c r="AH362" i="10"/>
  <c r="AH436" i="10"/>
  <c r="AI436" i="10"/>
  <c r="AH379" i="10"/>
  <c r="AI379" i="10"/>
  <c r="AH399" i="10"/>
  <c r="AI399" i="10"/>
  <c r="AH415" i="10"/>
  <c r="AI415" i="10"/>
  <c r="AI370" i="10"/>
  <c r="AH370" i="10"/>
  <c r="AH455" i="10"/>
  <c r="AI455" i="10"/>
  <c r="AI450" i="10"/>
  <c r="AH450" i="10"/>
  <c r="AI398" i="10"/>
  <c r="AH398" i="10"/>
  <c r="AI414" i="10"/>
  <c r="AH414" i="10"/>
  <c r="AI481" i="10"/>
  <c r="AH481" i="10"/>
  <c r="AH467" i="10"/>
  <c r="AI467" i="10"/>
  <c r="AI445" i="10"/>
  <c r="AH445" i="10"/>
  <c r="AI458" i="10"/>
  <c r="AH458" i="10"/>
  <c r="AI488" i="10"/>
  <c r="AH488" i="10"/>
  <c r="AI478" i="10"/>
  <c r="AH478" i="10"/>
  <c r="AH495" i="10"/>
  <c r="AI495" i="10"/>
  <c r="AI528" i="10"/>
  <c r="AH528" i="10"/>
  <c r="AH518" i="10"/>
  <c r="AI518" i="10"/>
  <c r="AI521" i="10"/>
  <c r="AH521" i="10"/>
  <c r="AI540" i="10"/>
  <c r="AH540" i="10"/>
  <c r="AH544" i="10"/>
  <c r="AI544" i="10"/>
  <c r="AI545" i="10"/>
  <c r="AH545" i="10"/>
  <c r="AI533" i="10"/>
  <c r="AH533" i="10"/>
  <c r="AI461" i="10"/>
  <c r="AH461" i="10"/>
  <c r="AI353" i="10"/>
  <c r="AH353" i="10"/>
  <c r="AH320" i="10"/>
  <c r="AI320" i="10"/>
  <c r="AH297" i="10"/>
  <c r="AI297" i="10"/>
  <c r="AH257" i="10"/>
  <c r="AI257" i="10"/>
  <c r="AI181" i="10"/>
  <c r="AH181" i="10"/>
  <c r="AI210" i="10"/>
  <c r="AH210" i="10"/>
  <c r="AI139" i="10"/>
  <c r="AH139" i="10"/>
  <c r="AH102" i="10"/>
  <c r="AI102" i="10"/>
  <c r="AI66" i="10"/>
  <c r="AH66" i="10"/>
  <c r="AH34" i="10"/>
  <c r="AI34" i="10"/>
  <c r="AH553" i="10"/>
  <c r="AI553" i="10"/>
  <c r="AH487" i="10"/>
  <c r="AI487" i="10"/>
  <c r="AH483" i="10"/>
  <c r="AI483" i="10"/>
  <c r="AH413" i="10"/>
  <c r="AI413" i="10"/>
  <c r="AH380" i="10"/>
  <c r="AI380" i="10"/>
  <c r="AH332" i="10"/>
  <c r="AI332" i="10"/>
  <c r="AH217" i="10"/>
  <c r="AI217" i="10"/>
  <c r="AI177" i="10"/>
  <c r="AH177" i="10"/>
  <c r="AH268" i="10"/>
  <c r="AI268" i="10"/>
  <c r="AI222" i="10"/>
  <c r="AH222" i="10"/>
  <c r="AI151" i="10"/>
  <c r="AH151" i="10"/>
  <c r="AI62" i="10"/>
  <c r="AH62" i="10"/>
  <c r="AI166" i="10"/>
  <c r="AH166" i="10"/>
  <c r="AH114" i="10"/>
  <c r="AI114" i="10"/>
  <c r="AI35" i="10"/>
  <c r="AH35" i="10"/>
  <c r="AH69" i="10"/>
  <c r="AI69" i="10"/>
  <c r="AI520" i="10"/>
  <c r="AH520" i="10"/>
  <c r="AH440" i="10"/>
  <c r="AI440" i="10"/>
  <c r="AI384" i="10"/>
  <c r="AH384" i="10"/>
  <c r="AI205" i="10"/>
  <c r="AH205" i="10"/>
  <c r="AH265" i="10"/>
  <c r="AI265" i="10"/>
  <c r="AI527" i="10"/>
  <c r="AH527" i="10"/>
  <c r="AI498" i="10"/>
  <c r="AH498" i="10"/>
  <c r="AI480" i="10"/>
  <c r="AH480" i="10"/>
  <c r="AI422" i="10"/>
  <c r="AH422" i="10"/>
  <c r="AI465" i="10"/>
  <c r="AH465" i="10"/>
  <c r="AH376" i="10"/>
  <c r="AI376" i="10"/>
  <c r="AI341" i="10"/>
  <c r="AH341" i="10"/>
  <c r="AI309" i="10"/>
  <c r="AH309" i="10"/>
  <c r="AH229" i="10"/>
  <c r="AI229" i="10"/>
  <c r="AI189" i="10"/>
  <c r="AH189" i="10"/>
  <c r="AI129" i="10"/>
  <c r="AH129" i="10"/>
  <c r="AI113" i="10"/>
  <c r="AH113" i="10"/>
  <c r="AI97" i="10"/>
  <c r="AH97" i="10"/>
  <c r="AI131" i="10"/>
  <c r="AH131" i="10"/>
  <c r="AH126" i="10"/>
  <c r="AI126" i="10"/>
  <c r="AH56" i="10"/>
  <c r="AI56" i="10"/>
  <c r="AI52" i="10"/>
  <c r="AH52" i="10"/>
  <c r="AH57" i="10"/>
  <c r="AI57" i="10"/>
  <c r="AI510" i="10"/>
  <c r="AH510" i="10"/>
  <c r="AH301" i="10"/>
  <c r="AI301" i="10"/>
  <c r="AI550" i="10"/>
  <c r="AH550" i="10"/>
  <c r="AI515" i="10"/>
  <c r="AH515" i="10"/>
  <c r="AH509" i="10"/>
  <c r="AI509" i="10"/>
  <c r="AI468" i="10"/>
  <c r="AH468" i="10"/>
  <c r="AI447" i="10"/>
  <c r="AH447" i="10"/>
  <c r="AI430" i="10"/>
  <c r="AH430" i="10"/>
  <c r="AH389" i="10"/>
  <c r="AI389" i="10"/>
  <c r="AH372" i="10"/>
  <c r="AI372" i="10"/>
  <c r="AH340" i="10"/>
  <c r="AI340" i="10"/>
  <c r="AH225" i="10"/>
  <c r="AI225" i="10"/>
  <c r="AI185" i="10"/>
  <c r="AH185" i="10"/>
  <c r="AH280" i="10"/>
  <c r="AI280" i="10"/>
  <c r="AH248" i="10"/>
  <c r="AI248" i="10"/>
  <c r="AI159" i="10"/>
  <c r="AH159" i="10"/>
  <c r="AI186" i="10"/>
  <c r="AH186" i="10"/>
  <c r="AH138" i="10"/>
  <c r="AI138" i="10"/>
  <c r="AH82" i="10"/>
  <c r="AI82" i="10"/>
  <c r="AH23" i="10"/>
  <c r="AI23" i="10"/>
  <c r="AH168" i="10"/>
  <c r="AI168" i="10"/>
  <c r="AI46" i="10"/>
  <c r="AH46" i="10"/>
  <c r="AI59" i="10"/>
  <c r="AH59" i="10"/>
  <c r="AI108" i="10"/>
  <c r="AH108" i="10"/>
  <c r="AI124" i="10"/>
  <c r="AH124" i="10"/>
  <c r="AI140" i="10"/>
  <c r="AH140" i="10"/>
  <c r="AI156" i="10"/>
  <c r="AH156" i="10"/>
  <c r="AI63" i="10"/>
  <c r="AH63" i="10"/>
  <c r="AH80" i="10"/>
  <c r="AI80" i="10"/>
  <c r="AH180" i="10"/>
  <c r="AI180" i="10"/>
  <c r="AI20" i="10"/>
  <c r="AH20" i="10"/>
  <c r="AI58" i="10"/>
  <c r="AH58" i="10"/>
  <c r="AH176" i="10"/>
  <c r="AI176" i="10"/>
  <c r="AI137" i="10"/>
  <c r="AH137" i="10"/>
  <c r="AI153" i="10"/>
  <c r="AH153" i="10"/>
  <c r="AI251" i="10"/>
  <c r="AH251" i="10"/>
  <c r="AI267" i="10"/>
  <c r="AH267" i="10"/>
  <c r="AI283" i="10"/>
  <c r="AH283" i="10"/>
  <c r="AH212" i="10"/>
  <c r="AI212" i="10"/>
  <c r="AH228" i="10"/>
  <c r="AI228" i="10"/>
  <c r="AH244" i="10"/>
  <c r="AI244" i="10"/>
  <c r="AH258" i="10"/>
  <c r="AI258" i="10"/>
  <c r="AH274" i="10"/>
  <c r="AI274" i="10"/>
  <c r="AH290" i="10"/>
  <c r="AI290" i="10"/>
  <c r="AI75" i="10"/>
  <c r="AH75" i="10"/>
  <c r="AI91" i="10"/>
  <c r="AH91" i="10"/>
  <c r="AI107" i="10"/>
  <c r="AH107" i="10"/>
  <c r="AI123" i="10"/>
  <c r="AH123" i="10"/>
  <c r="AI175" i="10"/>
  <c r="AH175" i="10"/>
  <c r="AI191" i="10"/>
  <c r="AH191" i="10"/>
  <c r="AI322" i="10"/>
  <c r="AH322" i="10"/>
  <c r="AI338" i="10"/>
  <c r="AH338" i="10"/>
  <c r="AI354" i="10"/>
  <c r="AH354" i="10"/>
  <c r="AI303" i="10"/>
  <c r="AH303" i="10"/>
  <c r="AI207" i="10"/>
  <c r="AH207" i="10"/>
  <c r="AI223" i="10"/>
  <c r="AH223" i="10"/>
  <c r="AI239" i="10"/>
  <c r="AH239" i="10"/>
  <c r="AI306" i="10"/>
  <c r="AH306" i="10"/>
  <c r="AI319" i="10"/>
  <c r="AH319" i="10"/>
  <c r="AI335" i="10"/>
  <c r="AH335" i="10"/>
  <c r="AI351" i="10"/>
  <c r="AH351" i="10"/>
  <c r="AI366" i="10"/>
  <c r="AH366" i="10"/>
  <c r="AI437" i="10"/>
  <c r="AH437" i="10"/>
  <c r="AH383" i="10"/>
  <c r="AI383" i="10"/>
  <c r="AH403" i="10"/>
  <c r="AI403" i="10"/>
  <c r="AH419" i="10"/>
  <c r="AI419" i="10"/>
  <c r="AI374" i="10"/>
  <c r="AH374" i="10"/>
  <c r="AI438" i="10"/>
  <c r="AH438" i="10"/>
  <c r="AI386" i="10"/>
  <c r="AH386" i="10"/>
  <c r="AI402" i="10"/>
  <c r="AH402" i="10"/>
  <c r="AI418" i="10"/>
  <c r="AH418" i="10"/>
  <c r="AI485" i="10"/>
  <c r="AH485" i="10"/>
  <c r="AI428" i="10"/>
  <c r="AH428" i="10"/>
  <c r="AI449" i="10"/>
  <c r="AH449" i="10"/>
  <c r="AI462" i="10"/>
  <c r="AH462" i="10"/>
  <c r="AI492" i="10"/>
  <c r="AH492" i="10"/>
  <c r="AI482" i="10"/>
  <c r="AH482" i="10"/>
  <c r="AI511" i="10"/>
  <c r="AH511" i="10"/>
  <c r="AH499" i="10"/>
  <c r="AI499" i="10"/>
  <c r="AI508" i="10"/>
  <c r="AH508" i="10"/>
  <c r="AI525" i="10"/>
  <c r="AH525" i="10"/>
  <c r="AI548" i="10"/>
  <c r="AH548" i="10"/>
  <c r="AI555" i="10"/>
  <c r="AH555" i="10"/>
  <c r="AI549" i="10"/>
  <c r="AH549" i="10"/>
  <c r="AI77" i="10"/>
  <c r="AH77" i="10"/>
  <c r="AI551" i="10"/>
  <c r="AH551" i="10"/>
  <c r="AH417" i="10"/>
  <c r="AI417" i="10"/>
  <c r="AI313" i="10"/>
  <c r="AH313" i="10"/>
  <c r="AH237" i="10"/>
  <c r="AI237" i="10"/>
  <c r="AH285" i="10"/>
  <c r="AI285" i="10"/>
  <c r="AH253" i="10"/>
  <c r="AI253" i="10"/>
  <c r="AI165" i="10"/>
  <c r="AH165" i="10"/>
  <c r="AI89" i="10"/>
  <c r="AH89" i="10"/>
  <c r="AH150" i="10"/>
  <c r="AI150" i="10"/>
  <c r="AH86" i="10"/>
  <c r="AI86" i="10"/>
  <c r="AH45" i="10"/>
  <c r="AI45" i="10"/>
  <c r="AH21" i="10"/>
  <c r="AI21" i="10"/>
  <c r="AI543" i="10"/>
  <c r="AH543" i="10"/>
  <c r="AI460" i="10"/>
  <c r="AH460" i="10"/>
  <c r="AH452" i="10"/>
  <c r="AI452" i="10"/>
  <c r="AH397" i="10"/>
  <c r="AI397" i="10"/>
  <c r="AH365" i="10"/>
  <c r="AI365" i="10"/>
  <c r="AH316" i="10"/>
  <c r="AI316" i="10"/>
  <c r="AI201" i="10"/>
  <c r="AH201" i="10"/>
  <c r="AH292" i="10"/>
  <c r="AI292" i="10"/>
  <c r="AH260" i="10"/>
  <c r="AI260" i="10"/>
  <c r="AI133" i="10"/>
  <c r="AH133" i="10"/>
  <c r="AI135" i="10"/>
  <c r="AH135" i="10"/>
  <c r="AI190" i="10"/>
  <c r="AH190" i="10"/>
  <c r="AH162" i="10"/>
  <c r="AI162" i="10"/>
  <c r="AH90" i="10"/>
  <c r="AI90" i="10"/>
  <c r="AH32" i="10"/>
  <c r="AI32" i="10"/>
  <c r="AH557" i="10"/>
  <c r="AI557" i="10"/>
  <c r="AH493" i="10"/>
  <c r="AI493" i="10"/>
  <c r="AI457" i="10"/>
  <c r="AH457" i="10"/>
  <c r="AH361" i="10"/>
  <c r="AI361" i="10"/>
  <c r="AH381" i="10"/>
  <c r="AI381" i="10"/>
  <c r="AH542" i="10"/>
  <c r="AI542" i="10"/>
  <c r="AI516" i="10"/>
  <c r="AH516" i="10"/>
  <c r="AI486" i="10"/>
  <c r="AH486" i="10"/>
  <c r="AH479" i="10"/>
  <c r="AI479" i="10"/>
  <c r="AH425" i="10"/>
  <c r="AI425" i="10"/>
  <c r="AI424" i="10"/>
  <c r="AH424" i="10"/>
  <c r="AH369" i="10"/>
  <c r="AI369" i="10"/>
  <c r="AI333" i="10"/>
  <c r="AH333" i="10"/>
  <c r="AH344" i="10"/>
  <c r="AI344" i="10"/>
  <c r="AH213" i="10"/>
  <c r="AI213" i="10"/>
  <c r="AI173" i="10"/>
  <c r="AH173" i="10"/>
  <c r="AI125" i="10"/>
  <c r="AH125" i="10"/>
  <c r="AI109" i="10"/>
  <c r="AH109" i="10"/>
  <c r="AI81" i="10"/>
  <c r="AH81" i="10"/>
  <c r="AH204" i="10"/>
  <c r="AI204" i="10"/>
  <c r="AH110" i="10"/>
  <c r="AI110" i="10"/>
  <c r="AH49" i="10"/>
  <c r="AI49" i="10"/>
  <c r="AI28" i="10"/>
  <c r="AH28" i="10"/>
  <c r="AH50" i="10"/>
  <c r="AI50" i="10"/>
  <c r="AI435" i="10"/>
  <c r="AH435" i="10"/>
  <c r="AH289" i="10"/>
  <c r="AI289" i="10"/>
  <c r="AH546" i="10"/>
  <c r="AI546" i="10"/>
  <c r="AI523" i="10"/>
  <c r="AH523" i="10"/>
  <c r="AH501" i="10"/>
  <c r="AI501" i="10"/>
  <c r="AI476" i="10"/>
  <c r="AH476" i="10"/>
  <c r="AI443" i="10"/>
  <c r="AH443" i="10"/>
  <c r="AI431" i="10"/>
  <c r="AH431" i="10"/>
  <c r="AI420" i="10"/>
  <c r="AH420" i="10"/>
  <c r="AI368" i="10"/>
  <c r="AH368" i="10"/>
  <c r="AH324" i="10"/>
  <c r="AI324" i="10"/>
  <c r="AH209" i="10"/>
  <c r="AI209" i="10"/>
  <c r="AI169" i="10"/>
  <c r="AH169" i="10"/>
  <c r="AH272" i="10"/>
  <c r="AI272" i="10"/>
  <c r="AI230" i="10"/>
  <c r="AH230" i="10"/>
  <c r="AI143" i="10"/>
  <c r="AH143" i="10"/>
  <c r="AI178" i="10"/>
  <c r="AH178" i="10"/>
  <c r="AH122" i="10"/>
  <c r="AI122" i="10"/>
  <c r="AI25" i="10"/>
  <c r="AH25" i="10"/>
  <c r="AI31" i="10"/>
  <c r="AH31" i="10"/>
  <c r="AH41" i="10"/>
  <c r="AI41" i="10"/>
  <c r="AH192" i="10"/>
  <c r="AI192" i="10"/>
  <c r="AI51" i="10"/>
  <c r="AH51" i="10"/>
  <c r="AH61" i="10"/>
  <c r="AI61" i="10"/>
  <c r="AI112" i="10"/>
  <c r="AH112" i="10"/>
  <c r="AI128" i="10"/>
  <c r="AH128" i="10"/>
  <c r="AI144" i="10"/>
  <c r="AH144" i="10"/>
  <c r="AI160" i="10"/>
  <c r="AH160" i="10"/>
  <c r="AI65" i="10"/>
  <c r="AH65" i="10"/>
  <c r="AH92" i="10"/>
  <c r="AI92" i="10"/>
  <c r="AH184" i="10"/>
  <c r="AI184" i="10"/>
  <c r="AI29" i="10"/>
  <c r="AH29" i="10"/>
  <c r="AI60" i="10"/>
  <c r="AH60" i="10"/>
  <c r="AI141" i="10"/>
  <c r="AH141" i="10"/>
  <c r="AI157" i="10"/>
  <c r="AH157" i="10"/>
  <c r="AI255" i="10"/>
  <c r="AH255" i="10"/>
  <c r="AI271" i="10"/>
  <c r="AH271" i="10"/>
  <c r="AI287" i="10"/>
  <c r="AH287" i="10"/>
  <c r="AH216" i="10"/>
  <c r="AI216" i="10"/>
  <c r="AH232" i="10"/>
  <c r="AI232" i="10"/>
  <c r="AH246" i="10"/>
  <c r="AI246" i="10"/>
  <c r="AH262" i="10"/>
  <c r="AI262" i="10"/>
  <c r="AH278" i="10"/>
  <c r="AI278" i="10"/>
  <c r="AH294" i="10"/>
  <c r="AI294" i="10"/>
  <c r="AI79" i="10"/>
  <c r="AH79" i="10"/>
  <c r="AI95" i="10"/>
  <c r="AH95" i="10"/>
  <c r="AI111" i="10"/>
  <c r="AH111" i="10"/>
  <c r="AI127" i="10"/>
  <c r="AH127" i="10"/>
  <c r="AI179" i="10"/>
  <c r="AH179" i="10"/>
  <c r="AI310" i="10"/>
  <c r="AH310" i="10"/>
  <c r="AI326" i="10"/>
  <c r="AH326" i="10"/>
  <c r="AI342" i="10"/>
  <c r="AH342" i="10"/>
  <c r="AI358" i="10"/>
  <c r="AH358" i="10"/>
  <c r="AI195" i="10"/>
  <c r="AH195" i="10"/>
  <c r="AI211" i="10"/>
  <c r="AH211" i="10"/>
  <c r="AI227" i="10"/>
  <c r="AH227" i="10"/>
  <c r="AI243" i="10"/>
  <c r="AH243" i="10"/>
  <c r="AI307" i="10"/>
  <c r="AH307" i="10"/>
  <c r="AI323" i="10"/>
  <c r="AH323" i="10"/>
  <c r="AI339" i="10"/>
  <c r="AH339" i="10"/>
  <c r="AI355" i="10"/>
  <c r="AH355" i="10"/>
  <c r="AH432" i="10"/>
  <c r="AI432" i="10"/>
  <c r="AH371" i="10"/>
  <c r="AI371" i="10"/>
  <c r="AH391" i="10"/>
  <c r="AI391" i="10"/>
  <c r="AH407" i="10"/>
  <c r="AI407" i="10"/>
  <c r="AH423" i="10"/>
  <c r="AI423" i="10"/>
  <c r="AI378" i="10"/>
  <c r="AH378" i="10"/>
  <c r="AI442" i="10"/>
  <c r="AH442" i="10"/>
  <c r="AI390" i="10"/>
  <c r="AH390" i="10"/>
  <c r="AI406" i="10"/>
  <c r="AH406" i="10"/>
  <c r="AI473" i="10"/>
  <c r="AH473" i="10"/>
  <c r="AH459" i="10"/>
  <c r="AI459" i="10"/>
  <c r="AH434" i="10"/>
  <c r="AI434" i="10"/>
  <c r="AI453" i="10"/>
  <c r="AH453" i="10"/>
  <c r="AI466" i="10"/>
  <c r="AH466" i="10"/>
  <c r="AI496" i="10"/>
  <c r="AH496" i="10"/>
  <c r="AH489" i="10"/>
  <c r="AI489" i="10"/>
  <c r="AI504" i="10"/>
  <c r="AH504" i="10"/>
  <c r="AH503" i="10"/>
  <c r="AI503" i="10"/>
  <c r="AI512" i="10"/>
  <c r="AH512" i="10"/>
  <c r="AI529" i="10"/>
  <c r="AH529" i="10"/>
  <c r="AI531" i="10"/>
  <c r="AH531" i="10"/>
  <c r="AI556" i="10"/>
  <c r="AH556" i="10"/>
  <c r="AI552" i="10"/>
  <c r="AH552" i="10"/>
  <c r="AH233" i="10"/>
  <c r="AI233" i="10"/>
  <c r="AI472" i="10"/>
  <c r="AH472" i="10"/>
  <c r="AH401" i="10"/>
  <c r="AI401" i="10"/>
  <c r="AH352" i="10"/>
  <c r="AI352" i="10"/>
  <c r="AH221" i="10"/>
  <c r="AI221" i="10"/>
  <c r="AH277" i="10"/>
  <c r="AI277" i="10"/>
  <c r="AH249" i="10"/>
  <c r="AI249" i="10"/>
  <c r="AI242" i="10"/>
  <c r="AH242" i="10"/>
  <c r="AI73" i="10"/>
  <c r="AH73" i="10"/>
  <c r="AH134" i="10"/>
  <c r="AI134" i="10"/>
  <c r="AH70" i="10"/>
  <c r="AI70" i="10"/>
  <c r="AI38" i="10"/>
  <c r="AH38" i="10"/>
  <c r="AH554" i="10"/>
  <c r="AI554" i="10"/>
  <c r="AH526" i="10"/>
  <c r="AI526" i="10"/>
  <c r="AI484" i="10"/>
  <c r="AH484" i="10"/>
  <c r="AI469" i="10"/>
  <c r="AH469" i="10"/>
  <c r="AI412" i="10"/>
  <c r="AH412" i="10"/>
  <c r="AI364" i="10"/>
  <c r="AH364" i="10"/>
  <c r="AH377" i="10"/>
  <c r="AI377" i="10"/>
  <c r="AH304" i="10"/>
  <c r="AI304" i="10"/>
  <c r="AH284" i="10"/>
  <c r="AI284" i="10"/>
  <c r="AH252" i="10"/>
  <c r="AI252" i="10"/>
  <c r="AI93" i="10"/>
  <c r="AH93" i="10"/>
  <c r="AH71" i="10"/>
  <c r="AI71" i="10"/>
  <c r="AI182" i="10"/>
  <c r="AH182" i="10"/>
  <c r="AH146" i="10"/>
  <c r="AI146" i="10"/>
  <c r="AH74" i="10"/>
  <c r="AI74" i="10"/>
  <c r="AH27" i="10"/>
  <c r="AI27" i="10"/>
  <c r="AI547" i="10"/>
  <c r="AH547" i="10"/>
  <c r="AI464" i="10"/>
  <c r="AH464" i="10"/>
  <c r="AI416" i="10"/>
  <c r="AH416" i="10"/>
  <c r="AI345" i="10"/>
  <c r="AH345" i="10"/>
  <c r="AH293" i="10"/>
  <c r="AI293" i="10"/>
  <c r="AI539" i="10"/>
  <c r="AH539" i="10"/>
  <c r="AH513" i="10"/>
  <c r="AI513" i="10"/>
  <c r="AH491" i="10"/>
  <c r="AI491" i="10"/>
  <c r="AH448" i="10"/>
  <c r="AI448" i="10"/>
  <c r="AH409" i="10"/>
  <c r="AI409" i="10"/>
  <c r="AI408" i="10"/>
  <c r="AH408" i="10"/>
  <c r="AI357" i="10"/>
  <c r="AH357" i="10"/>
  <c r="AI325" i="10"/>
  <c r="AH325" i="10"/>
  <c r="AH328" i="10"/>
  <c r="AI328" i="10"/>
  <c r="AI197" i="10"/>
  <c r="AH197" i="10"/>
  <c r="AI234" i="10"/>
  <c r="AH234" i="10"/>
  <c r="AI121" i="10"/>
  <c r="AH121" i="10"/>
  <c r="AI105" i="10"/>
  <c r="AH105" i="10"/>
  <c r="AI163" i="10"/>
  <c r="AH163" i="10"/>
  <c r="AH158" i="10"/>
  <c r="AI158" i="10"/>
  <c r="AH94" i="10"/>
  <c r="AI94" i="10"/>
  <c r="AH47" i="10"/>
  <c r="AI47" i="10"/>
  <c r="AH37" i="10"/>
  <c r="AI37" i="10"/>
  <c r="AH534" i="10"/>
  <c r="AI534" i="10"/>
  <c r="AI337" i="10"/>
  <c r="AH337" i="10"/>
  <c r="AH273" i="10"/>
  <c r="AI273" i="10"/>
  <c r="AH532" i="10"/>
  <c r="AI532" i="10"/>
  <c r="AH522" i="10"/>
  <c r="AI522" i="10"/>
  <c r="AH505" i="10"/>
  <c r="AI505" i="10"/>
  <c r="AH475" i="10"/>
  <c r="AI475" i="10"/>
  <c r="AI439" i="10"/>
  <c r="AH439" i="10"/>
  <c r="AH421" i="10"/>
  <c r="AI421" i="10"/>
  <c r="AI404" i="10"/>
  <c r="AH404" i="10"/>
  <c r="AI360" i="10"/>
  <c r="AH360" i="10"/>
  <c r="AH308" i="10"/>
  <c r="AI308" i="10"/>
  <c r="AH300" i="10"/>
  <c r="AI300" i="10"/>
  <c r="AH296" i="10"/>
  <c r="AI296" i="10"/>
  <c r="AH264" i="10"/>
  <c r="AI264" i="10"/>
  <c r="AI214" i="10"/>
  <c r="AH214" i="10"/>
  <c r="AH196" i="10"/>
  <c r="AI196" i="10"/>
  <c r="AI170" i="10"/>
  <c r="AH170" i="10"/>
  <c r="AH106" i="10"/>
  <c r="AI106" i="10"/>
  <c r="AH54" i="10"/>
  <c r="AI54" i="10"/>
  <c r="AI33" i="10"/>
  <c r="AH33" i="10"/>
  <c r="AH84" i="10"/>
  <c r="AI84" i="10"/>
  <c r="AI198" i="10"/>
  <c r="AH198" i="10"/>
  <c r="AI53" i="10"/>
  <c r="AH53" i="10"/>
  <c r="AI100" i="10"/>
  <c r="AH100" i="10"/>
  <c r="AI116" i="10"/>
  <c r="AH116" i="10"/>
  <c r="AI132" i="10"/>
  <c r="AH132" i="10"/>
  <c r="AI148" i="10"/>
  <c r="AH148" i="10"/>
  <c r="AI43" i="10"/>
  <c r="AH43" i="10"/>
  <c r="AH72" i="10"/>
  <c r="AI72" i="10"/>
  <c r="AH96" i="10"/>
  <c r="AI96" i="10"/>
  <c r="AH188" i="10"/>
  <c r="AI188" i="10"/>
  <c r="AI36" i="10"/>
  <c r="AH36" i="10"/>
  <c r="AH68" i="10"/>
  <c r="AI68" i="10"/>
  <c r="AI24" i="10"/>
  <c r="AH24" i="10"/>
  <c r="AI145" i="10"/>
  <c r="AH145" i="10"/>
  <c r="AI161" i="10"/>
  <c r="AH161" i="10"/>
  <c r="AI259" i="10"/>
  <c r="AH259" i="10"/>
  <c r="AI275" i="10"/>
  <c r="AH275" i="10"/>
  <c r="AI291" i="10"/>
  <c r="AH291" i="10"/>
  <c r="AH220" i="10"/>
  <c r="AI220" i="10"/>
  <c r="AH236" i="10"/>
  <c r="AI236" i="10"/>
  <c r="AH250" i="10"/>
  <c r="AI250" i="10"/>
  <c r="AH266" i="10"/>
  <c r="AI266" i="10"/>
  <c r="AH282" i="10"/>
  <c r="AI282" i="10"/>
  <c r="AH298" i="10"/>
  <c r="AI298" i="10"/>
  <c r="AI83" i="10"/>
  <c r="AH83" i="10"/>
  <c r="AI99" i="10"/>
  <c r="AH99" i="10"/>
  <c r="AI115" i="10"/>
  <c r="AH115" i="10"/>
  <c r="AI167" i="10"/>
  <c r="AH167" i="10"/>
  <c r="AI183" i="10"/>
  <c r="AH183" i="10"/>
  <c r="AI314" i="10"/>
  <c r="AH314" i="10"/>
  <c r="AI330" i="10"/>
  <c r="AH330" i="10"/>
  <c r="AI346" i="10"/>
  <c r="AH346" i="10"/>
  <c r="AI299" i="10"/>
  <c r="AH299" i="10"/>
  <c r="AI199" i="10"/>
  <c r="AH199" i="10"/>
  <c r="AI215" i="10"/>
  <c r="AH215" i="10"/>
  <c r="AI231" i="10"/>
  <c r="AH231" i="10"/>
  <c r="AH363" i="10"/>
  <c r="AI363" i="10"/>
  <c r="AI311" i="10"/>
  <c r="AH311" i="10"/>
  <c r="AI327" i="10"/>
  <c r="AH327" i="10"/>
  <c r="AI343" i="10"/>
  <c r="AH343" i="10"/>
  <c r="AI359" i="10"/>
  <c r="AH359" i="10"/>
  <c r="AI433" i="10"/>
  <c r="AH433" i="10"/>
  <c r="AH375" i="10"/>
  <c r="AI375" i="10"/>
  <c r="AH395" i="10"/>
  <c r="AI395" i="10"/>
  <c r="AH411" i="10"/>
  <c r="AI411" i="10"/>
  <c r="AH427" i="10"/>
  <c r="AI427" i="10"/>
  <c r="AI382" i="10"/>
  <c r="AH382" i="10"/>
  <c r="AI446" i="10"/>
  <c r="AH446" i="10"/>
  <c r="AI394" i="10"/>
  <c r="AH394" i="10"/>
  <c r="AI410" i="10"/>
  <c r="AH410" i="10"/>
  <c r="AI477" i="10"/>
  <c r="AH477" i="10"/>
  <c r="AH463" i="10"/>
  <c r="AI463" i="10"/>
  <c r="AI441" i="10"/>
  <c r="AH441" i="10"/>
  <c r="AI454" i="10"/>
  <c r="AH454" i="10"/>
  <c r="AI470" i="10"/>
  <c r="AH470" i="10"/>
  <c r="AI474" i="10"/>
  <c r="AH474" i="10"/>
  <c r="AI500" i="10"/>
  <c r="AH500" i="10"/>
  <c r="AI524" i="10"/>
  <c r="AH524" i="10"/>
  <c r="AI507" i="10"/>
  <c r="AH507" i="10"/>
  <c r="AI517" i="10"/>
  <c r="AH517" i="10"/>
  <c r="AI536" i="10"/>
  <c r="AH536" i="10"/>
  <c r="AI541" i="10"/>
  <c r="AH541" i="10"/>
  <c r="AI560" i="10"/>
  <c r="AH560" i="10"/>
  <c r="AI559" i="10"/>
  <c r="AH559" i="10"/>
  <c r="T560" i="10"/>
  <c r="T556" i="10"/>
  <c r="T552" i="10"/>
  <c r="T557" i="10"/>
  <c r="T547" i="10"/>
  <c r="T553" i="10"/>
  <c r="T549" i="10"/>
  <c r="T545" i="10"/>
  <c r="T537" i="10"/>
  <c r="T533" i="10"/>
  <c r="T527" i="10"/>
  <c r="T541" i="10"/>
  <c r="T535" i="10"/>
  <c r="T531" i="10"/>
  <c r="T529" i="10"/>
  <c r="T525" i="10"/>
  <c r="T521" i="10"/>
  <c r="T517" i="10"/>
  <c r="T512" i="10"/>
  <c r="T508" i="10"/>
  <c r="T504" i="10"/>
  <c r="T500" i="10"/>
  <c r="T496" i="10"/>
  <c r="T492" i="10"/>
  <c r="T488" i="10"/>
  <c r="T523" i="10"/>
  <c r="T498" i="10"/>
  <c r="T493" i="10"/>
  <c r="T450" i="10"/>
  <c r="T446" i="10"/>
  <c r="T442" i="10"/>
  <c r="T486" i="10"/>
  <c r="T482" i="10"/>
  <c r="T478" i="10"/>
  <c r="T474" i="10"/>
  <c r="T453" i="10"/>
  <c r="T449" i="10"/>
  <c r="T445" i="10"/>
  <c r="T441" i="10"/>
  <c r="T466" i="10"/>
  <c r="T462" i="10"/>
  <c r="T458" i="10"/>
  <c r="T454" i="10"/>
  <c r="T438" i="10"/>
  <c r="T428" i="10"/>
  <c r="T424" i="10"/>
  <c r="T420" i="10"/>
  <c r="T416" i="10"/>
  <c r="T412" i="10"/>
  <c r="T408" i="10"/>
  <c r="T404" i="10"/>
  <c r="T400" i="10"/>
  <c r="T396" i="10"/>
  <c r="T392" i="10"/>
  <c r="T388" i="10"/>
  <c r="T382" i="10"/>
  <c r="T378" i="10"/>
  <c r="T374" i="10"/>
  <c r="T370" i="10"/>
  <c r="T470" i="10"/>
  <c r="T386" i="10"/>
  <c r="T451" i="10"/>
  <c r="T447" i="10"/>
  <c r="T443" i="10"/>
  <c r="T439" i="10"/>
  <c r="T430" i="10"/>
  <c r="T426" i="10"/>
  <c r="T422" i="10"/>
  <c r="T418" i="10"/>
  <c r="T414" i="10"/>
  <c r="T410" i="10"/>
  <c r="T406" i="10"/>
  <c r="T402" i="10"/>
  <c r="T398" i="10"/>
  <c r="T394" i="10"/>
  <c r="T390" i="10"/>
  <c r="T383" i="10"/>
  <c r="T379" i="10"/>
  <c r="T375" i="10"/>
  <c r="T371" i="10"/>
  <c r="T366" i="10"/>
  <c r="T362" i="10"/>
  <c r="T307" i="10"/>
  <c r="T437" i="10"/>
  <c r="T433" i="10"/>
  <c r="T376" i="10"/>
  <c r="T368" i="10"/>
  <c r="T364" i="10"/>
  <c r="T360" i="10"/>
  <c r="T384" i="10"/>
  <c r="T359" i="10"/>
  <c r="T355" i="10"/>
  <c r="T351" i="10"/>
  <c r="T347" i="10"/>
  <c r="T343" i="10"/>
  <c r="T339" i="10"/>
  <c r="T335" i="10"/>
  <c r="T331" i="10"/>
  <c r="T327" i="10"/>
  <c r="T323" i="10"/>
  <c r="T319" i="10"/>
  <c r="T315" i="10"/>
  <c r="T311" i="10"/>
  <c r="T303" i="10"/>
  <c r="T299" i="10"/>
  <c r="T380" i="10"/>
  <c r="T372" i="10"/>
  <c r="T243" i="10"/>
  <c r="T239" i="10"/>
  <c r="T235" i="10"/>
  <c r="T231" i="10"/>
  <c r="T227" i="10"/>
  <c r="T223" i="10"/>
  <c r="T219" i="10"/>
  <c r="T215" i="10"/>
  <c r="T211" i="10"/>
  <c r="T163" i="10"/>
  <c r="T159" i="10"/>
  <c r="T155" i="10"/>
  <c r="T151" i="10"/>
  <c r="T147" i="10"/>
  <c r="T143" i="10"/>
  <c r="T139" i="10"/>
  <c r="T135" i="10"/>
  <c r="T131" i="10"/>
  <c r="T127" i="10"/>
  <c r="T123" i="10"/>
  <c r="T119" i="10"/>
  <c r="T115" i="10"/>
  <c r="T111" i="10"/>
  <c r="T107" i="10"/>
  <c r="T103" i="10"/>
  <c r="T356" i="10"/>
  <c r="T352" i="10"/>
  <c r="T348" i="10"/>
  <c r="T344" i="10"/>
  <c r="T340" i="10"/>
  <c r="T336" i="10"/>
  <c r="T332" i="10"/>
  <c r="T328" i="10"/>
  <c r="T324" i="10"/>
  <c r="T320" i="10"/>
  <c r="T316" i="10"/>
  <c r="T312" i="10"/>
  <c r="T308" i="10"/>
  <c r="T297" i="10"/>
  <c r="T295" i="10"/>
  <c r="T293" i="10"/>
  <c r="T291" i="10"/>
  <c r="T289" i="10"/>
  <c r="T287" i="10"/>
  <c r="T285" i="10"/>
  <c r="T283" i="10"/>
  <c r="T281" i="10"/>
  <c r="T279" i="10"/>
  <c r="T277" i="10"/>
  <c r="T275" i="10"/>
  <c r="T273" i="10"/>
  <c r="T271" i="10"/>
  <c r="T269" i="10"/>
  <c r="T267" i="10"/>
  <c r="T265" i="10"/>
  <c r="T263" i="10"/>
  <c r="T261" i="10"/>
  <c r="T259" i="10"/>
  <c r="T257" i="10"/>
  <c r="T255" i="10"/>
  <c r="T253" i="10"/>
  <c r="T251" i="10"/>
  <c r="T249" i="10"/>
  <c r="T247" i="10"/>
  <c r="T245" i="10"/>
  <c r="T244" i="10"/>
  <c r="T240" i="10"/>
  <c r="T236" i="10"/>
  <c r="T232" i="10"/>
  <c r="T228" i="10"/>
  <c r="T224" i="10"/>
  <c r="T220" i="10"/>
  <c r="T216" i="10"/>
  <c r="T212" i="10"/>
  <c r="T191" i="10"/>
  <c r="T187" i="10"/>
  <c r="T183" i="10"/>
  <c r="T179" i="10"/>
  <c r="T175" i="10"/>
  <c r="T171" i="10"/>
  <c r="T167" i="10"/>
  <c r="T301" i="10"/>
  <c r="T161" i="10"/>
  <c r="T157" i="10"/>
  <c r="T153" i="10"/>
  <c r="T149" i="10"/>
  <c r="T145" i="10"/>
  <c r="T141" i="10"/>
  <c r="T137" i="10"/>
  <c r="T133" i="10"/>
  <c r="T129" i="10"/>
  <c r="T125" i="10"/>
  <c r="T121" i="10"/>
  <c r="T117" i="10"/>
  <c r="T113" i="10"/>
  <c r="T109" i="10"/>
  <c r="T105" i="10"/>
  <c r="T101" i="10"/>
  <c r="T97" i="10"/>
  <c r="T93" i="10"/>
  <c r="T89" i="10"/>
  <c r="T85" i="10"/>
  <c r="T81" i="10"/>
  <c r="T77" i="10"/>
  <c r="T73" i="10"/>
  <c r="B49" i="10"/>
  <c r="T199" i="10"/>
  <c r="T51" i="10"/>
  <c r="T203" i="10"/>
  <c r="T195" i="10"/>
  <c r="T65" i="10"/>
  <c r="T63" i="10"/>
  <c r="T60" i="10"/>
  <c r="O10" i="10"/>
  <c r="T59" i="10"/>
  <c r="T53" i="10"/>
  <c r="T99" i="10"/>
  <c r="T95" i="10"/>
  <c r="T91" i="10"/>
  <c r="T87" i="10"/>
  <c r="T83" i="10"/>
  <c r="T79" i="10"/>
  <c r="T75" i="10"/>
  <c r="T67" i="10"/>
  <c r="T207" i="10"/>
  <c r="T55" i="10"/>
  <c r="T46" i="10"/>
  <c r="T44" i="10"/>
  <c r="T36" i="10"/>
  <c r="T29" i="10"/>
  <c r="T26" i="10"/>
  <c r="T24" i="10"/>
  <c r="T20" i="10"/>
  <c r="T32" i="10"/>
  <c r="T37" i="10"/>
  <c r="T78" i="10"/>
  <c r="T94" i="10"/>
  <c r="T52" i="10"/>
  <c r="T110" i="10"/>
  <c r="T126" i="10"/>
  <c r="T142" i="10"/>
  <c r="T158" i="10"/>
  <c r="T204" i="10"/>
  <c r="T64" i="10"/>
  <c r="T23" i="10"/>
  <c r="T41" i="10"/>
  <c r="T61" i="10"/>
  <c r="T72" i="10"/>
  <c r="T88" i="10"/>
  <c r="T218" i="10"/>
  <c r="T234" i="10"/>
  <c r="T300" i="10"/>
  <c r="T172" i="10"/>
  <c r="T188" i="10"/>
  <c r="T202" i="10"/>
  <c r="T144" i="10"/>
  <c r="T160" i="10"/>
  <c r="T177" i="10"/>
  <c r="T193" i="10"/>
  <c r="T201" i="10"/>
  <c r="T217" i="10"/>
  <c r="T233" i="10"/>
  <c r="T246" i="10"/>
  <c r="T262" i="10"/>
  <c r="T278" i="10"/>
  <c r="T294" i="10"/>
  <c r="T309" i="10"/>
  <c r="T317" i="10"/>
  <c r="T325" i="10"/>
  <c r="T333" i="10"/>
  <c r="T341" i="10"/>
  <c r="T349" i="10"/>
  <c r="T357" i="10"/>
  <c r="T361" i="10"/>
  <c r="T310" i="10"/>
  <c r="T318" i="10"/>
  <c r="T326" i="10"/>
  <c r="T334" i="10"/>
  <c r="T342" i="10"/>
  <c r="T350" i="10"/>
  <c r="T358" i="10"/>
  <c r="T397" i="10"/>
  <c r="T413" i="10"/>
  <c r="T429" i="10"/>
  <c r="T461" i="10"/>
  <c r="T391" i="10"/>
  <c r="T407" i="10"/>
  <c r="T423" i="10"/>
  <c r="T457" i="10"/>
  <c r="T448" i="10"/>
  <c r="T432" i="10"/>
  <c r="T479" i="10"/>
  <c r="T502" i="10"/>
  <c r="T467" i="10"/>
  <c r="T460" i="10"/>
  <c r="T487" i="10"/>
  <c r="T485" i="10"/>
  <c r="T499" i="10"/>
  <c r="T506" i="10"/>
  <c r="T513" i="10"/>
  <c r="T520" i="10"/>
  <c r="T501" i="10"/>
  <c r="T510" i="10"/>
  <c r="T514" i="10"/>
  <c r="T543" i="10"/>
  <c r="T544" i="10"/>
  <c r="T548" i="10"/>
  <c r="T555" i="10"/>
  <c r="T148" i="10"/>
  <c r="T189" i="10"/>
  <c r="T213" i="10"/>
  <c r="T305" i="10"/>
  <c r="T266" i="10"/>
  <c r="T298" i="10"/>
  <c r="T363" i="10"/>
  <c r="T434" i="10"/>
  <c r="T456" i="10"/>
  <c r="T538" i="10"/>
  <c r="T546" i="10"/>
  <c r="T27" i="10"/>
  <c r="T34" i="10"/>
  <c r="T47" i="10"/>
  <c r="T70" i="10"/>
  <c r="T82" i="10"/>
  <c r="T98" i="10"/>
  <c r="T25" i="10"/>
  <c r="T114" i="10"/>
  <c r="T130" i="10"/>
  <c r="T146" i="10"/>
  <c r="T162" i="10"/>
  <c r="T170" i="10"/>
  <c r="T178" i="10"/>
  <c r="T186" i="10"/>
  <c r="T194" i="10"/>
  <c r="T208" i="10"/>
  <c r="T19" i="10"/>
  <c r="T43" i="10"/>
  <c r="T48" i="10"/>
  <c r="T58" i="10"/>
  <c r="T68" i="10"/>
  <c r="T76" i="10"/>
  <c r="T92" i="10"/>
  <c r="T222" i="10"/>
  <c r="T238" i="10"/>
  <c r="T252" i="10"/>
  <c r="T260" i="10"/>
  <c r="T268" i="10"/>
  <c r="T276" i="10"/>
  <c r="T284" i="10"/>
  <c r="T292" i="10"/>
  <c r="T168" i="10"/>
  <c r="T184" i="10"/>
  <c r="T104" i="10"/>
  <c r="T112" i="10"/>
  <c r="T120" i="10"/>
  <c r="T128" i="10"/>
  <c r="T140" i="10"/>
  <c r="T156" i="10"/>
  <c r="T165" i="10"/>
  <c r="T181" i="10"/>
  <c r="T304" i="10"/>
  <c r="T205" i="10"/>
  <c r="T221" i="10"/>
  <c r="T237" i="10"/>
  <c r="T377" i="10"/>
  <c r="T258" i="10"/>
  <c r="T274" i="10"/>
  <c r="T290" i="10"/>
  <c r="T306" i="10"/>
  <c r="T385" i="10"/>
  <c r="T401" i="10"/>
  <c r="T417" i="10"/>
  <c r="T471" i="10"/>
  <c r="T395" i="10"/>
  <c r="T411" i="10"/>
  <c r="T427" i="10"/>
  <c r="T431" i="10"/>
  <c r="T452" i="10"/>
  <c r="T483" i="10"/>
  <c r="T463" i="10"/>
  <c r="T464" i="10"/>
  <c r="T472" i="10"/>
  <c r="T476" i="10"/>
  <c r="T480" i="10"/>
  <c r="T484" i="10"/>
  <c r="T481" i="10"/>
  <c r="T489" i="10"/>
  <c r="T497" i="10"/>
  <c r="T526" i="10"/>
  <c r="T511" i="10"/>
  <c r="T528" i="10"/>
  <c r="T542" i="10"/>
  <c r="T550" i="10"/>
  <c r="T540" i="10"/>
  <c r="T558" i="10"/>
  <c r="T554" i="10"/>
  <c r="T176" i="10"/>
  <c r="T173" i="10"/>
  <c r="T250" i="10"/>
  <c r="T282" i="10"/>
  <c r="T365" i="10"/>
  <c r="T469" i="10"/>
  <c r="T444" i="10"/>
  <c r="T475" i="10"/>
  <c r="T490" i="10"/>
  <c r="T473" i="10"/>
  <c r="T522" i="10"/>
  <c r="T518" i="10"/>
  <c r="T519" i="10"/>
  <c r="T551" i="10"/>
  <c r="T21" i="10"/>
  <c r="T86" i="10"/>
  <c r="T62" i="10"/>
  <c r="T200" i="10"/>
  <c r="T38" i="10"/>
  <c r="T45" i="10"/>
  <c r="T50" i="10"/>
  <c r="T54" i="10"/>
  <c r="T57" i="10"/>
  <c r="T71" i="10"/>
  <c r="T102" i="10"/>
  <c r="T118" i="10"/>
  <c r="T134" i="10"/>
  <c r="T150" i="10"/>
  <c r="T28" i="10"/>
  <c r="T35" i="10"/>
  <c r="T31" i="10"/>
  <c r="T66" i="10"/>
  <c r="T80" i="10"/>
  <c r="T96" i="10"/>
  <c r="T210" i="10"/>
  <c r="T226" i="10"/>
  <c r="T242" i="10"/>
  <c r="T164" i="10"/>
  <c r="T180" i="10"/>
  <c r="T198" i="10"/>
  <c r="T206" i="10"/>
  <c r="T136" i="10"/>
  <c r="T152" i="10"/>
  <c r="T169" i="10"/>
  <c r="T185" i="10"/>
  <c r="T381" i="10"/>
  <c r="T387" i="10"/>
  <c r="T209" i="10"/>
  <c r="T225" i="10"/>
  <c r="T241" i="10"/>
  <c r="T254" i="10"/>
  <c r="T270" i="10"/>
  <c r="T286" i="10"/>
  <c r="T302" i="10"/>
  <c r="T313" i="10"/>
  <c r="T321" i="10"/>
  <c r="T329" i="10"/>
  <c r="T337" i="10"/>
  <c r="T345" i="10"/>
  <c r="T353" i="10"/>
  <c r="T369" i="10"/>
  <c r="T435" i="10"/>
  <c r="T465" i="10"/>
  <c r="T314" i="10"/>
  <c r="T322" i="10"/>
  <c r="T330" i="10"/>
  <c r="T338" i="10"/>
  <c r="T346" i="10"/>
  <c r="T354" i="10"/>
  <c r="T367" i="10"/>
  <c r="T389" i="10"/>
  <c r="T405" i="10"/>
  <c r="T421" i="10"/>
  <c r="T399" i="10"/>
  <c r="T415" i="10"/>
  <c r="T440" i="10"/>
  <c r="T459" i="10"/>
  <c r="T468" i="10"/>
  <c r="T494" i="10"/>
  <c r="T477" i="10"/>
  <c r="T495" i="10"/>
  <c r="T503" i="10"/>
  <c r="T516" i="10"/>
  <c r="T530" i="10"/>
  <c r="T534" i="10"/>
  <c r="T507" i="10"/>
  <c r="T515" i="10"/>
  <c r="T532" i="10"/>
  <c r="T524" i="10"/>
  <c r="T536" i="10"/>
  <c r="T559" i="10"/>
  <c r="T40" i="10"/>
  <c r="T30" i="10"/>
  <c r="T42" i="10"/>
  <c r="T49" i="10"/>
  <c r="T56" i="10"/>
  <c r="T74" i="10"/>
  <c r="T90" i="10"/>
  <c r="T106" i="10"/>
  <c r="T122" i="10"/>
  <c r="T138" i="10"/>
  <c r="T154" i="10"/>
  <c r="T166" i="10"/>
  <c r="T174" i="10"/>
  <c r="T182" i="10"/>
  <c r="T190" i="10"/>
  <c r="T196" i="10"/>
  <c r="T69" i="10"/>
  <c r="T22" i="10"/>
  <c r="T33" i="10"/>
  <c r="T39" i="10"/>
  <c r="T84" i="10"/>
  <c r="T214" i="10"/>
  <c r="T230" i="10"/>
  <c r="T248" i="10"/>
  <c r="T256" i="10"/>
  <c r="T264" i="10"/>
  <c r="T272" i="10"/>
  <c r="T280" i="10"/>
  <c r="T288" i="10"/>
  <c r="T296" i="10"/>
  <c r="T192" i="10"/>
  <c r="T100" i="10"/>
  <c r="T108" i="10"/>
  <c r="T116" i="10"/>
  <c r="T124" i="10"/>
  <c r="T132" i="10"/>
  <c r="T373" i="10"/>
  <c r="T197" i="10"/>
  <c r="T229" i="10"/>
  <c r="T393" i="10"/>
  <c r="T409" i="10"/>
  <c r="T425" i="10"/>
  <c r="T403" i="10"/>
  <c r="T419" i="10"/>
  <c r="T436" i="10"/>
  <c r="T455" i="10"/>
  <c r="T491" i="10"/>
  <c r="T505" i="10"/>
  <c r="T509" i="10"/>
  <c r="T539" i="10"/>
  <c r="B40" i="5"/>
  <c r="B98" i="2"/>
  <c r="B59" i="2"/>
  <c r="E231" i="2" s="1"/>
  <c r="B174" i="2"/>
  <c r="B58" i="2"/>
  <c r="B53" i="2"/>
  <c r="N9" i="1" s="1"/>
  <c r="B57" i="2"/>
  <c r="G196" i="2" s="1"/>
  <c r="B194" i="2"/>
  <c r="K8" i="2"/>
  <c r="B3" i="8"/>
  <c r="B12" i="5"/>
  <c r="B5" i="8"/>
  <c r="B11" i="5"/>
  <c r="B4" i="8"/>
  <c r="B289" i="2"/>
  <c r="B290" i="2" s="1"/>
  <c r="M8" i="4"/>
  <c r="BV7" i="4"/>
  <c r="AL15" i="4"/>
  <c r="AL17" i="4"/>
  <c r="AL19" i="4"/>
  <c r="AL21" i="4"/>
  <c r="AL23" i="4"/>
  <c r="AL25" i="4"/>
  <c r="AL27" i="4"/>
  <c r="AL29" i="4"/>
  <c r="AL31" i="4"/>
  <c r="AL33" i="4"/>
  <c r="AL35" i="4"/>
  <c r="AL37" i="4"/>
  <c r="AL39" i="4"/>
  <c r="AL41" i="4"/>
  <c r="AL20" i="4"/>
  <c r="AL28" i="4"/>
  <c r="AL36" i="4"/>
  <c r="AL16" i="4"/>
  <c r="AL30" i="4"/>
  <c r="AL34" i="4"/>
  <c r="AL44" i="4"/>
  <c r="AL49" i="4"/>
  <c r="AL52" i="4"/>
  <c r="AL57" i="4"/>
  <c r="AL60" i="4"/>
  <c r="AL65" i="4"/>
  <c r="AL68" i="4"/>
  <c r="AL73" i="4"/>
  <c r="AL76" i="4"/>
  <c r="AL81" i="4"/>
  <c r="AL84" i="4"/>
  <c r="AL89" i="4"/>
  <c r="AL92" i="4"/>
  <c r="AL97" i="4"/>
  <c r="AL100" i="4"/>
  <c r="AL105" i="4"/>
  <c r="AL108" i="4"/>
  <c r="AL113" i="4"/>
  <c r="AL116" i="4"/>
  <c r="AL121" i="4"/>
  <c r="AL124" i="4"/>
  <c r="AL129" i="4"/>
  <c r="AL132" i="4"/>
  <c r="AL137" i="4"/>
  <c r="AL140" i="4"/>
  <c r="AL145" i="4"/>
  <c r="AL148" i="4"/>
  <c r="AL153" i="4"/>
  <c r="AL156" i="4"/>
  <c r="AL11" i="4"/>
  <c r="AL14" i="4"/>
  <c r="AL24" i="4"/>
  <c r="AL38" i="4"/>
  <c r="AL42" i="4"/>
  <c r="AL47" i="4"/>
  <c r="AL50" i="4"/>
  <c r="AL55" i="4"/>
  <c r="AL58" i="4"/>
  <c r="AL63" i="4"/>
  <c r="AL66" i="4"/>
  <c r="AL71" i="4"/>
  <c r="AL74" i="4"/>
  <c r="AL79" i="4"/>
  <c r="AL82" i="4"/>
  <c r="AL87" i="4"/>
  <c r="AL90" i="4"/>
  <c r="AL95" i="4"/>
  <c r="AL98" i="4"/>
  <c r="AL103" i="4"/>
  <c r="AL106" i="4"/>
  <c r="AL111" i="4"/>
  <c r="AL114" i="4"/>
  <c r="AL119" i="4"/>
  <c r="AL122" i="4"/>
  <c r="AL127" i="4"/>
  <c r="AL130" i="4"/>
  <c r="AL135" i="4"/>
  <c r="AL138" i="4"/>
  <c r="AL143" i="4"/>
  <c r="AL146" i="4"/>
  <c r="AL151" i="4"/>
  <c r="AL154" i="4"/>
  <c r="AL9" i="4"/>
  <c r="AL12" i="4"/>
  <c r="AL18" i="4"/>
  <c r="AL32" i="4"/>
  <c r="AL45" i="4"/>
  <c r="AL48" i="4"/>
  <c r="AL53" i="4"/>
  <c r="AL56" i="4"/>
  <c r="AL61" i="4"/>
  <c r="AL64" i="4"/>
  <c r="AL69" i="4"/>
  <c r="AL72" i="4"/>
  <c r="AL77" i="4"/>
  <c r="AL80" i="4"/>
  <c r="AL85" i="4"/>
  <c r="AL88" i="4"/>
  <c r="AL93" i="4"/>
  <c r="AL96" i="4"/>
  <c r="AL101" i="4"/>
  <c r="AL104" i="4"/>
  <c r="AL109" i="4"/>
  <c r="AL112" i="4"/>
  <c r="AL117" i="4"/>
  <c r="AL120" i="4"/>
  <c r="AL125" i="4"/>
  <c r="AL128" i="4"/>
  <c r="AL133" i="4"/>
  <c r="AL136" i="4"/>
  <c r="AL141" i="4"/>
  <c r="AL144" i="4"/>
  <c r="AL149" i="4"/>
  <c r="AL152" i="4"/>
  <c r="AL157" i="4"/>
  <c r="AL10" i="4"/>
  <c r="AL22" i="4"/>
  <c r="AL26" i="4"/>
  <c r="AL40" i="4"/>
  <c r="AL43" i="4"/>
  <c r="AL46" i="4"/>
  <c r="AL51" i="4"/>
  <c r="AL54" i="4"/>
  <c r="AL59" i="4"/>
  <c r="AL62" i="4"/>
  <c r="AL67" i="4"/>
  <c r="AL70" i="4"/>
  <c r="AL75" i="4"/>
  <c r="AL78" i="4"/>
  <c r="AL83" i="4"/>
  <c r="AL86" i="4"/>
  <c r="AL91" i="4"/>
  <c r="AL94" i="4"/>
  <c r="AL99" i="4"/>
  <c r="AL102" i="4"/>
  <c r="AL107" i="4"/>
  <c r="AL110" i="4"/>
  <c r="AL115" i="4"/>
  <c r="AL118" i="4"/>
  <c r="AL123" i="4"/>
  <c r="AL126" i="4"/>
  <c r="AL131" i="4"/>
  <c r="AL134" i="4"/>
  <c r="AL139" i="4"/>
  <c r="AL142" i="4"/>
  <c r="AL147" i="4"/>
  <c r="AL150" i="4"/>
  <c r="AL155" i="4"/>
  <c r="AL8" i="4"/>
  <c r="AL13" i="4"/>
  <c r="B29" i="5"/>
  <c r="O15" i="4"/>
  <c r="H47" i="1"/>
  <c r="AL7" i="4"/>
  <c r="E120" i="2"/>
  <c r="H49" i="1"/>
  <c r="O12" i="4"/>
  <c r="T8" i="5"/>
  <c r="U8" i="5" s="1"/>
  <c r="O10" i="5"/>
  <c r="B54" i="5"/>
  <c r="B188" i="2"/>
  <c r="B239" i="2"/>
  <c r="H64" i="1" s="1"/>
  <c r="H65" i="1" s="1"/>
  <c r="B10" i="5"/>
  <c r="T28" i="5"/>
  <c r="T29" i="5"/>
  <c r="T38" i="5"/>
  <c r="T44" i="5"/>
  <c r="T46" i="5"/>
  <c r="T21" i="5"/>
  <c r="T24" i="5"/>
  <c r="T26" i="5"/>
  <c r="T27" i="5"/>
  <c r="T31" i="5"/>
  <c r="T32" i="5"/>
  <c r="T39" i="5"/>
  <c r="T42" i="5"/>
  <c r="T45" i="5"/>
  <c r="T22" i="5"/>
  <c r="T34" i="5"/>
  <c r="T36" i="5"/>
  <c r="T40" i="5"/>
  <c r="T43" i="5"/>
  <c r="T47" i="5"/>
  <c r="T48" i="5"/>
  <c r="T49" i="5"/>
  <c r="T41" i="5"/>
  <c r="T52" i="5"/>
  <c r="T53" i="5"/>
  <c r="T54" i="5"/>
  <c r="T64" i="5"/>
  <c r="T70" i="5"/>
  <c r="T20" i="5"/>
  <c r="T23" i="5"/>
  <c r="T30" i="5"/>
  <c r="T33" i="5"/>
  <c r="T50" i="5"/>
  <c r="T51" i="5"/>
  <c r="T56" i="5"/>
  <c r="T59" i="5"/>
  <c r="T62" i="5"/>
  <c r="T65" i="5"/>
  <c r="T67" i="5"/>
  <c r="T35" i="5"/>
  <c r="T55" i="5"/>
  <c r="T58" i="5"/>
  <c r="T63" i="5"/>
  <c r="T66" i="5"/>
  <c r="T68" i="5"/>
  <c r="T71" i="5"/>
  <c r="T76" i="5"/>
  <c r="T80" i="5"/>
  <c r="T74" i="5"/>
  <c r="T77" i="5"/>
  <c r="T57" i="5"/>
  <c r="T61" i="5"/>
  <c r="T73" i="5"/>
  <c r="T78" i="5"/>
  <c r="T89" i="5"/>
  <c r="T92" i="5"/>
  <c r="T25" i="5"/>
  <c r="T81" i="5"/>
  <c r="T82" i="5"/>
  <c r="T94" i="5"/>
  <c r="T96" i="5"/>
  <c r="T97" i="5"/>
  <c r="T98" i="5"/>
  <c r="T69" i="5"/>
  <c r="T95" i="5"/>
  <c r="T102" i="5"/>
  <c r="T105" i="5"/>
  <c r="T107" i="5"/>
  <c r="T60" i="5"/>
  <c r="T72" i="5"/>
  <c r="T83" i="5"/>
  <c r="T85" i="5"/>
  <c r="T88" i="5"/>
  <c r="T90" i="5"/>
  <c r="T91" i="5"/>
  <c r="T101" i="5"/>
  <c r="T108" i="5"/>
  <c r="T110" i="5"/>
  <c r="T37" i="5"/>
  <c r="T87" i="5"/>
  <c r="T93" i="5"/>
  <c r="T113" i="5"/>
  <c r="T121" i="5"/>
  <c r="T126" i="5"/>
  <c r="T127" i="5"/>
  <c r="T132" i="5"/>
  <c r="T136" i="5"/>
  <c r="T139" i="5"/>
  <c r="T141" i="5"/>
  <c r="T147" i="5"/>
  <c r="T155" i="5"/>
  <c r="T84" i="5"/>
  <c r="T99" i="5"/>
  <c r="T103" i="5"/>
  <c r="T106" i="5"/>
  <c r="T109" i="5"/>
  <c r="T112" i="5"/>
  <c r="T116" i="5"/>
  <c r="T117" i="5"/>
  <c r="T123" i="5"/>
  <c r="T124" i="5"/>
  <c r="T129" i="5"/>
  <c r="T131" i="5"/>
  <c r="T137" i="5"/>
  <c r="T142" i="5"/>
  <c r="T148" i="5"/>
  <c r="T151" i="5"/>
  <c r="T156" i="5"/>
  <c r="T75" i="5"/>
  <c r="T104" i="5"/>
  <c r="T114" i="5"/>
  <c r="T115" i="5"/>
  <c r="T119" i="5"/>
  <c r="T122" i="5"/>
  <c r="T130" i="5"/>
  <c r="T138" i="5"/>
  <c r="T143" i="5"/>
  <c r="T145" i="5"/>
  <c r="T146" i="5"/>
  <c r="T152" i="5"/>
  <c r="T125" i="5"/>
  <c r="T128" i="5"/>
  <c r="T134" i="5"/>
  <c r="T149" i="5"/>
  <c r="T165" i="5"/>
  <c r="T167" i="5"/>
  <c r="T171" i="5"/>
  <c r="T173" i="5"/>
  <c r="T177" i="5"/>
  <c r="T178" i="5"/>
  <c r="T181" i="5"/>
  <c r="T187" i="5"/>
  <c r="T86" i="5"/>
  <c r="T111" i="5"/>
  <c r="T118" i="5"/>
  <c r="T133" i="5"/>
  <c r="T140" i="5"/>
  <c r="T163" i="5"/>
  <c r="T169" i="5"/>
  <c r="T170" i="5"/>
  <c r="T182" i="5"/>
  <c r="T184" i="5"/>
  <c r="T79" i="5"/>
  <c r="T100" i="5"/>
  <c r="T154" i="5"/>
  <c r="T158" i="5"/>
  <c r="T161" i="5"/>
  <c r="T172" i="5"/>
  <c r="T175" i="5"/>
  <c r="T179" i="5"/>
  <c r="T183" i="5"/>
  <c r="T185" i="5"/>
  <c r="T186" i="5"/>
  <c r="T189" i="5"/>
  <c r="T190" i="5"/>
  <c r="T194" i="5"/>
  <c r="T197" i="5"/>
  <c r="T198" i="5"/>
  <c r="T201" i="5"/>
  <c r="T204" i="5"/>
  <c r="T206" i="5"/>
  <c r="T164" i="5"/>
  <c r="T188" i="5"/>
  <c r="T196" i="5"/>
  <c r="T200" i="5"/>
  <c r="T202" i="5"/>
  <c r="T203" i="5"/>
  <c r="T205" i="5"/>
  <c r="T208" i="5"/>
  <c r="T209" i="5"/>
  <c r="T211" i="5"/>
  <c r="T215" i="5"/>
  <c r="T218" i="5"/>
  <c r="T220" i="5"/>
  <c r="T223" i="5"/>
  <c r="T224" i="5"/>
  <c r="T227" i="5"/>
  <c r="T234" i="5"/>
  <c r="T239" i="5"/>
  <c r="T245" i="5"/>
  <c r="T120" i="5"/>
  <c r="T144" i="5"/>
  <c r="T150" i="5"/>
  <c r="T159" i="5"/>
  <c r="T166" i="5"/>
  <c r="T193" i="5"/>
  <c r="T199" i="5"/>
  <c r="T212" i="5"/>
  <c r="T216" i="5"/>
  <c r="T217" i="5"/>
  <c r="T222" i="5"/>
  <c r="T229" i="5"/>
  <c r="T232" i="5"/>
  <c r="T238" i="5"/>
  <c r="T242" i="5"/>
  <c r="T243" i="5"/>
  <c r="T157" i="5"/>
  <c r="T168" i="5"/>
  <c r="T174" i="5"/>
  <c r="T180" i="5"/>
  <c r="T191" i="5"/>
  <c r="T192" i="5"/>
  <c r="T207" i="5"/>
  <c r="T210" i="5"/>
  <c r="T213" i="5"/>
  <c r="T219" i="5"/>
  <c r="T221" i="5"/>
  <c r="T225" i="5"/>
  <c r="T230" i="5"/>
  <c r="T233" i="5"/>
  <c r="T235" i="5"/>
  <c r="T236" i="5"/>
  <c r="T240" i="5"/>
  <c r="T153" i="5"/>
  <c r="T176" i="5"/>
  <c r="T241" i="5"/>
  <c r="T248" i="5"/>
  <c r="T249" i="5"/>
  <c r="T252" i="5"/>
  <c r="T254" i="5"/>
  <c r="T255" i="5"/>
  <c r="T257" i="5"/>
  <c r="T260" i="5"/>
  <c r="T263" i="5"/>
  <c r="T265" i="5"/>
  <c r="T270" i="5"/>
  <c r="T273" i="5"/>
  <c r="T274" i="5"/>
  <c r="T277" i="5"/>
  <c r="T278" i="5"/>
  <c r="T279" i="5"/>
  <c r="T282" i="5"/>
  <c r="T289" i="5"/>
  <c r="T295" i="5"/>
  <c r="T301" i="5"/>
  <c r="T306" i="5"/>
  <c r="T308" i="5"/>
  <c r="T314" i="5"/>
  <c r="T318" i="5"/>
  <c r="T322" i="5"/>
  <c r="T327" i="5"/>
  <c r="T332" i="5"/>
  <c r="T334" i="5"/>
  <c r="T135" i="5"/>
  <c r="T237" i="5"/>
  <c r="T244" i="5"/>
  <c r="T250" i="5"/>
  <c r="T251" i="5"/>
  <c r="T258" i="5"/>
  <c r="T266" i="5"/>
  <c r="T276" i="5"/>
  <c r="T284" i="5"/>
  <c r="T288" i="5"/>
  <c r="T291" i="5"/>
  <c r="T292" i="5"/>
  <c r="T299" i="5"/>
  <c r="T302" i="5"/>
  <c r="T311" i="5"/>
  <c r="T313" i="5"/>
  <c r="T316" i="5"/>
  <c r="T323" i="5"/>
  <c r="T325" i="5"/>
  <c r="T328" i="5"/>
  <c r="T331" i="5"/>
  <c r="T160" i="5"/>
  <c r="T226" i="5"/>
  <c r="T231" i="5"/>
  <c r="T246" i="5"/>
  <c r="T253" i="5"/>
  <c r="T256" i="5"/>
  <c r="T259" i="5"/>
  <c r="T261" i="5"/>
  <c r="T264" i="5"/>
  <c r="T268" i="5"/>
  <c r="T269" i="5"/>
  <c r="T271" i="5"/>
  <c r="T281" i="5"/>
  <c r="T285" i="5"/>
  <c r="T290" i="5"/>
  <c r="T293" i="5"/>
  <c r="T296" i="5"/>
  <c r="T298" i="5"/>
  <c r="T300" i="5"/>
  <c r="T303" i="5"/>
  <c r="T305" i="5"/>
  <c r="T307" i="5"/>
  <c r="T310" i="5"/>
  <c r="T320" i="5"/>
  <c r="T321" i="5"/>
  <c r="T326" i="5"/>
  <c r="T330" i="5"/>
  <c r="T335" i="5"/>
  <c r="T343" i="5"/>
  <c r="T349" i="5"/>
  <c r="T354" i="5"/>
  <c r="T356" i="5"/>
  <c r="T262" i="5"/>
  <c r="T267" i="5"/>
  <c r="T280" i="5"/>
  <c r="T283" i="5"/>
  <c r="T286" i="5"/>
  <c r="T309" i="5"/>
  <c r="T312" i="5"/>
  <c r="T315" i="5"/>
  <c r="T329" i="5"/>
  <c r="T337" i="5"/>
  <c r="T342" i="5"/>
  <c r="T345" i="5"/>
  <c r="T350" i="5"/>
  <c r="T359" i="5"/>
  <c r="T362" i="5"/>
  <c r="T364" i="5"/>
  <c r="T366" i="5"/>
  <c r="T367" i="5"/>
  <c r="T378" i="5"/>
  <c r="T381" i="5"/>
  <c r="T387" i="5"/>
  <c r="T390" i="5"/>
  <c r="T393" i="5"/>
  <c r="T400" i="5"/>
  <c r="T403" i="5"/>
  <c r="T405" i="5"/>
  <c r="T410" i="5"/>
  <c r="T415" i="5"/>
  <c r="T420" i="5"/>
  <c r="T421" i="5"/>
  <c r="T424" i="5"/>
  <c r="T429" i="5"/>
  <c r="T433" i="5"/>
  <c r="T436" i="5"/>
  <c r="T437" i="5"/>
  <c r="T214" i="5"/>
  <c r="T247" i="5"/>
  <c r="T297" i="5"/>
  <c r="T317" i="5"/>
  <c r="T341" i="5"/>
  <c r="T369" i="5"/>
  <c r="T371" i="5"/>
  <c r="T372" i="5"/>
  <c r="T375" i="5"/>
  <c r="T376" i="5"/>
  <c r="T380" i="5"/>
  <c r="T385" i="5"/>
  <c r="T386" i="5"/>
  <c r="T389" i="5"/>
  <c r="T391" i="5"/>
  <c r="T396" i="5"/>
  <c r="T407" i="5"/>
  <c r="T409" i="5"/>
  <c r="T418" i="5"/>
  <c r="T162" i="5"/>
  <c r="T195" i="5"/>
  <c r="T228" i="5"/>
  <c r="T272" i="5"/>
  <c r="T275" i="5"/>
  <c r="T294" i="5"/>
  <c r="T319" i="5"/>
  <c r="T336" i="5"/>
  <c r="T340" i="5"/>
  <c r="T348" i="5"/>
  <c r="T353" i="5"/>
  <c r="T355" i="5"/>
  <c r="T361" i="5"/>
  <c r="T363" i="5"/>
  <c r="T365" i="5"/>
  <c r="T373" i="5"/>
  <c r="T379" i="5"/>
  <c r="T382" i="5"/>
  <c r="T383" i="5"/>
  <c r="T388" i="5"/>
  <c r="T392" i="5"/>
  <c r="T399" i="5"/>
  <c r="T402" i="5"/>
  <c r="T404" i="5"/>
  <c r="T408" i="5"/>
  <c r="T411" i="5"/>
  <c r="T414" i="5"/>
  <c r="T417" i="5"/>
  <c r="T287" i="5"/>
  <c r="T324" i="5"/>
  <c r="T357" i="5"/>
  <c r="T370" i="5"/>
  <c r="T384" i="5"/>
  <c r="T428" i="5"/>
  <c r="T430" i="5"/>
  <c r="T432" i="5"/>
  <c r="T441" i="5"/>
  <c r="T443" i="5"/>
  <c r="T447" i="5"/>
  <c r="T448" i="5"/>
  <c r="T451" i="5"/>
  <c r="T458" i="5"/>
  <c r="T460" i="5"/>
  <c r="T466" i="5"/>
  <c r="T472" i="5"/>
  <c r="T478" i="5"/>
  <c r="T481" i="5"/>
  <c r="T491" i="5"/>
  <c r="T494" i="5"/>
  <c r="T499" i="5"/>
  <c r="T505" i="5"/>
  <c r="T507" i="5"/>
  <c r="T508" i="5"/>
  <c r="T513" i="5"/>
  <c r="T515" i="5"/>
  <c r="T516" i="5"/>
  <c r="T525" i="5"/>
  <c r="T532" i="5"/>
  <c r="T533" i="5"/>
  <c r="T537" i="5"/>
  <c r="T339" i="5"/>
  <c r="T347" i="5"/>
  <c r="T351" i="5"/>
  <c r="T427" i="5"/>
  <c r="T431" i="5"/>
  <c r="T438" i="5"/>
  <c r="T442" i="5"/>
  <c r="T453" i="5"/>
  <c r="T454" i="5"/>
  <c r="T456" i="5"/>
  <c r="T459" i="5"/>
  <c r="T462" i="5"/>
  <c r="T464" i="5"/>
  <c r="T468" i="5"/>
  <c r="T471" i="5"/>
  <c r="T474" i="5"/>
  <c r="T475" i="5"/>
  <c r="T480" i="5"/>
  <c r="T483" i="5"/>
  <c r="T485" i="5"/>
  <c r="T496" i="5"/>
  <c r="T498" i="5"/>
  <c r="T500" i="5"/>
  <c r="T501" i="5"/>
  <c r="T503" i="5"/>
  <c r="T504" i="5"/>
  <c r="T511" i="5"/>
  <c r="T512" i="5"/>
  <c r="T517" i="5"/>
  <c r="T519" i="5"/>
  <c r="T521" i="5"/>
  <c r="T522" i="5"/>
  <c r="T333" i="5"/>
  <c r="T358" i="5"/>
  <c r="T360" i="5"/>
  <c r="T368" i="5"/>
  <c r="T374" i="5"/>
  <c r="T377" i="5"/>
  <c r="T395" i="5"/>
  <c r="T398" i="5"/>
  <c r="T401" i="5"/>
  <c r="T413" i="5"/>
  <c r="T416" i="5"/>
  <c r="T422" i="5"/>
  <c r="T425" i="5"/>
  <c r="T434" i="5"/>
  <c r="T435" i="5"/>
  <c r="T439" i="5"/>
  <c r="T446" i="5"/>
  <c r="T452" i="5"/>
  <c r="T455" i="5"/>
  <c r="T457" i="5"/>
  <c r="T461" i="5"/>
  <c r="T463" i="5"/>
  <c r="T467" i="5"/>
  <c r="T470" i="5"/>
  <c r="T473" i="5"/>
  <c r="T477" i="5"/>
  <c r="T482" i="5"/>
  <c r="T486" i="5"/>
  <c r="T487" i="5"/>
  <c r="T489" i="5"/>
  <c r="T492" i="5"/>
  <c r="T493" i="5"/>
  <c r="T495" i="5"/>
  <c r="T506" i="5"/>
  <c r="T510" i="5"/>
  <c r="T526" i="5"/>
  <c r="T531" i="5"/>
  <c r="T538" i="5"/>
  <c r="T556" i="5"/>
  <c r="T557" i="5"/>
  <c r="T560" i="5"/>
  <c r="T304" i="5"/>
  <c r="T338" i="5"/>
  <c r="T344" i="5"/>
  <c r="T346" i="5"/>
  <c r="T352" i="5"/>
  <c r="T444" i="5"/>
  <c r="T465" i="5"/>
  <c r="T484" i="5"/>
  <c r="T529" i="5"/>
  <c r="T534" i="5"/>
  <c r="T536" i="5"/>
  <c r="T539" i="5"/>
  <c r="T540" i="5"/>
  <c r="T542" i="5"/>
  <c r="T545" i="5"/>
  <c r="T546" i="5"/>
  <c r="T548" i="5"/>
  <c r="T550" i="5"/>
  <c r="T554" i="5"/>
  <c r="T541" i="5"/>
  <c r="T544" i="5"/>
  <c r="T394" i="5"/>
  <c r="T406" i="5"/>
  <c r="T412" i="5"/>
  <c r="T426" i="5"/>
  <c r="T450" i="5"/>
  <c r="T490" i="5"/>
  <c r="T497" i="5"/>
  <c r="T514" i="5"/>
  <c r="T518" i="5"/>
  <c r="T524" i="5"/>
  <c r="T527" i="5"/>
  <c r="T543" i="5"/>
  <c r="T551" i="5"/>
  <c r="T552" i="5"/>
  <c r="T553" i="5"/>
  <c r="T555" i="5"/>
  <c r="T419" i="5"/>
  <c r="T440" i="5"/>
  <c r="T449" i="5"/>
  <c r="T528" i="5"/>
  <c r="T530" i="5"/>
  <c r="T535" i="5"/>
  <c r="T547" i="5"/>
  <c r="T549" i="5"/>
  <c r="T558" i="5"/>
  <c r="T559" i="5"/>
  <c r="T397" i="5"/>
  <c r="T423" i="5"/>
  <c r="T445" i="5"/>
  <c r="T469" i="5"/>
  <c r="T476" i="5"/>
  <c r="T479" i="5"/>
  <c r="T488" i="5"/>
  <c r="T502" i="5"/>
  <c r="T509" i="5"/>
  <c r="T520" i="5"/>
  <c r="T523" i="5"/>
  <c r="T19" i="5"/>
  <c r="B25" i="5"/>
  <c r="B26" i="5"/>
  <c r="B13" i="5"/>
  <c r="B21" i="3"/>
  <c r="B22" i="3" s="1"/>
  <c r="B11" i="2"/>
  <c r="H15" i="1" s="1"/>
  <c r="B18" i="2"/>
  <c r="B40" i="2" s="1"/>
  <c r="B17" i="2"/>
  <c r="B207" i="2" l="1"/>
  <c r="B64" i="10" s="1"/>
  <c r="B240" i="2"/>
  <c r="B184" i="2"/>
  <c r="AM134" i="4"/>
  <c r="AM118" i="4"/>
  <c r="AM70" i="4"/>
  <c r="AM54" i="4"/>
  <c r="AM141" i="4"/>
  <c r="AM125" i="4"/>
  <c r="AM77" i="4"/>
  <c r="AM61" i="4"/>
  <c r="AM143" i="4"/>
  <c r="AM127" i="4"/>
  <c r="AM79" i="4"/>
  <c r="AM63" i="4"/>
  <c r="AM148" i="4"/>
  <c r="AM116" i="4"/>
  <c r="AM84" i="4"/>
  <c r="AM52" i="4"/>
  <c r="AM20" i="4"/>
  <c r="AM27" i="4"/>
  <c r="AM155" i="4"/>
  <c r="AM139" i="4"/>
  <c r="AM123" i="4"/>
  <c r="AM107" i="4"/>
  <c r="AM91" i="4"/>
  <c r="AM75" i="4"/>
  <c r="AM59" i="4"/>
  <c r="AM43" i="4"/>
  <c r="AM10" i="4"/>
  <c r="AM144" i="4"/>
  <c r="AM128" i="4"/>
  <c r="AM112" i="4"/>
  <c r="AM96" i="4"/>
  <c r="AM80" i="4"/>
  <c r="AM64" i="4"/>
  <c r="AM48" i="4"/>
  <c r="AM12" i="4"/>
  <c r="AM146" i="4"/>
  <c r="AM130" i="4"/>
  <c r="AM114" i="4"/>
  <c r="AM98" i="4"/>
  <c r="AM82" i="4"/>
  <c r="AM66" i="4"/>
  <c r="AM50" i="4"/>
  <c r="AM24" i="4"/>
  <c r="AM153" i="4"/>
  <c r="AM137" i="4"/>
  <c r="AM121" i="4"/>
  <c r="AM105" i="4"/>
  <c r="AM89" i="4"/>
  <c r="AM73" i="4"/>
  <c r="AM57" i="4"/>
  <c r="AM34" i="4"/>
  <c r="AM28" i="4"/>
  <c r="AM37" i="4"/>
  <c r="AM29" i="4"/>
  <c r="AM21" i="4"/>
  <c r="AM102" i="4"/>
  <c r="AM40" i="4"/>
  <c r="AM109" i="4"/>
  <c r="AM45" i="4"/>
  <c r="AM111" i="4"/>
  <c r="AM47" i="4"/>
  <c r="AM132" i="4"/>
  <c r="AM68" i="4"/>
  <c r="AM35" i="4"/>
  <c r="AM19" i="4"/>
  <c r="AM7" i="4"/>
  <c r="AM13" i="4"/>
  <c r="AM147" i="4"/>
  <c r="AM131" i="4"/>
  <c r="AM115" i="4"/>
  <c r="AM99" i="4"/>
  <c r="AM83" i="4"/>
  <c r="AM67" i="4"/>
  <c r="AM51" i="4"/>
  <c r="AM26" i="4"/>
  <c r="AM152" i="4"/>
  <c r="AM136" i="4"/>
  <c r="AM120" i="4"/>
  <c r="AM104" i="4"/>
  <c r="AM88" i="4"/>
  <c r="AM72" i="4"/>
  <c r="AM56" i="4"/>
  <c r="AM32" i="4"/>
  <c r="AM154" i="4"/>
  <c r="AM138" i="4"/>
  <c r="AM122" i="4"/>
  <c r="AM106" i="4"/>
  <c r="AM90" i="4"/>
  <c r="AM74" i="4"/>
  <c r="AM58" i="4"/>
  <c r="AM42" i="4"/>
  <c r="AM11" i="4"/>
  <c r="AM145" i="4"/>
  <c r="AM129" i="4"/>
  <c r="AM113" i="4"/>
  <c r="AM97" i="4"/>
  <c r="AM81" i="4"/>
  <c r="AM65" i="4"/>
  <c r="AM49" i="4"/>
  <c r="AM16" i="4"/>
  <c r="AM41" i="4"/>
  <c r="AM33" i="4"/>
  <c r="AM25" i="4"/>
  <c r="AM17" i="4"/>
  <c r="AM150" i="4"/>
  <c r="AM86" i="4"/>
  <c r="AM157" i="4"/>
  <c r="AM93" i="4"/>
  <c r="AM9" i="4"/>
  <c r="AM95" i="4"/>
  <c r="AM14" i="4"/>
  <c r="AM100" i="4"/>
  <c r="AM30" i="4"/>
  <c r="AM8" i="4"/>
  <c r="AM142" i="4"/>
  <c r="AM126" i="4"/>
  <c r="AM110" i="4"/>
  <c r="AM94" i="4"/>
  <c r="AM78" i="4"/>
  <c r="AM62" i="4"/>
  <c r="AM46" i="4"/>
  <c r="AM22" i="4"/>
  <c r="AM149" i="4"/>
  <c r="AM133" i="4"/>
  <c r="AM117" i="4"/>
  <c r="AM101" i="4"/>
  <c r="AM85" i="4"/>
  <c r="AM69" i="4"/>
  <c r="AM53" i="4"/>
  <c r="AM18" i="4"/>
  <c r="AM151" i="4"/>
  <c r="AM135" i="4"/>
  <c r="AM119" i="4"/>
  <c r="AM103" i="4"/>
  <c r="AM87" i="4"/>
  <c r="AM71" i="4"/>
  <c r="AM55" i="4"/>
  <c r="AM38" i="4"/>
  <c r="AM156" i="4"/>
  <c r="AM140" i="4"/>
  <c r="AM124" i="4"/>
  <c r="AM108" i="4"/>
  <c r="AM92" i="4"/>
  <c r="AM76" i="4"/>
  <c r="AM60" i="4"/>
  <c r="AM44" i="4"/>
  <c r="AM36" i="4"/>
  <c r="AM39" i="4"/>
  <c r="AM31" i="4"/>
  <c r="AM23" i="4"/>
  <c r="AM15" i="4"/>
  <c r="AG10" i="10"/>
  <c r="T10" i="10"/>
  <c r="V7" i="10"/>
  <c r="U7" i="10"/>
  <c r="B17" i="10"/>
  <c r="B45" i="10" s="1"/>
  <c r="V8" i="10"/>
  <c r="U8" i="10"/>
  <c r="U436" i="10"/>
  <c r="V436" i="10"/>
  <c r="V256" i="10"/>
  <c r="U256" i="10"/>
  <c r="V69" i="10"/>
  <c r="U69" i="10"/>
  <c r="V40" i="10"/>
  <c r="U40" i="10"/>
  <c r="V405" i="10"/>
  <c r="U405" i="10"/>
  <c r="U353" i="10"/>
  <c r="V353" i="10"/>
  <c r="U169" i="10"/>
  <c r="V169" i="10"/>
  <c r="V150" i="10"/>
  <c r="U150" i="10"/>
  <c r="U45" i="10"/>
  <c r="V45" i="10"/>
  <c r="U282" i="10"/>
  <c r="V282" i="10"/>
  <c r="U480" i="10"/>
  <c r="V480" i="10"/>
  <c r="U290" i="10"/>
  <c r="V290" i="10"/>
  <c r="V128" i="10"/>
  <c r="U128" i="10"/>
  <c r="V68" i="10"/>
  <c r="U68" i="10"/>
  <c r="V130" i="10"/>
  <c r="U130" i="10"/>
  <c r="U305" i="10"/>
  <c r="V305" i="10"/>
  <c r="V513" i="10"/>
  <c r="U513" i="10"/>
  <c r="U350" i="10"/>
  <c r="V350" i="10"/>
  <c r="U262" i="10"/>
  <c r="V262" i="10"/>
  <c r="V300" i="10"/>
  <c r="U300" i="10"/>
  <c r="V126" i="10"/>
  <c r="U126" i="10"/>
  <c r="U83" i="10"/>
  <c r="V83" i="10"/>
  <c r="V203" i="10"/>
  <c r="U203" i="10"/>
  <c r="V121" i="10"/>
  <c r="U121" i="10"/>
  <c r="V183" i="10"/>
  <c r="U183" i="10"/>
  <c r="U253" i="10"/>
  <c r="V253" i="10"/>
  <c r="U277" i="10"/>
  <c r="V277" i="10"/>
  <c r="V312" i="10"/>
  <c r="U312" i="10"/>
  <c r="U119" i="10"/>
  <c r="V119" i="10"/>
  <c r="V211" i="10"/>
  <c r="U211" i="10"/>
  <c r="V323" i="10"/>
  <c r="U323" i="10"/>
  <c r="V371" i="10"/>
  <c r="U371" i="10"/>
  <c r="U406" i="10"/>
  <c r="V406" i="10"/>
  <c r="U382" i="10"/>
  <c r="V382" i="10"/>
  <c r="V466" i="10"/>
  <c r="U466" i="10"/>
  <c r="V508" i="10"/>
  <c r="U508" i="10"/>
  <c r="V541" i="10"/>
  <c r="U541" i="10"/>
  <c r="V505" i="10"/>
  <c r="U505" i="10"/>
  <c r="V419" i="10"/>
  <c r="U419" i="10"/>
  <c r="V393" i="10"/>
  <c r="U393" i="10"/>
  <c r="V132" i="10"/>
  <c r="U132" i="10"/>
  <c r="V100" i="10"/>
  <c r="U100" i="10"/>
  <c r="V280" i="10"/>
  <c r="U280" i="10"/>
  <c r="V248" i="10"/>
  <c r="U248" i="10"/>
  <c r="V39" i="10"/>
  <c r="U39" i="10"/>
  <c r="V196" i="10"/>
  <c r="U196" i="10"/>
  <c r="V166" i="10"/>
  <c r="U166" i="10"/>
  <c r="V106" i="10"/>
  <c r="U106" i="10"/>
  <c r="V49" i="10"/>
  <c r="U49" i="10"/>
  <c r="U559" i="10"/>
  <c r="V559" i="10"/>
  <c r="U515" i="10"/>
  <c r="V515" i="10"/>
  <c r="V516" i="10"/>
  <c r="U516" i="10"/>
  <c r="U494" i="10"/>
  <c r="V494" i="10"/>
  <c r="V415" i="10"/>
  <c r="U415" i="10"/>
  <c r="V389" i="10"/>
  <c r="U389" i="10"/>
  <c r="U338" i="10"/>
  <c r="V338" i="10"/>
  <c r="V465" i="10"/>
  <c r="U465" i="10"/>
  <c r="U345" i="10"/>
  <c r="V345" i="10"/>
  <c r="U313" i="10"/>
  <c r="V313" i="10"/>
  <c r="U254" i="10"/>
  <c r="V254" i="10"/>
  <c r="V387" i="10"/>
  <c r="U387" i="10"/>
  <c r="V152" i="10"/>
  <c r="U152" i="10"/>
  <c r="V180" i="10"/>
  <c r="U180" i="10"/>
  <c r="V210" i="10"/>
  <c r="U210" i="10"/>
  <c r="V31" i="10"/>
  <c r="U31" i="10"/>
  <c r="V134" i="10"/>
  <c r="U134" i="10"/>
  <c r="U57" i="10"/>
  <c r="V57" i="10"/>
  <c r="U38" i="10"/>
  <c r="V38" i="10"/>
  <c r="V21" i="10"/>
  <c r="U21" i="10"/>
  <c r="V522" i="10"/>
  <c r="U522" i="10"/>
  <c r="V444" i="10"/>
  <c r="U444" i="10"/>
  <c r="U250" i="10"/>
  <c r="V250" i="10"/>
  <c r="U558" i="10"/>
  <c r="V558" i="10"/>
  <c r="V528" i="10"/>
  <c r="U528" i="10"/>
  <c r="V489" i="10"/>
  <c r="U489" i="10"/>
  <c r="U476" i="10"/>
  <c r="V476" i="10"/>
  <c r="V483" i="10"/>
  <c r="U483" i="10"/>
  <c r="V411" i="10"/>
  <c r="U411" i="10"/>
  <c r="V401" i="10"/>
  <c r="U401" i="10"/>
  <c r="U274" i="10"/>
  <c r="V274" i="10"/>
  <c r="U221" i="10"/>
  <c r="V221" i="10"/>
  <c r="U165" i="10"/>
  <c r="V165" i="10"/>
  <c r="V120" i="10"/>
  <c r="U120" i="10"/>
  <c r="V168" i="10"/>
  <c r="U168" i="10"/>
  <c r="V268" i="10"/>
  <c r="U268" i="10"/>
  <c r="V222" i="10"/>
  <c r="U222" i="10"/>
  <c r="U58" i="10"/>
  <c r="V58" i="10"/>
  <c r="V208" i="10"/>
  <c r="U208" i="10"/>
  <c r="V170" i="10"/>
  <c r="U170" i="10"/>
  <c r="V114" i="10"/>
  <c r="U114" i="10"/>
  <c r="V70" i="10"/>
  <c r="U70" i="10"/>
  <c r="V546" i="10"/>
  <c r="U546" i="10"/>
  <c r="V363" i="10"/>
  <c r="U363" i="10"/>
  <c r="U213" i="10"/>
  <c r="V213" i="10"/>
  <c r="V548" i="10"/>
  <c r="U548" i="10"/>
  <c r="U510" i="10"/>
  <c r="V510" i="10"/>
  <c r="U506" i="10"/>
  <c r="V506" i="10"/>
  <c r="U460" i="10"/>
  <c r="V460" i="10"/>
  <c r="U432" i="10"/>
  <c r="V432" i="10"/>
  <c r="V407" i="10"/>
  <c r="U407" i="10"/>
  <c r="V413" i="10"/>
  <c r="U413" i="10"/>
  <c r="U342" i="10"/>
  <c r="V342" i="10"/>
  <c r="U310" i="10"/>
  <c r="V310" i="10"/>
  <c r="U341" i="10"/>
  <c r="V341" i="10"/>
  <c r="U309" i="10"/>
  <c r="V309" i="10"/>
  <c r="U246" i="10"/>
  <c r="V246" i="10"/>
  <c r="U193" i="10"/>
  <c r="V193" i="10"/>
  <c r="V202" i="10"/>
  <c r="U202" i="10"/>
  <c r="V234" i="10"/>
  <c r="U234" i="10"/>
  <c r="V61" i="10"/>
  <c r="U61" i="10"/>
  <c r="V204" i="10"/>
  <c r="U204" i="10"/>
  <c r="V110" i="10"/>
  <c r="U110" i="10"/>
  <c r="V37" i="10"/>
  <c r="U37" i="10"/>
  <c r="V24" i="10"/>
  <c r="U24" i="10"/>
  <c r="V44" i="10"/>
  <c r="U44" i="10"/>
  <c r="U67" i="10"/>
  <c r="V67" i="10"/>
  <c r="U87" i="10"/>
  <c r="V87" i="10"/>
  <c r="V53" i="10"/>
  <c r="U53" i="10"/>
  <c r="U63" i="10"/>
  <c r="V63" i="10"/>
  <c r="V51" i="10"/>
  <c r="U51" i="10"/>
  <c r="U77" i="10"/>
  <c r="V77" i="10"/>
  <c r="U93" i="10"/>
  <c r="V93" i="10"/>
  <c r="V109" i="10"/>
  <c r="U109" i="10"/>
  <c r="V125" i="10"/>
  <c r="U125" i="10"/>
  <c r="V141" i="10"/>
  <c r="U141" i="10"/>
  <c r="V157" i="10"/>
  <c r="U157" i="10"/>
  <c r="V171" i="10"/>
  <c r="U171" i="10"/>
  <c r="V187" i="10"/>
  <c r="U187" i="10"/>
  <c r="V220" i="10"/>
  <c r="U220" i="10"/>
  <c r="V236" i="10"/>
  <c r="U236" i="10"/>
  <c r="U247" i="10"/>
  <c r="V247" i="10"/>
  <c r="U255" i="10"/>
  <c r="V255" i="10"/>
  <c r="U263" i="10"/>
  <c r="V263" i="10"/>
  <c r="U271" i="10"/>
  <c r="V271" i="10"/>
  <c r="U279" i="10"/>
  <c r="V279" i="10"/>
  <c r="U287" i="10"/>
  <c r="V287" i="10"/>
  <c r="U295" i="10"/>
  <c r="V295" i="10"/>
  <c r="V316" i="10"/>
  <c r="U316" i="10"/>
  <c r="V332" i="10"/>
  <c r="U332" i="10"/>
  <c r="V348" i="10"/>
  <c r="U348" i="10"/>
  <c r="U107" i="10"/>
  <c r="V107" i="10"/>
  <c r="U123" i="10"/>
  <c r="V123" i="10"/>
  <c r="U139" i="10"/>
  <c r="V139" i="10"/>
  <c r="U155" i="10"/>
  <c r="V155" i="10"/>
  <c r="V215" i="10"/>
  <c r="U215" i="10"/>
  <c r="V231" i="10"/>
  <c r="U231" i="10"/>
  <c r="U372" i="10"/>
  <c r="V372" i="10"/>
  <c r="V311" i="10"/>
  <c r="U311" i="10"/>
  <c r="V327" i="10"/>
  <c r="U327" i="10"/>
  <c r="V343" i="10"/>
  <c r="U343" i="10"/>
  <c r="V359" i="10"/>
  <c r="U359" i="10"/>
  <c r="U368" i="10"/>
  <c r="V368" i="10"/>
  <c r="V307" i="10"/>
  <c r="U307" i="10"/>
  <c r="V375" i="10"/>
  <c r="U375" i="10"/>
  <c r="U394" i="10"/>
  <c r="V394" i="10"/>
  <c r="U410" i="10"/>
  <c r="V410" i="10"/>
  <c r="U426" i="10"/>
  <c r="V426" i="10"/>
  <c r="V447" i="10"/>
  <c r="U447" i="10"/>
  <c r="V370" i="10"/>
  <c r="U370" i="10"/>
  <c r="U388" i="10"/>
  <c r="V388" i="10"/>
  <c r="U404" i="10"/>
  <c r="V404" i="10"/>
  <c r="U420" i="10"/>
  <c r="V420" i="10"/>
  <c r="V454" i="10"/>
  <c r="U454" i="10"/>
  <c r="U441" i="10"/>
  <c r="V441" i="10"/>
  <c r="V474" i="10"/>
  <c r="U474" i="10"/>
  <c r="V442" i="10"/>
  <c r="U442" i="10"/>
  <c r="U498" i="10"/>
  <c r="V498" i="10"/>
  <c r="U496" i="10"/>
  <c r="V496" i="10"/>
  <c r="V512" i="10"/>
  <c r="U512" i="10"/>
  <c r="V529" i="10"/>
  <c r="U529" i="10"/>
  <c r="U527" i="10"/>
  <c r="V527" i="10"/>
  <c r="V549" i="10"/>
  <c r="U549" i="10"/>
  <c r="V552" i="10"/>
  <c r="U552" i="10"/>
  <c r="V409" i="10"/>
  <c r="U409" i="10"/>
  <c r="V288" i="10"/>
  <c r="U288" i="10"/>
  <c r="V174" i="10"/>
  <c r="U174" i="10"/>
  <c r="V532" i="10"/>
  <c r="U532" i="10"/>
  <c r="V440" i="10"/>
  <c r="U440" i="10"/>
  <c r="U314" i="10"/>
  <c r="V314" i="10"/>
  <c r="U209" i="10"/>
  <c r="V209" i="10"/>
  <c r="U66" i="10"/>
  <c r="V66" i="10"/>
  <c r="V86" i="10"/>
  <c r="U86" i="10"/>
  <c r="U554" i="10"/>
  <c r="V554" i="10"/>
  <c r="V497" i="10"/>
  <c r="U497" i="10"/>
  <c r="V417" i="10"/>
  <c r="U417" i="10"/>
  <c r="V184" i="10"/>
  <c r="U184" i="10"/>
  <c r="V238" i="10"/>
  <c r="U238" i="10"/>
  <c r="V82" i="10"/>
  <c r="U82" i="10"/>
  <c r="V555" i="10"/>
  <c r="U555" i="10"/>
  <c r="V487" i="10"/>
  <c r="U487" i="10"/>
  <c r="V429" i="10"/>
  <c r="U429" i="10"/>
  <c r="U317" i="10"/>
  <c r="V317" i="10"/>
  <c r="V144" i="10"/>
  <c r="U144" i="10"/>
  <c r="V78" i="10"/>
  <c r="U78" i="10"/>
  <c r="V207" i="10"/>
  <c r="U207" i="10"/>
  <c r="U73" i="10"/>
  <c r="V73" i="10"/>
  <c r="V105" i="10"/>
  <c r="U105" i="10"/>
  <c r="V167" i="10"/>
  <c r="U167" i="10"/>
  <c r="U245" i="10"/>
  <c r="V245" i="10"/>
  <c r="U269" i="10"/>
  <c r="V269" i="10"/>
  <c r="V328" i="10"/>
  <c r="U328" i="10"/>
  <c r="U135" i="10"/>
  <c r="V135" i="10"/>
  <c r="V227" i="10"/>
  <c r="U227" i="10"/>
  <c r="V339" i="10"/>
  <c r="U339" i="10"/>
  <c r="U437" i="10"/>
  <c r="V437" i="10"/>
  <c r="U422" i="10"/>
  <c r="V422" i="10"/>
  <c r="U400" i="10"/>
  <c r="V400" i="10"/>
  <c r="U453" i="10"/>
  <c r="V453" i="10"/>
  <c r="U492" i="10"/>
  <c r="V492" i="10"/>
  <c r="V545" i="10"/>
  <c r="U545" i="10"/>
  <c r="V491" i="10"/>
  <c r="U491" i="10"/>
  <c r="V403" i="10"/>
  <c r="U403" i="10"/>
  <c r="U229" i="10"/>
  <c r="V229" i="10"/>
  <c r="V124" i="10"/>
  <c r="U124" i="10"/>
  <c r="V192" i="10"/>
  <c r="U192" i="10"/>
  <c r="V272" i="10"/>
  <c r="U272" i="10"/>
  <c r="V230" i="10"/>
  <c r="U230" i="10"/>
  <c r="V33" i="10"/>
  <c r="U33" i="10"/>
  <c r="V190" i="10"/>
  <c r="U190" i="10"/>
  <c r="V154" i="10"/>
  <c r="U154" i="10"/>
  <c r="V90" i="10"/>
  <c r="U90" i="10"/>
  <c r="V42" i="10"/>
  <c r="U42" i="10"/>
  <c r="V536" i="10"/>
  <c r="U536" i="10"/>
  <c r="V507" i="10"/>
  <c r="U507" i="10"/>
  <c r="V503" i="10"/>
  <c r="U503" i="10"/>
  <c r="U468" i="10"/>
  <c r="V468" i="10"/>
  <c r="V399" i="10"/>
  <c r="U399" i="10"/>
  <c r="V367" i="10"/>
  <c r="U367" i="10"/>
  <c r="U330" i="10"/>
  <c r="V330" i="10"/>
  <c r="U435" i="10"/>
  <c r="V435" i="10"/>
  <c r="U337" i="10"/>
  <c r="V337" i="10"/>
  <c r="U302" i="10"/>
  <c r="V302" i="10"/>
  <c r="U241" i="10"/>
  <c r="V241" i="10"/>
  <c r="V381" i="10"/>
  <c r="U381" i="10"/>
  <c r="V136" i="10"/>
  <c r="U136" i="10"/>
  <c r="V164" i="10"/>
  <c r="U164" i="10"/>
  <c r="V96" i="10"/>
  <c r="U96" i="10"/>
  <c r="U35" i="10"/>
  <c r="V35" i="10"/>
  <c r="V118" i="10"/>
  <c r="U118" i="10"/>
  <c r="U54" i="10"/>
  <c r="V54" i="10"/>
  <c r="V200" i="10"/>
  <c r="U200" i="10"/>
  <c r="V551" i="10"/>
  <c r="U551" i="10"/>
  <c r="V473" i="10"/>
  <c r="U473" i="10"/>
  <c r="V469" i="10"/>
  <c r="U469" i="10"/>
  <c r="U173" i="10"/>
  <c r="V173" i="10"/>
  <c r="U540" i="10"/>
  <c r="V540" i="10"/>
  <c r="V511" i="10"/>
  <c r="U511" i="10"/>
  <c r="V481" i="10"/>
  <c r="U481" i="10"/>
  <c r="U472" i="10"/>
  <c r="V472" i="10"/>
  <c r="V452" i="10"/>
  <c r="U452" i="10"/>
  <c r="V395" i="10"/>
  <c r="U395" i="10"/>
  <c r="V385" i="10"/>
  <c r="U385" i="10"/>
  <c r="U258" i="10"/>
  <c r="V258" i="10"/>
  <c r="U205" i="10"/>
  <c r="V205" i="10"/>
  <c r="V156" i="10"/>
  <c r="U156" i="10"/>
  <c r="V112" i="10"/>
  <c r="U112" i="10"/>
  <c r="V292" i="10"/>
  <c r="U292" i="10"/>
  <c r="V260" i="10"/>
  <c r="U260" i="10"/>
  <c r="V92" i="10"/>
  <c r="U92" i="10"/>
  <c r="U48" i="10"/>
  <c r="V48" i="10"/>
  <c r="V194" i="10"/>
  <c r="U194" i="10"/>
  <c r="V162" i="10"/>
  <c r="U162" i="10"/>
  <c r="U25" i="10"/>
  <c r="V25" i="10"/>
  <c r="V47" i="10"/>
  <c r="U47" i="10"/>
  <c r="V538" i="10"/>
  <c r="U538" i="10"/>
  <c r="U298" i="10"/>
  <c r="V298" i="10"/>
  <c r="U189" i="10"/>
  <c r="V189" i="10"/>
  <c r="U544" i="10"/>
  <c r="V544" i="10"/>
  <c r="V501" i="10"/>
  <c r="U501" i="10"/>
  <c r="V499" i="10"/>
  <c r="U499" i="10"/>
  <c r="V467" i="10"/>
  <c r="U467" i="10"/>
  <c r="V448" i="10"/>
  <c r="U448" i="10"/>
  <c r="V391" i="10"/>
  <c r="U391" i="10"/>
  <c r="V397" i="10"/>
  <c r="U397" i="10"/>
  <c r="U334" i="10"/>
  <c r="V334" i="10"/>
  <c r="V361" i="10"/>
  <c r="U361" i="10"/>
  <c r="U333" i="10"/>
  <c r="V333" i="10"/>
  <c r="U294" i="10"/>
  <c r="V294" i="10"/>
  <c r="U233" i="10"/>
  <c r="V233" i="10"/>
  <c r="U177" i="10"/>
  <c r="V177" i="10"/>
  <c r="V188" i="10"/>
  <c r="U188" i="10"/>
  <c r="V218" i="10"/>
  <c r="U218" i="10"/>
  <c r="V41" i="10"/>
  <c r="U41" i="10"/>
  <c r="V158" i="10"/>
  <c r="U158" i="10"/>
  <c r="U52" i="10"/>
  <c r="V52" i="10"/>
  <c r="V32" i="10"/>
  <c r="U32" i="10"/>
  <c r="U26" i="10"/>
  <c r="V26" i="10"/>
  <c r="V46" i="10"/>
  <c r="U46" i="10"/>
  <c r="U75" i="10"/>
  <c r="V75" i="10"/>
  <c r="U91" i="10"/>
  <c r="V91" i="10"/>
  <c r="V59" i="10"/>
  <c r="U59" i="10"/>
  <c r="U65" i="10"/>
  <c r="V65" i="10"/>
  <c r="V199" i="10"/>
  <c r="U199" i="10"/>
  <c r="U81" i="10"/>
  <c r="V81" i="10"/>
  <c r="U97" i="10"/>
  <c r="V97" i="10"/>
  <c r="V113" i="10"/>
  <c r="U113" i="10"/>
  <c r="V129" i="10"/>
  <c r="U129" i="10"/>
  <c r="V145" i="10"/>
  <c r="U145" i="10"/>
  <c r="V161" i="10"/>
  <c r="U161" i="10"/>
  <c r="V175" i="10"/>
  <c r="U175" i="10"/>
  <c r="V191" i="10"/>
  <c r="U191" i="10"/>
  <c r="V224" i="10"/>
  <c r="U224" i="10"/>
  <c r="V240" i="10"/>
  <c r="U240" i="10"/>
  <c r="U249" i="10"/>
  <c r="V249" i="10"/>
  <c r="U257" i="10"/>
  <c r="V257" i="10"/>
  <c r="U265" i="10"/>
  <c r="V265" i="10"/>
  <c r="U273" i="10"/>
  <c r="V273" i="10"/>
  <c r="U281" i="10"/>
  <c r="V281" i="10"/>
  <c r="U289" i="10"/>
  <c r="V289" i="10"/>
  <c r="U297" i="10"/>
  <c r="V297" i="10"/>
  <c r="V320" i="10"/>
  <c r="U320" i="10"/>
  <c r="V336" i="10"/>
  <c r="U336" i="10"/>
  <c r="V352" i="10"/>
  <c r="U352" i="10"/>
  <c r="U111" i="10"/>
  <c r="V111" i="10"/>
  <c r="U127" i="10"/>
  <c r="V127" i="10"/>
  <c r="U143" i="10"/>
  <c r="V143" i="10"/>
  <c r="U159" i="10"/>
  <c r="V159" i="10"/>
  <c r="V219" i="10"/>
  <c r="U219" i="10"/>
  <c r="V235" i="10"/>
  <c r="U235" i="10"/>
  <c r="U380" i="10"/>
  <c r="V380" i="10"/>
  <c r="V315" i="10"/>
  <c r="U315" i="10"/>
  <c r="V331" i="10"/>
  <c r="U331" i="10"/>
  <c r="V347" i="10"/>
  <c r="U347" i="10"/>
  <c r="U384" i="10"/>
  <c r="V384" i="10"/>
  <c r="U376" i="10"/>
  <c r="V376" i="10"/>
  <c r="U362" i="10"/>
  <c r="V362" i="10"/>
  <c r="V379" i="10"/>
  <c r="U379" i="10"/>
  <c r="U398" i="10"/>
  <c r="V398" i="10"/>
  <c r="U414" i="10"/>
  <c r="V414" i="10"/>
  <c r="U430" i="10"/>
  <c r="V430" i="10"/>
  <c r="V451" i="10"/>
  <c r="U451" i="10"/>
  <c r="U374" i="10"/>
  <c r="V374" i="10"/>
  <c r="U392" i="10"/>
  <c r="V392" i="10"/>
  <c r="U408" i="10"/>
  <c r="V408" i="10"/>
  <c r="U424" i="10"/>
  <c r="V424" i="10"/>
  <c r="V458" i="10"/>
  <c r="U458" i="10"/>
  <c r="U445" i="10"/>
  <c r="V445" i="10"/>
  <c r="V478" i="10"/>
  <c r="U478" i="10"/>
  <c r="V446" i="10"/>
  <c r="U446" i="10"/>
  <c r="U523" i="10"/>
  <c r="V523" i="10"/>
  <c r="U500" i="10"/>
  <c r="V500" i="10"/>
  <c r="V517" i="10"/>
  <c r="U517" i="10"/>
  <c r="V531" i="10"/>
  <c r="U531" i="10"/>
  <c r="U533" i="10"/>
  <c r="V533" i="10"/>
  <c r="V553" i="10"/>
  <c r="U553" i="10"/>
  <c r="V556" i="10"/>
  <c r="U556" i="10"/>
  <c r="V509" i="10"/>
  <c r="U509" i="10"/>
  <c r="V373" i="10"/>
  <c r="U373" i="10"/>
  <c r="V108" i="10"/>
  <c r="U108" i="10"/>
  <c r="V84" i="10"/>
  <c r="U84" i="10"/>
  <c r="V122" i="10"/>
  <c r="U122" i="10"/>
  <c r="V56" i="10"/>
  <c r="U56" i="10"/>
  <c r="V530" i="10"/>
  <c r="U530" i="10"/>
  <c r="V477" i="10"/>
  <c r="U477" i="10"/>
  <c r="U346" i="10"/>
  <c r="V346" i="10"/>
  <c r="U321" i="10"/>
  <c r="V321" i="10"/>
  <c r="U270" i="10"/>
  <c r="V270" i="10"/>
  <c r="V198" i="10"/>
  <c r="U198" i="10"/>
  <c r="V226" i="10"/>
  <c r="U226" i="10"/>
  <c r="V71" i="10"/>
  <c r="U71" i="10"/>
  <c r="V518" i="10"/>
  <c r="U518" i="10"/>
  <c r="V475" i="10"/>
  <c r="U475" i="10"/>
  <c r="V542" i="10"/>
  <c r="U542" i="10"/>
  <c r="V463" i="10"/>
  <c r="U463" i="10"/>
  <c r="V427" i="10"/>
  <c r="U427" i="10"/>
  <c r="U237" i="10"/>
  <c r="V237" i="10"/>
  <c r="U181" i="10"/>
  <c r="V181" i="10"/>
  <c r="V276" i="10"/>
  <c r="U276" i="10"/>
  <c r="V19" i="10"/>
  <c r="U19" i="10"/>
  <c r="V178" i="10"/>
  <c r="U178" i="10"/>
  <c r="V27" i="10"/>
  <c r="U27" i="10"/>
  <c r="V434" i="10"/>
  <c r="U434" i="10"/>
  <c r="U514" i="10"/>
  <c r="V514" i="10"/>
  <c r="V479" i="10"/>
  <c r="U479" i="10"/>
  <c r="V423" i="10"/>
  <c r="U423" i="10"/>
  <c r="U318" i="10"/>
  <c r="V318" i="10"/>
  <c r="U349" i="10"/>
  <c r="V349" i="10"/>
  <c r="U201" i="10"/>
  <c r="V201" i="10"/>
  <c r="V72" i="10"/>
  <c r="U72" i="10"/>
  <c r="U64" i="10"/>
  <c r="V64" i="10"/>
  <c r="V20" i="10"/>
  <c r="U20" i="10"/>
  <c r="V36" i="10"/>
  <c r="U36" i="10"/>
  <c r="U99" i="10"/>
  <c r="V99" i="10"/>
  <c r="U60" i="10"/>
  <c r="V60" i="10"/>
  <c r="U89" i="10"/>
  <c r="V89" i="10"/>
  <c r="V137" i="10"/>
  <c r="U137" i="10"/>
  <c r="V153" i="10"/>
  <c r="U153" i="10"/>
  <c r="V216" i="10"/>
  <c r="U216" i="10"/>
  <c r="V232" i="10"/>
  <c r="U232" i="10"/>
  <c r="U261" i="10"/>
  <c r="V261" i="10"/>
  <c r="U285" i="10"/>
  <c r="V285" i="10"/>
  <c r="U293" i="10"/>
  <c r="V293" i="10"/>
  <c r="V344" i="10"/>
  <c r="U344" i="10"/>
  <c r="U103" i="10"/>
  <c r="V103" i="10"/>
  <c r="U151" i="10"/>
  <c r="V151" i="10"/>
  <c r="V243" i="10"/>
  <c r="U243" i="10"/>
  <c r="U303" i="10"/>
  <c r="V303" i="10"/>
  <c r="V355" i="10"/>
  <c r="U355" i="10"/>
  <c r="U364" i="10"/>
  <c r="V364" i="10"/>
  <c r="U390" i="10"/>
  <c r="V390" i="10"/>
  <c r="V443" i="10"/>
  <c r="U443" i="10"/>
  <c r="V470" i="10"/>
  <c r="U470" i="10"/>
  <c r="U416" i="10"/>
  <c r="V416" i="10"/>
  <c r="V438" i="10"/>
  <c r="U438" i="10"/>
  <c r="U486" i="10"/>
  <c r="V486" i="10"/>
  <c r="V493" i="10"/>
  <c r="U493" i="10"/>
  <c r="V525" i="10"/>
  <c r="U525" i="10"/>
  <c r="V557" i="10"/>
  <c r="U557" i="10"/>
  <c r="U539" i="10"/>
  <c r="V539" i="10"/>
  <c r="V455" i="10"/>
  <c r="U455" i="10"/>
  <c r="V425" i="10"/>
  <c r="U425" i="10"/>
  <c r="U197" i="10"/>
  <c r="V197" i="10"/>
  <c r="V116" i="10"/>
  <c r="U116" i="10"/>
  <c r="V296" i="10"/>
  <c r="U296" i="10"/>
  <c r="V264" i="10"/>
  <c r="U264" i="10"/>
  <c r="V214" i="10"/>
  <c r="U214" i="10"/>
  <c r="U22" i="10"/>
  <c r="V22" i="10"/>
  <c r="V182" i="10"/>
  <c r="U182" i="10"/>
  <c r="V138" i="10"/>
  <c r="U138" i="10"/>
  <c r="V74" i="10"/>
  <c r="U74" i="10"/>
  <c r="V30" i="10"/>
  <c r="U30" i="10"/>
  <c r="V524" i="10"/>
  <c r="U524" i="10"/>
  <c r="V534" i="10"/>
  <c r="U534" i="10"/>
  <c r="U495" i="10"/>
  <c r="V495" i="10"/>
  <c r="V459" i="10"/>
  <c r="U459" i="10"/>
  <c r="V421" i="10"/>
  <c r="U421" i="10"/>
  <c r="U354" i="10"/>
  <c r="V354" i="10"/>
  <c r="U322" i="10"/>
  <c r="V322" i="10"/>
  <c r="V369" i="10"/>
  <c r="U369" i="10"/>
  <c r="U329" i="10"/>
  <c r="V329" i="10"/>
  <c r="U286" i="10"/>
  <c r="V286" i="10"/>
  <c r="U225" i="10"/>
  <c r="V225" i="10"/>
  <c r="U185" i="10"/>
  <c r="V185" i="10"/>
  <c r="V206" i="10"/>
  <c r="U206" i="10"/>
  <c r="V242" i="10"/>
  <c r="U242" i="10"/>
  <c r="V80" i="10"/>
  <c r="U80" i="10"/>
  <c r="U28" i="10"/>
  <c r="V28" i="10"/>
  <c r="V102" i="10"/>
  <c r="U102" i="10"/>
  <c r="U50" i="10"/>
  <c r="V50" i="10"/>
  <c r="U62" i="10"/>
  <c r="V62" i="10"/>
  <c r="U519" i="10"/>
  <c r="V519" i="10"/>
  <c r="U490" i="10"/>
  <c r="V490" i="10"/>
  <c r="V365" i="10"/>
  <c r="U365" i="10"/>
  <c r="V176" i="10"/>
  <c r="U176" i="10"/>
  <c r="V550" i="10"/>
  <c r="U550" i="10"/>
  <c r="V526" i="10"/>
  <c r="U526" i="10"/>
  <c r="U484" i="10"/>
  <c r="V484" i="10"/>
  <c r="U464" i="10"/>
  <c r="V464" i="10"/>
  <c r="V431" i="10"/>
  <c r="U431" i="10"/>
  <c r="V471" i="10"/>
  <c r="U471" i="10"/>
  <c r="V306" i="10"/>
  <c r="U306" i="10"/>
  <c r="V377" i="10"/>
  <c r="U377" i="10"/>
  <c r="V304" i="10"/>
  <c r="U304" i="10"/>
  <c r="V140" i="10"/>
  <c r="U140" i="10"/>
  <c r="V104" i="10"/>
  <c r="U104" i="10"/>
  <c r="V284" i="10"/>
  <c r="U284" i="10"/>
  <c r="V252" i="10"/>
  <c r="U252" i="10"/>
  <c r="V76" i="10"/>
  <c r="U76" i="10"/>
  <c r="U43" i="10"/>
  <c r="V43" i="10"/>
  <c r="V186" i="10"/>
  <c r="U186" i="10"/>
  <c r="V146" i="10"/>
  <c r="U146" i="10"/>
  <c r="V98" i="10"/>
  <c r="U98" i="10"/>
  <c r="V34" i="10"/>
  <c r="U34" i="10"/>
  <c r="U456" i="10"/>
  <c r="V456" i="10"/>
  <c r="U266" i="10"/>
  <c r="V266" i="10"/>
  <c r="V148" i="10"/>
  <c r="U148" i="10"/>
  <c r="U543" i="10"/>
  <c r="V543" i="10"/>
  <c r="V520" i="10"/>
  <c r="U520" i="10"/>
  <c r="V485" i="10"/>
  <c r="U485" i="10"/>
  <c r="U502" i="10"/>
  <c r="V502" i="10"/>
  <c r="V457" i="10"/>
  <c r="U457" i="10"/>
  <c r="V461" i="10"/>
  <c r="U461" i="10"/>
  <c r="U358" i="10"/>
  <c r="V358" i="10"/>
  <c r="U326" i="10"/>
  <c r="V326" i="10"/>
  <c r="U357" i="10"/>
  <c r="V357" i="10"/>
  <c r="U325" i="10"/>
  <c r="V325" i="10"/>
  <c r="U278" i="10"/>
  <c r="V278" i="10"/>
  <c r="U217" i="10"/>
  <c r="V217" i="10"/>
  <c r="V160" i="10"/>
  <c r="U160" i="10"/>
  <c r="V172" i="10"/>
  <c r="U172" i="10"/>
  <c r="V88" i="10"/>
  <c r="U88" i="10"/>
  <c r="V23" i="10"/>
  <c r="U23" i="10"/>
  <c r="V142" i="10"/>
  <c r="U142" i="10"/>
  <c r="V94" i="10"/>
  <c r="U94" i="10"/>
  <c r="V29" i="10"/>
  <c r="U29" i="10"/>
  <c r="V55" i="10"/>
  <c r="U55" i="10"/>
  <c r="U79" i="10"/>
  <c r="V79" i="10"/>
  <c r="U95" i="10"/>
  <c r="V95" i="10"/>
  <c r="V195" i="10"/>
  <c r="U195" i="10"/>
  <c r="U85" i="10"/>
  <c r="V85" i="10"/>
  <c r="V101" i="10"/>
  <c r="U101" i="10"/>
  <c r="V117" i="10"/>
  <c r="U117" i="10"/>
  <c r="V133" i="10"/>
  <c r="U133" i="10"/>
  <c r="V149" i="10"/>
  <c r="U149" i="10"/>
  <c r="U301" i="10"/>
  <c r="V301" i="10"/>
  <c r="V179" i="10"/>
  <c r="U179" i="10"/>
  <c r="V212" i="10"/>
  <c r="U212" i="10"/>
  <c r="V228" i="10"/>
  <c r="U228" i="10"/>
  <c r="V244" i="10"/>
  <c r="U244" i="10"/>
  <c r="U251" i="10"/>
  <c r="V251" i="10"/>
  <c r="U259" i="10"/>
  <c r="V259" i="10"/>
  <c r="U267" i="10"/>
  <c r="V267" i="10"/>
  <c r="U275" i="10"/>
  <c r="V275" i="10"/>
  <c r="U283" i="10"/>
  <c r="V283" i="10"/>
  <c r="U291" i="10"/>
  <c r="V291" i="10"/>
  <c r="V308" i="10"/>
  <c r="U308" i="10"/>
  <c r="V324" i="10"/>
  <c r="U324" i="10"/>
  <c r="V340" i="10"/>
  <c r="U340" i="10"/>
  <c r="V356" i="10"/>
  <c r="U356" i="10"/>
  <c r="U115" i="10"/>
  <c r="V115" i="10"/>
  <c r="U131" i="10"/>
  <c r="V131" i="10"/>
  <c r="U147" i="10"/>
  <c r="V147" i="10"/>
  <c r="U163" i="10"/>
  <c r="V163" i="10"/>
  <c r="V223" i="10"/>
  <c r="U223" i="10"/>
  <c r="V239" i="10"/>
  <c r="U239" i="10"/>
  <c r="U299" i="10"/>
  <c r="V299" i="10"/>
  <c r="V319" i="10"/>
  <c r="U319" i="10"/>
  <c r="V335" i="10"/>
  <c r="U335" i="10"/>
  <c r="V351" i="10"/>
  <c r="U351" i="10"/>
  <c r="U360" i="10"/>
  <c r="V360" i="10"/>
  <c r="U433" i="10"/>
  <c r="V433" i="10"/>
  <c r="U366" i="10"/>
  <c r="V366" i="10"/>
  <c r="V383" i="10"/>
  <c r="U383" i="10"/>
  <c r="U402" i="10"/>
  <c r="V402" i="10"/>
  <c r="U418" i="10"/>
  <c r="V418" i="10"/>
  <c r="V439" i="10"/>
  <c r="U439" i="10"/>
  <c r="U386" i="10"/>
  <c r="V386" i="10"/>
  <c r="V378" i="10"/>
  <c r="U378" i="10"/>
  <c r="U396" i="10"/>
  <c r="V396" i="10"/>
  <c r="U412" i="10"/>
  <c r="V412" i="10"/>
  <c r="U428" i="10"/>
  <c r="V428" i="10"/>
  <c r="V462" i="10"/>
  <c r="U462" i="10"/>
  <c r="U449" i="10"/>
  <c r="V449" i="10"/>
  <c r="V482" i="10"/>
  <c r="U482" i="10"/>
  <c r="V450" i="10"/>
  <c r="U450" i="10"/>
  <c r="U488" i="10"/>
  <c r="V488" i="10"/>
  <c r="V504" i="10"/>
  <c r="U504" i="10"/>
  <c r="V521" i="10"/>
  <c r="U521" i="10"/>
  <c r="U535" i="10"/>
  <c r="V535" i="10"/>
  <c r="V537" i="10"/>
  <c r="U537" i="10"/>
  <c r="U547" i="10"/>
  <c r="V547" i="10"/>
  <c r="V560" i="10"/>
  <c r="U560" i="10"/>
  <c r="F232" i="2"/>
  <c r="B186" i="2"/>
  <c r="B17" i="5"/>
  <c r="B45" i="5" s="1"/>
  <c r="B46" i="5" s="1"/>
  <c r="B180" i="2"/>
  <c r="H18" i="1"/>
  <c r="H19" i="1"/>
  <c r="B80" i="2"/>
  <c r="B88" i="2"/>
  <c r="B84" i="2"/>
  <c r="B75" i="2"/>
  <c r="H23" i="1" s="1"/>
  <c r="U7" i="5"/>
  <c r="B291" i="2"/>
  <c r="S17" i="4"/>
  <c r="AW17" i="4" s="1"/>
  <c r="S22" i="4"/>
  <c r="AW22" i="4" s="1"/>
  <c r="S25" i="4"/>
  <c r="AW25" i="4" s="1"/>
  <c r="S30" i="4"/>
  <c r="AW30" i="4" s="1"/>
  <c r="S33" i="4"/>
  <c r="AW33" i="4" s="1"/>
  <c r="S38" i="4"/>
  <c r="AW38" i="4" s="1"/>
  <c r="S41" i="4"/>
  <c r="AW41" i="4" s="1"/>
  <c r="S43" i="4"/>
  <c r="AW43" i="4" s="1"/>
  <c r="S45" i="4"/>
  <c r="AW45" i="4" s="1"/>
  <c r="S47" i="4"/>
  <c r="AW47" i="4" s="1"/>
  <c r="S49" i="4"/>
  <c r="AW49" i="4" s="1"/>
  <c r="S51" i="4"/>
  <c r="AW51" i="4" s="1"/>
  <c r="S53" i="4"/>
  <c r="AW53" i="4" s="1"/>
  <c r="S55" i="4"/>
  <c r="AW55" i="4" s="1"/>
  <c r="S57" i="4"/>
  <c r="AW57" i="4" s="1"/>
  <c r="S59" i="4"/>
  <c r="AW59" i="4" s="1"/>
  <c r="S61" i="4"/>
  <c r="AW61" i="4" s="1"/>
  <c r="S63" i="4"/>
  <c r="AW63" i="4" s="1"/>
  <c r="S65" i="4"/>
  <c r="AW65" i="4" s="1"/>
  <c r="S67" i="4"/>
  <c r="AW67" i="4" s="1"/>
  <c r="S69" i="4"/>
  <c r="AW69" i="4" s="1"/>
  <c r="S71" i="4"/>
  <c r="AW71" i="4" s="1"/>
  <c r="S73" i="4"/>
  <c r="AW73" i="4" s="1"/>
  <c r="S75" i="4"/>
  <c r="AW75" i="4" s="1"/>
  <c r="S77" i="4"/>
  <c r="AW77" i="4" s="1"/>
  <c r="S79" i="4"/>
  <c r="AW79" i="4" s="1"/>
  <c r="S81" i="4"/>
  <c r="AW81" i="4" s="1"/>
  <c r="S83" i="4"/>
  <c r="AW83" i="4" s="1"/>
  <c r="S85" i="4"/>
  <c r="AW85" i="4" s="1"/>
  <c r="S87" i="4"/>
  <c r="AW87" i="4" s="1"/>
  <c r="S89" i="4"/>
  <c r="AW89" i="4" s="1"/>
  <c r="S91" i="4"/>
  <c r="AW91" i="4" s="1"/>
  <c r="S93" i="4"/>
  <c r="AW93" i="4" s="1"/>
  <c r="S95" i="4"/>
  <c r="AW95" i="4" s="1"/>
  <c r="S97" i="4"/>
  <c r="AW97" i="4" s="1"/>
  <c r="S99" i="4"/>
  <c r="AW99" i="4" s="1"/>
  <c r="S101" i="4"/>
  <c r="AW101" i="4" s="1"/>
  <c r="S103" i="4"/>
  <c r="AW103" i="4" s="1"/>
  <c r="S105" i="4"/>
  <c r="AW105" i="4" s="1"/>
  <c r="S107" i="4"/>
  <c r="AW107" i="4" s="1"/>
  <c r="S109" i="4"/>
  <c r="AW109" i="4" s="1"/>
  <c r="S111" i="4"/>
  <c r="AW111" i="4" s="1"/>
  <c r="S113" i="4"/>
  <c r="AW113" i="4" s="1"/>
  <c r="S115" i="4"/>
  <c r="AW115" i="4" s="1"/>
  <c r="S117" i="4"/>
  <c r="AW117" i="4" s="1"/>
  <c r="S119" i="4"/>
  <c r="AW119" i="4" s="1"/>
  <c r="S121" i="4"/>
  <c r="AW121" i="4" s="1"/>
  <c r="S123" i="4"/>
  <c r="AW123" i="4" s="1"/>
  <c r="S125" i="4"/>
  <c r="AW125" i="4" s="1"/>
  <c r="S127" i="4"/>
  <c r="AW127" i="4" s="1"/>
  <c r="S129" i="4"/>
  <c r="AW129" i="4" s="1"/>
  <c r="S131" i="4"/>
  <c r="AW131" i="4" s="1"/>
  <c r="S133" i="4"/>
  <c r="AW133" i="4" s="1"/>
  <c r="S135" i="4"/>
  <c r="AW135" i="4" s="1"/>
  <c r="S137" i="4"/>
  <c r="AW137" i="4" s="1"/>
  <c r="S139" i="4"/>
  <c r="AW139" i="4" s="1"/>
  <c r="S141" i="4"/>
  <c r="AW141" i="4" s="1"/>
  <c r="S143" i="4"/>
  <c r="AW143" i="4" s="1"/>
  <c r="S145" i="4"/>
  <c r="AW145" i="4" s="1"/>
  <c r="S147" i="4"/>
  <c r="AW147" i="4" s="1"/>
  <c r="S149" i="4"/>
  <c r="AW149" i="4" s="1"/>
  <c r="S151" i="4"/>
  <c r="AW151" i="4" s="1"/>
  <c r="S153" i="4"/>
  <c r="AW153" i="4" s="1"/>
  <c r="S155" i="4"/>
  <c r="AW155" i="4" s="1"/>
  <c r="S157" i="4"/>
  <c r="AW157" i="4" s="1"/>
  <c r="S9" i="4"/>
  <c r="AW9" i="4" s="1"/>
  <c r="S11" i="4"/>
  <c r="AW11" i="4" s="1"/>
  <c r="S13" i="4"/>
  <c r="AW13" i="4" s="1"/>
  <c r="S19" i="4"/>
  <c r="AW19" i="4" s="1"/>
  <c r="S23" i="4"/>
  <c r="AW23" i="4" s="1"/>
  <c r="S26" i="4"/>
  <c r="AW26" i="4" s="1"/>
  <c r="S37" i="4"/>
  <c r="AW37" i="4" s="1"/>
  <c r="S40" i="4"/>
  <c r="AW40" i="4" s="1"/>
  <c r="S46" i="4"/>
  <c r="AW46" i="4" s="1"/>
  <c r="S54" i="4"/>
  <c r="AW54" i="4" s="1"/>
  <c r="S62" i="4"/>
  <c r="AW62" i="4" s="1"/>
  <c r="S70" i="4"/>
  <c r="AW70" i="4" s="1"/>
  <c r="S78" i="4"/>
  <c r="AW78" i="4" s="1"/>
  <c r="S86" i="4"/>
  <c r="AW86" i="4" s="1"/>
  <c r="S94" i="4"/>
  <c r="AW94" i="4" s="1"/>
  <c r="S102" i="4"/>
  <c r="AW102" i="4" s="1"/>
  <c r="S110" i="4"/>
  <c r="AW110" i="4" s="1"/>
  <c r="S118" i="4"/>
  <c r="AW118" i="4" s="1"/>
  <c r="S126" i="4"/>
  <c r="AW126" i="4" s="1"/>
  <c r="S134" i="4"/>
  <c r="AW134" i="4" s="1"/>
  <c r="S142" i="4"/>
  <c r="AW142" i="4" s="1"/>
  <c r="S150" i="4"/>
  <c r="AW150" i="4" s="1"/>
  <c r="S8" i="4"/>
  <c r="S16" i="4"/>
  <c r="AW16" i="4" s="1"/>
  <c r="S20" i="4"/>
  <c r="AW20" i="4" s="1"/>
  <c r="S27" i="4"/>
  <c r="AW27" i="4" s="1"/>
  <c r="S31" i="4"/>
  <c r="AW31" i="4" s="1"/>
  <c r="S34" i="4"/>
  <c r="AW34" i="4" s="1"/>
  <c r="S44" i="4"/>
  <c r="AW44" i="4" s="1"/>
  <c r="S52" i="4"/>
  <c r="AW52" i="4" s="1"/>
  <c r="S60" i="4"/>
  <c r="AW60" i="4" s="1"/>
  <c r="S68" i="4"/>
  <c r="AW68" i="4" s="1"/>
  <c r="S76" i="4"/>
  <c r="AW76" i="4" s="1"/>
  <c r="S84" i="4"/>
  <c r="AW84" i="4" s="1"/>
  <c r="S92" i="4"/>
  <c r="AW92" i="4" s="1"/>
  <c r="S100" i="4"/>
  <c r="AW100" i="4" s="1"/>
  <c r="S108" i="4"/>
  <c r="AW108" i="4" s="1"/>
  <c r="S116" i="4"/>
  <c r="AW116" i="4" s="1"/>
  <c r="S124" i="4"/>
  <c r="AW124" i="4" s="1"/>
  <c r="S132" i="4"/>
  <c r="AW132" i="4" s="1"/>
  <c r="S140" i="4"/>
  <c r="AW140" i="4" s="1"/>
  <c r="S148" i="4"/>
  <c r="AW148" i="4" s="1"/>
  <c r="S156" i="4"/>
  <c r="AW156" i="4" s="1"/>
  <c r="S14" i="4"/>
  <c r="AW14" i="4" s="1"/>
  <c r="S21" i="4"/>
  <c r="AW21" i="4" s="1"/>
  <c r="S24" i="4"/>
  <c r="AW24" i="4" s="1"/>
  <c r="S28" i="4"/>
  <c r="AW28" i="4" s="1"/>
  <c r="S35" i="4"/>
  <c r="AW35" i="4" s="1"/>
  <c r="S39" i="4"/>
  <c r="AW39" i="4" s="1"/>
  <c r="S42" i="4"/>
  <c r="AW42" i="4" s="1"/>
  <c r="S50" i="4"/>
  <c r="AW50" i="4" s="1"/>
  <c r="S58" i="4"/>
  <c r="AW58" i="4" s="1"/>
  <c r="S66" i="4"/>
  <c r="AW66" i="4" s="1"/>
  <c r="S74" i="4"/>
  <c r="AW74" i="4" s="1"/>
  <c r="S82" i="4"/>
  <c r="AW82" i="4" s="1"/>
  <c r="S90" i="4"/>
  <c r="AW90" i="4" s="1"/>
  <c r="S98" i="4"/>
  <c r="AW98" i="4" s="1"/>
  <c r="S106" i="4"/>
  <c r="AW106" i="4" s="1"/>
  <c r="S114" i="4"/>
  <c r="AW114" i="4" s="1"/>
  <c r="S122" i="4"/>
  <c r="AW122" i="4" s="1"/>
  <c r="S130" i="4"/>
  <c r="AW130" i="4" s="1"/>
  <c r="S138" i="4"/>
  <c r="AW138" i="4" s="1"/>
  <c r="S146" i="4"/>
  <c r="AW146" i="4" s="1"/>
  <c r="S154" i="4"/>
  <c r="AW154" i="4" s="1"/>
  <c r="S12" i="4"/>
  <c r="AW12" i="4" s="1"/>
  <c r="S15" i="4"/>
  <c r="AW15" i="4" s="1"/>
  <c r="S18" i="4"/>
  <c r="AW18" i="4" s="1"/>
  <c r="S29" i="4"/>
  <c r="AW29" i="4" s="1"/>
  <c r="S32" i="4"/>
  <c r="AW32" i="4" s="1"/>
  <c r="S36" i="4"/>
  <c r="AW36" i="4" s="1"/>
  <c r="S48" i="4"/>
  <c r="AW48" i="4" s="1"/>
  <c r="S56" i="4"/>
  <c r="AW56" i="4" s="1"/>
  <c r="S64" i="4"/>
  <c r="AW64" i="4" s="1"/>
  <c r="S72" i="4"/>
  <c r="AW72" i="4" s="1"/>
  <c r="S80" i="4"/>
  <c r="AW80" i="4" s="1"/>
  <c r="S88" i="4"/>
  <c r="AW88" i="4" s="1"/>
  <c r="S96" i="4"/>
  <c r="AW96" i="4" s="1"/>
  <c r="S104" i="4"/>
  <c r="AW104" i="4" s="1"/>
  <c r="S112" i="4"/>
  <c r="AW112" i="4" s="1"/>
  <c r="S120" i="4"/>
  <c r="AW120" i="4" s="1"/>
  <c r="S128" i="4"/>
  <c r="AW128" i="4" s="1"/>
  <c r="S136" i="4"/>
  <c r="AW136" i="4" s="1"/>
  <c r="S144" i="4"/>
  <c r="AW144" i="4" s="1"/>
  <c r="S152" i="4"/>
  <c r="AW152" i="4" s="1"/>
  <c r="S10" i="4"/>
  <c r="AW10" i="4" s="1"/>
  <c r="B16" i="5"/>
  <c r="P15" i="5" s="1"/>
  <c r="S7" i="4"/>
  <c r="O9" i="4"/>
  <c r="V8" i="5"/>
  <c r="T10" i="5"/>
  <c r="V547" i="5"/>
  <c r="U547" i="5"/>
  <c r="V497" i="5"/>
  <c r="U497" i="5"/>
  <c r="V539" i="5"/>
  <c r="U539" i="5"/>
  <c r="V560" i="5"/>
  <c r="U560" i="5"/>
  <c r="U473" i="5"/>
  <c r="V473" i="5"/>
  <c r="U401" i="5"/>
  <c r="V401" i="5"/>
  <c r="U503" i="5"/>
  <c r="V503" i="5"/>
  <c r="U454" i="5"/>
  <c r="V454" i="5"/>
  <c r="V339" i="5"/>
  <c r="U339" i="5"/>
  <c r="U472" i="5"/>
  <c r="V472" i="5"/>
  <c r="V287" i="5"/>
  <c r="U287" i="5"/>
  <c r="V379" i="5"/>
  <c r="U379" i="5"/>
  <c r="U162" i="5"/>
  <c r="V162" i="5"/>
  <c r="U437" i="5"/>
  <c r="V437" i="5"/>
  <c r="U393" i="5"/>
  <c r="V393" i="5"/>
  <c r="U312" i="5"/>
  <c r="V312" i="5"/>
  <c r="V310" i="5"/>
  <c r="U310" i="5"/>
  <c r="U269" i="5"/>
  <c r="V269" i="5"/>
  <c r="V313" i="5"/>
  <c r="U313" i="5"/>
  <c r="U250" i="5"/>
  <c r="V250" i="5"/>
  <c r="U279" i="5"/>
  <c r="V279" i="5"/>
  <c r="U252" i="5"/>
  <c r="V252" i="5"/>
  <c r="U221" i="5"/>
  <c r="V221" i="5"/>
  <c r="U222" i="5"/>
  <c r="V222" i="5"/>
  <c r="V239" i="5"/>
  <c r="U239" i="5"/>
  <c r="V188" i="5"/>
  <c r="U188" i="5"/>
  <c r="V183" i="5"/>
  <c r="U183" i="5"/>
  <c r="V169" i="5"/>
  <c r="U169" i="5"/>
  <c r="V134" i="5"/>
  <c r="U134" i="5"/>
  <c r="V151" i="5"/>
  <c r="U151" i="5"/>
  <c r="U155" i="5"/>
  <c r="V155" i="5"/>
  <c r="U91" i="5"/>
  <c r="V91" i="5"/>
  <c r="U98" i="5"/>
  <c r="V98" i="5"/>
  <c r="V57" i="5"/>
  <c r="U57" i="5"/>
  <c r="U56" i="5"/>
  <c r="V56" i="5"/>
  <c r="U43" i="5"/>
  <c r="V43" i="5"/>
  <c r="V32" i="5"/>
  <c r="U32" i="5"/>
  <c r="U469" i="5"/>
  <c r="V469" i="5"/>
  <c r="U524" i="5"/>
  <c r="V524" i="5"/>
  <c r="V545" i="5"/>
  <c r="U545" i="5"/>
  <c r="V344" i="5"/>
  <c r="U344" i="5"/>
  <c r="U486" i="5"/>
  <c r="V486" i="5"/>
  <c r="U422" i="5"/>
  <c r="V422" i="5"/>
  <c r="U522" i="5"/>
  <c r="V522" i="5"/>
  <c r="U474" i="5"/>
  <c r="V474" i="5"/>
  <c r="U427" i="5"/>
  <c r="V427" i="5"/>
  <c r="V491" i="5"/>
  <c r="U491" i="5"/>
  <c r="U432" i="5"/>
  <c r="V432" i="5"/>
  <c r="V370" i="5"/>
  <c r="U370" i="5"/>
  <c r="U417" i="5"/>
  <c r="V417" i="5"/>
  <c r="U404" i="5"/>
  <c r="V404" i="5"/>
  <c r="U388" i="5"/>
  <c r="V388" i="5"/>
  <c r="V336" i="5"/>
  <c r="U336" i="5"/>
  <c r="U272" i="5"/>
  <c r="V272" i="5"/>
  <c r="V418" i="5"/>
  <c r="U418" i="5"/>
  <c r="U391" i="5"/>
  <c r="V391" i="5"/>
  <c r="V380" i="5"/>
  <c r="U380" i="5"/>
  <c r="V371" i="5"/>
  <c r="U371" i="5"/>
  <c r="V297" i="5"/>
  <c r="U297" i="5"/>
  <c r="U436" i="5"/>
  <c r="V436" i="5"/>
  <c r="U421" i="5"/>
  <c r="V421" i="5"/>
  <c r="U405" i="5"/>
  <c r="V405" i="5"/>
  <c r="V390" i="5"/>
  <c r="U390" i="5"/>
  <c r="V367" i="5"/>
  <c r="U367" i="5"/>
  <c r="U359" i="5"/>
  <c r="V359" i="5"/>
  <c r="V337" i="5"/>
  <c r="U337" i="5"/>
  <c r="V309" i="5"/>
  <c r="U309" i="5"/>
  <c r="U267" i="5"/>
  <c r="V267" i="5"/>
  <c r="U349" i="5"/>
  <c r="V349" i="5"/>
  <c r="U326" i="5"/>
  <c r="V326" i="5"/>
  <c r="U307" i="5"/>
  <c r="V307" i="5"/>
  <c r="V298" i="5"/>
  <c r="U298" i="5"/>
  <c r="V285" i="5"/>
  <c r="U285" i="5"/>
  <c r="U268" i="5"/>
  <c r="V268" i="5"/>
  <c r="U256" i="5"/>
  <c r="V256" i="5"/>
  <c r="U226" i="5"/>
  <c r="V226" i="5"/>
  <c r="U325" i="5"/>
  <c r="V325" i="5"/>
  <c r="V311" i="5"/>
  <c r="U311" i="5"/>
  <c r="V291" i="5"/>
  <c r="U291" i="5"/>
  <c r="U266" i="5"/>
  <c r="V266" i="5"/>
  <c r="U244" i="5"/>
  <c r="V244" i="5"/>
  <c r="V332" i="5"/>
  <c r="U332" i="5"/>
  <c r="U314" i="5"/>
  <c r="V314" i="5"/>
  <c r="U295" i="5"/>
  <c r="V295" i="5"/>
  <c r="U278" i="5"/>
  <c r="V278" i="5"/>
  <c r="U270" i="5"/>
  <c r="V270" i="5"/>
  <c r="V257" i="5"/>
  <c r="U257" i="5"/>
  <c r="U249" i="5"/>
  <c r="V249" i="5"/>
  <c r="V153" i="5"/>
  <c r="U153" i="5"/>
  <c r="U233" i="5"/>
  <c r="V233" i="5"/>
  <c r="U219" i="5"/>
  <c r="V219" i="5"/>
  <c r="U192" i="5"/>
  <c r="V192" i="5"/>
  <c r="U168" i="5"/>
  <c r="V168" i="5"/>
  <c r="U238" i="5"/>
  <c r="V238" i="5"/>
  <c r="U217" i="5"/>
  <c r="V217" i="5"/>
  <c r="U193" i="5"/>
  <c r="V193" i="5"/>
  <c r="U144" i="5"/>
  <c r="V144" i="5"/>
  <c r="U234" i="5"/>
  <c r="V234" i="5"/>
  <c r="U220" i="5"/>
  <c r="V220" i="5"/>
  <c r="U209" i="5"/>
  <c r="V209" i="5"/>
  <c r="U202" i="5"/>
  <c r="V202" i="5"/>
  <c r="U164" i="5"/>
  <c r="V164" i="5"/>
  <c r="U198" i="5"/>
  <c r="V198" i="5"/>
  <c r="V189" i="5"/>
  <c r="U189" i="5"/>
  <c r="V179" i="5"/>
  <c r="U179" i="5"/>
  <c r="U158" i="5"/>
  <c r="V158" i="5"/>
  <c r="U184" i="5"/>
  <c r="V184" i="5"/>
  <c r="U163" i="5"/>
  <c r="V163" i="5"/>
  <c r="V111" i="5"/>
  <c r="U111" i="5"/>
  <c r="U178" i="5"/>
  <c r="V178" i="5"/>
  <c r="U167" i="5"/>
  <c r="V167" i="5"/>
  <c r="V128" i="5"/>
  <c r="U128" i="5"/>
  <c r="U145" i="5"/>
  <c r="V145" i="5"/>
  <c r="U122" i="5"/>
  <c r="V122" i="5"/>
  <c r="V104" i="5"/>
  <c r="U104" i="5"/>
  <c r="U148" i="5"/>
  <c r="V148" i="5"/>
  <c r="U129" i="5"/>
  <c r="V129" i="5"/>
  <c r="U116" i="5"/>
  <c r="V116" i="5"/>
  <c r="U103" i="5"/>
  <c r="V103" i="5"/>
  <c r="U147" i="5"/>
  <c r="V147" i="5"/>
  <c r="U132" i="5"/>
  <c r="V132" i="5"/>
  <c r="U113" i="5"/>
  <c r="V113" i="5"/>
  <c r="U110" i="5"/>
  <c r="V110" i="5"/>
  <c r="U90" i="5"/>
  <c r="V90" i="5"/>
  <c r="U72" i="5"/>
  <c r="V72" i="5"/>
  <c r="U102" i="5"/>
  <c r="V102" i="5"/>
  <c r="U97" i="5"/>
  <c r="V97" i="5"/>
  <c r="V81" i="5"/>
  <c r="U81" i="5"/>
  <c r="U78" i="5"/>
  <c r="V78" i="5"/>
  <c r="U77" i="5"/>
  <c r="V77" i="5"/>
  <c r="U71" i="5"/>
  <c r="V71" i="5"/>
  <c r="V58" i="5"/>
  <c r="U58" i="5"/>
  <c r="U65" i="5"/>
  <c r="V65" i="5"/>
  <c r="U51" i="5"/>
  <c r="V51" i="5"/>
  <c r="U23" i="5"/>
  <c r="V23" i="5"/>
  <c r="U54" i="5"/>
  <c r="V54" i="5"/>
  <c r="U49" i="5"/>
  <c r="V49" i="5"/>
  <c r="U40" i="5"/>
  <c r="V40" i="5"/>
  <c r="U45" i="5"/>
  <c r="V45" i="5"/>
  <c r="U31" i="5"/>
  <c r="V31" i="5"/>
  <c r="U21" i="5"/>
  <c r="V21" i="5"/>
  <c r="U29" i="5"/>
  <c r="V29" i="5"/>
  <c r="U509" i="5"/>
  <c r="V509" i="5"/>
  <c r="U449" i="5"/>
  <c r="V449" i="5"/>
  <c r="U412" i="5"/>
  <c r="V412" i="5"/>
  <c r="V546" i="5"/>
  <c r="U546" i="5"/>
  <c r="V531" i="5"/>
  <c r="U531" i="5"/>
  <c r="U461" i="5"/>
  <c r="V461" i="5"/>
  <c r="U425" i="5"/>
  <c r="V425" i="5"/>
  <c r="U517" i="5"/>
  <c r="V517" i="5"/>
  <c r="U464" i="5"/>
  <c r="V464" i="5"/>
  <c r="U525" i="5"/>
  <c r="V525" i="5"/>
  <c r="V451" i="5"/>
  <c r="U451" i="5"/>
  <c r="U408" i="5"/>
  <c r="V408" i="5"/>
  <c r="U361" i="5"/>
  <c r="V361" i="5"/>
  <c r="V396" i="5"/>
  <c r="U396" i="5"/>
  <c r="V317" i="5"/>
  <c r="U317" i="5"/>
  <c r="U410" i="5"/>
  <c r="V410" i="5"/>
  <c r="U342" i="5"/>
  <c r="V342" i="5"/>
  <c r="U330" i="5"/>
  <c r="V330" i="5"/>
  <c r="U290" i="5"/>
  <c r="V290" i="5"/>
  <c r="U328" i="5"/>
  <c r="V328" i="5"/>
  <c r="V334" i="5"/>
  <c r="U334" i="5"/>
  <c r="V301" i="5"/>
  <c r="U301" i="5"/>
  <c r="U260" i="5"/>
  <c r="V260" i="5"/>
  <c r="V207" i="5"/>
  <c r="U207" i="5"/>
  <c r="V199" i="5"/>
  <c r="U199" i="5"/>
  <c r="V223" i="5"/>
  <c r="U223" i="5"/>
  <c r="U201" i="5"/>
  <c r="V201" i="5"/>
  <c r="V161" i="5"/>
  <c r="U161" i="5"/>
  <c r="U118" i="5"/>
  <c r="V118" i="5"/>
  <c r="U146" i="5"/>
  <c r="V146" i="5"/>
  <c r="U114" i="5"/>
  <c r="V114" i="5"/>
  <c r="U106" i="5"/>
  <c r="V106" i="5"/>
  <c r="V37" i="5"/>
  <c r="U37" i="5"/>
  <c r="U105" i="5"/>
  <c r="V105" i="5"/>
  <c r="V89" i="5"/>
  <c r="U89" i="5"/>
  <c r="U67" i="5"/>
  <c r="V67" i="5"/>
  <c r="U41" i="5"/>
  <c r="V41" i="5"/>
  <c r="U24" i="5"/>
  <c r="V24" i="5"/>
  <c r="U19" i="5"/>
  <c r="V19" i="5"/>
  <c r="V559" i="5"/>
  <c r="U559" i="5"/>
  <c r="V552" i="5"/>
  <c r="U552" i="5"/>
  <c r="U406" i="5"/>
  <c r="V406" i="5"/>
  <c r="U465" i="5"/>
  <c r="V465" i="5"/>
  <c r="U493" i="5"/>
  <c r="V493" i="5"/>
  <c r="U457" i="5"/>
  <c r="V457" i="5"/>
  <c r="V368" i="5"/>
  <c r="U368" i="5"/>
  <c r="U501" i="5"/>
  <c r="V501" i="5"/>
  <c r="U462" i="5"/>
  <c r="V462" i="5"/>
  <c r="V537" i="5"/>
  <c r="U537" i="5"/>
  <c r="U466" i="5"/>
  <c r="V466" i="5"/>
  <c r="V355" i="5"/>
  <c r="U355" i="5"/>
  <c r="V523" i="5"/>
  <c r="U523" i="5"/>
  <c r="U488" i="5"/>
  <c r="V488" i="5"/>
  <c r="U445" i="5"/>
  <c r="V445" i="5"/>
  <c r="V558" i="5"/>
  <c r="U558" i="5"/>
  <c r="U530" i="5"/>
  <c r="V530" i="5"/>
  <c r="U419" i="5"/>
  <c r="V419" i="5"/>
  <c r="V551" i="5"/>
  <c r="U551" i="5"/>
  <c r="U518" i="5"/>
  <c r="V518" i="5"/>
  <c r="U450" i="5"/>
  <c r="V450" i="5"/>
  <c r="U394" i="5"/>
  <c r="V394" i="5"/>
  <c r="V550" i="5"/>
  <c r="U550" i="5"/>
  <c r="V542" i="5"/>
  <c r="U542" i="5"/>
  <c r="U534" i="5"/>
  <c r="V534" i="5"/>
  <c r="U444" i="5"/>
  <c r="V444" i="5"/>
  <c r="V338" i="5"/>
  <c r="U338" i="5"/>
  <c r="V556" i="5"/>
  <c r="U556" i="5"/>
  <c r="U510" i="5"/>
  <c r="V510" i="5"/>
  <c r="U492" i="5"/>
  <c r="V492" i="5"/>
  <c r="U482" i="5"/>
  <c r="V482" i="5"/>
  <c r="U467" i="5"/>
  <c r="V467" i="5"/>
  <c r="U455" i="5"/>
  <c r="V455" i="5"/>
  <c r="V435" i="5"/>
  <c r="U435" i="5"/>
  <c r="V416" i="5"/>
  <c r="U416" i="5"/>
  <c r="U395" i="5"/>
  <c r="V395" i="5"/>
  <c r="U360" i="5"/>
  <c r="V360" i="5"/>
  <c r="U521" i="5"/>
  <c r="V521" i="5"/>
  <c r="U511" i="5"/>
  <c r="V511" i="5"/>
  <c r="U500" i="5"/>
  <c r="V500" i="5"/>
  <c r="V483" i="5"/>
  <c r="U483" i="5"/>
  <c r="V471" i="5"/>
  <c r="U471" i="5"/>
  <c r="U459" i="5"/>
  <c r="V459" i="5"/>
  <c r="U442" i="5"/>
  <c r="V442" i="5"/>
  <c r="U351" i="5"/>
  <c r="V351" i="5"/>
  <c r="U533" i="5"/>
  <c r="V533" i="5"/>
  <c r="V515" i="5"/>
  <c r="U515" i="5"/>
  <c r="U505" i="5"/>
  <c r="V505" i="5"/>
  <c r="V481" i="5"/>
  <c r="U481" i="5"/>
  <c r="U460" i="5"/>
  <c r="V460" i="5"/>
  <c r="U447" i="5"/>
  <c r="V447" i="5"/>
  <c r="U430" i="5"/>
  <c r="V430" i="5"/>
  <c r="U357" i="5"/>
  <c r="V357" i="5"/>
  <c r="U414" i="5"/>
  <c r="V414" i="5"/>
  <c r="U402" i="5"/>
  <c r="V402" i="5"/>
  <c r="V383" i="5"/>
  <c r="U383" i="5"/>
  <c r="U365" i="5"/>
  <c r="V365" i="5"/>
  <c r="U353" i="5"/>
  <c r="V353" i="5"/>
  <c r="U319" i="5"/>
  <c r="V319" i="5"/>
  <c r="U228" i="5"/>
  <c r="V228" i="5"/>
  <c r="U409" i="5"/>
  <c r="V409" i="5"/>
  <c r="V389" i="5"/>
  <c r="U389" i="5"/>
  <c r="V376" i="5"/>
  <c r="U376" i="5"/>
  <c r="U369" i="5"/>
  <c r="V369" i="5"/>
  <c r="U247" i="5"/>
  <c r="V247" i="5"/>
  <c r="U433" i="5"/>
  <c r="V433" i="5"/>
  <c r="U420" i="5"/>
  <c r="V420" i="5"/>
  <c r="U403" i="5"/>
  <c r="V403" i="5"/>
  <c r="U387" i="5"/>
  <c r="V387" i="5"/>
  <c r="U366" i="5"/>
  <c r="V366" i="5"/>
  <c r="U350" i="5"/>
  <c r="V350" i="5"/>
  <c r="V329" i="5"/>
  <c r="U329" i="5"/>
  <c r="U286" i="5"/>
  <c r="V286" i="5"/>
  <c r="U262" i="5"/>
  <c r="V262" i="5"/>
  <c r="V343" i="5"/>
  <c r="U343" i="5"/>
  <c r="V321" i="5"/>
  <c r="U321" i="5"/>
  <c r="V305" i="5"/>
  <c r="U305" i="5"/>
  <c r="V296" i="5"/>
  <c r="U296" i="5"/>
  <c r="V281" i="5"/>
  <c r="U281" i="5"/>
  <c r="U264" i="5"/>
  <c r="V264" i="5"/>
  <c r="U253" i="5"/>
  <c r="V253" i="5"/>
  <c r="U160" i="5"/>
  <c r="V160" i="5"/>
  <c r="U323" i="5"/>
  <c r="V323" i="5"/>
  <c r="U302" i="5"/>
  <c r="V302" i="5"/>
  <c r="V288" i="5"/>
  <c r="U288" i="5"/>
  <c r="U258" i="5"/>
  <c r="V258" i="5"/>
  <c r="U237" i="5"/>
  <c r="V237" i="5"/>
  <c r="V327" i="5"/>
  <c r="U327" i="5"/>
  <c r="V308" i="5"/>
  <c r="U308" i="5"/>
  <c r="V289" i="5"/>
  <c r="U289" i="5"/>
  <c r="U277" i="5"/>
  <c r="V277" i="5"/>
  <c r="U265" i="5"/>
  <c r="V265" i="5"/>
  <c r="U255" i="5"/>
  <c r="V255" i="5"/>
  <c r="U248" i="5"/>
  <c r="V248" i="5"/>
  <c r="U240" i="5"/>
  <c r="V240" i="5"/>
  <c r="U230" i="5"/>
  <c r="V230" i="5"/>
  <c r="U213" i="5"/>
  <c r="V213" i="5"/>
  <c r="U191" i="5"/>
  <c r="V191" i="5"/>
  <c r="V157" i="5"/>
  <c r="U157" i="5"/>
  <c r="U232" i="5"/>
  <c r="V232" i="5"/>
  <c r="U216" i="5"/>
  <c r="V216" i="5"/>
  <c r="U166" i="5"/>
  <c r="V166" i="5"/>
  <c r="U120" i="5"/>
  <c r="V120" i="5"/>
  <c r="V227" i="5"/>
  <c r="U227" i="5"/>
  <c r="U218" i="5"/>
  <c r="V218" i="5"/>
  <c r="U208" i="5"/>
  <c r="V208" i="5"/>
  <c r="U200" i="5"/>
  <c r="V200" i="5"/>
  <c r="U206" i="5"/>
  <c r="V206" i="5"/>
  <c r="U197" i="5"/>
  <c r="V197" i="5"/>
  <c r="V186" i="5"/>
  <c r="U186" i="5"/>
  <c r="V175" i="5"/>
  <c r="U175" i="5"/>
  <c r="U154" i="5"/>
  <c r="V154" i="5"/>
  <c r="U182" i="5"/>
  <c r="V182" i="5"/>
  <c r="U140" i="5"/>
  <c r="V140" i="5"/>
  <c r="V86" i="5"/>
  <c r="U86" i="5"/>
  <c r="V177" i="5"/>
  <c r="U177" i="5"/>
  <c r="V165" i="5"/>
  <c r="U165" i="5"/>
  <c r="U125" i="5"/>
  <c r="V125" i="5"/>
  <c r="V143" i="5"/>
  <c r="U143" i="5"/>
  <c r="U119" i="5"/>
  <c r="V119" i="5"/>
  <c r="U75" i="5"/>
  <c r="V75" i="5"/>
  <c r="U142" i="5"/>
  <c r="V142" i="5"/>
  <c r="U124" i="5"/>
  <c r="V124" i="5"/>
  <c r="V112" i="5"/>
  <c r="U112" i="5"/>
  <c r="U99" i="5"/>
  <c r="V99" i="5"/>
  <c r="U141" i="5"/>
  <c r="V141" i="5"/>
  <c r="V127" i="5"/>
  <c r="U127" i="5"/>
  <c r="U93" i="5"/>
  <c r="V93" i="5"/>
  <c r="U108" i="5"/>
  <c r="V108" i="5"/>
  <c r="U88" i="5"/>
  <c r="V88" i="5"/>
  <c r="U60" i="5"/>
  <c r="V60" i="5"/>
  <c r="U95" i="5"/>
  <c r="V95" i="5"/>
  <c r="U96" i="5"/>
  <c r="V96" i="5"/>
  <c r="U25" i="5"/>
  <c r="V25" i="5"/>
  <c r="V73" i="5"/>
  <c r="U73" i="5"/>
  <c r="U74" i="5"/>
  <c r="V74" i="5"/>
  <c r="U68" i="5"/>
  <c r="V68" i="5"/>
  <c r="V55" i="5"/>
  <c r="U55" i="5"/>
  <c r="U62" i="5"/>
  <c r="V62" i="5"/>
  <c r="U50" i="5"/>
  <c r="V50" i="5"/>
  <c r="U20" i="5"/>
  <c r="V20" i="5"/>
  <c r="U53" i="5"/>
  <c r="V53" i="5"/>
  <c r="U48" i="5"/>
  <c r="V48" i="5"/>
  <c r="U36" i="5"/>
  <c r="V36" i="5"/>
  <c r="U42" i="5"/>
  <c r="V42" i="5"/>
  <c r="V27" i="5"/>
  <c r="U27" i="5"/>
  <c r="U46" i="5"/>
  <c r="V46" i="5"/>
  <c r="V28" i="5"/>
  <c r="U28" i="5"/>
  <c r="V476" i="5"/>
  <c r="U476" i="5"/>
  <c r="U397" i="5"/>
  <c r="V397" i="5"/>
  <c r="V553" i="5"/>
  <c r="U553" i="5"/>
  <c r="U527" i="5"/>
  <c r="V527" i="5"/>
  <c r="V541" i="5"/>
  <c r="U541" i="5"/>
  <c r="U484" i="5"/>
  <c r="V484" i="5"/>
  <c r="U346" i="5"/>
  <c r="V346" i="5"/>
  <c r="U495" i="5"/>
  <c r="V495" i="5"/>
  <c r="V487" i="5"/>
  <c r="U487" i="5"/>
  <c r="U446" i="5"/>
  <c r="V446" i="5"/>
  <c r="V374" i="5"/>
  <c r="U374" i="5"/>
  <c r="U333" i="5"/>
  <c r="V333" i="5"/>
  <c r="U496" i="5"/>
  <c r="V496" i="5"/>
  <c r="U475" i="5"/>
  <c r="V475" i="5"/>
  <c r="U431" i="5"/>
  <c r="V431" i="5"/>
  <c r="U508" i="5"/>
  <c r="V508" i="5"/>
  <c r="V494" i="5"/>
  <c r="U494" i="5"/>
  <c r="V441" i="5"/>
  <c r="U441" i="5"/>
  <c r="U384" i="5"/>
  <c r="V384" i="5"/>
  <c r="U392" i="5"/>
  <c r="V392" i="5"/>
  <c r="V340" i="5"/>
  <c r="U340" i="5"/>
  <c r="U275" i="5"/>
  <c r="V275" i="5"/>
  <c r="U385" i="5"/>
  <c r="V385" i="5"/>
  <c r="U372" i="5"/>
  <c r="V372" i="5"/>
  <c r="U424" i="5"/>
  <c r="V424" i="5"/>
  <c r="V378" i="5"/>
  <c r="U378" i="5"/>
  <c r="V362" i="5"/>
  <c r="U362" i="5"/>
  <c r="U280" i="5"/>
  <c r="V280" i="5"/>
  <c r="U354" i="5"/>
  <c r="V354" i="5"/>
  <c r="V300" i="5"/>
  <c r="U300" i="5"/>
  <c r="U259" i="5"/>
  <c r="V259" i="5"/>
  <c r="U231" i="5"/>
  <c r="V231" i="5"/>
  <c r="V292" i="5"/>
  <c r="U292" i="5"/>
  <c r="U276" i="5"/>
  <c r="V276" i="5"/>
  <c r="V318" i="5"/>
  <c r="U318" i="5"/>
  <c r="V273" i="5"/>
  <c r="U273" i="5"/>
  <c r="U176" i="5"/>
  <c r="V176" i="5"/>
  <c r="U235" i="5"/>
  <c r="V235" i="5"/>
  <c r="V174" i="5"/>
  <c r="U174" i="5"/>
  <c r="U242" i="5"/>
  <c r="V242" i="5"/>
  <c r="U150" i="5"/>
  <c r="V150" i="5"/>
  <c r="U211" i="5"/>
  <c r="V211" i="5"/>
  <c r="U203" i="5"/>
  <c r="V203" i="5"/>
  <c r="U190" i="5"/>
  <c r="V190" i="5"/>
  <c r="U79" i="5"/>
  <c r="V79" i="5"/>
  <c r="V181" i="5"/>
  <c r="U181" i="5"/>
  <c r="V171" i="5"/>
  <c r="U171" i="5"/>
  <c r="U130" i="5"/>
  <c r="V130" i="5"/>
  <c r="U131" i="5"/>
  <c r="V131" i="5"/>
  <c r="U117" i="5"/>
  <c r="V117" i="5"/>
  <c r="U136" i="5"/>
  <c r="V136" i="5"/>
  <c r="U121" i="5"/>
  <c r="V121" i="5"/>
  <c r="U83" i="5"/>
  <c r="V83" i="5"/>
  <c r="U82" i="5"/>
  <c r="V82" i="5"/>
  <c r="U76" i="5"/>
  <c r="V76" i="5"/>
  <c r="V63" i="5"/>
  <c r="U63" i="5"/>
  <c r="U30" i="5"/>
  <c r="V30" i="5"/>
  <c r="U64" i="5"/>
  <c r="V64" i="5"/>
  <c r="U22" i="5"/>
  <c r="V22" i="5"/>
  <c r="V38" i="5"/>
  <c r="U38" i="5"/>
  <c r="U502" i="5"/>
  <c r="V502" i="5"/>
  <c r="V535" i="5"/>
  <c r="U535" i="5"/>
  <c r="U440" i="5"/>
  <c r="V440" i="5"/>
  <c r="U490" i="5"/>
  <c r="V490" i="5"/>
  <c r="V554" i="5"/>
  <c r="U554" i="5"/>
  <c r="U536" i="5"/>
  <c r="V536" i="5"/>
  <c r="V557" i="5"/>
  <c r="U557" i="5"/>
  <c r="U526" i="5"/>
  <c r="V526" i="5"/>
  <c r="U470" i="5"/>
  <c r="V470" i="5"/>
  <c r="U439" i="5"/>
  <c r="V439" i="5"/>
  <c r="U398" i="5"/>
  <c r="V398" i="5"/>
  <c r="U512" i="5"/>
  <c r="V512" i="5"/>
  <c r="U485" i="5"/>
  <c r="V485" i="5"/>
  <c r="U453" i="5"/>
  <c r="V453" i="5"/>
  <c r="U516" i="5"/>
  <c r="V516" i="5"/>
  <c r="V507" i="5"/>
  <c r="U507" i="5"/>
  <c r="U448" i="5"/>
  <c r="V448" i="5"/>
  <c r="V373" i="5"/>
  <c r="U373" i="5"/>
  <c r="U520" i="5"/>
  <c r="V520" i="5"/>
  <c r="U479" i="5"/>
  <c r="V479" i="5"/>
  <c r="U423" i="5"/>
  <c r="V423" i="5"/>
  <c r="V549" i="5"/>
  <c r="U549" i="5"/>
  <c r="U528" i="5"/>
  <c r="V528" i="5"/>
  <c r="V555" i="5"/>
  <c r="U555" i="5"/>
  <c r="V543" i="5"/>
  <c r="U543" i="5"/>
  <c r="U514" i="5"/>
  <c r="V514" i="5"/>
  <c r="U426" i="5"/>
  <c r="V426" i="5"/>
  <c r="V544" i="5"/>
  <c r="U544" i="5"/>
  <c r="V548" i="5"/>
  <c r="U548" i="5"/>
  <c r="V540" i="5"/>
  <c r="U540" i="5"/>
  <c r="V529" i="5"/>
  <c r="U529" i="5"/>
  <c r="U352" i="5"/>
  <c r="V352" i="5"/>
  <c r="V304" i="5"/>
  <c r="U304" i="5"/>
  <c r="V538" i="5"/>
  <c r="U538" i="5"/>
  <c r="U506" i="5"/>
  <c r="V506" i="5"/>
  <c r="V489" i="5"/>
  <c r="U489" i="5"/>
  <c r="U477" i="5"/>
  <c r="V477" i="5"/>
  <c r="U463" i="5"/>
  <c r="V463" i="5"/>
  <c r="U452" i="5"/>
  <c r="V452" i="5"/>
  <c r="U434" i="5"/>
  <c r="V434" i="5"/>
  <c r="U413" i="5"/>
  <c r="V413" i="5"/>
  <c r="U377" i="5"/>
  <c r="V377" i="5"/>
  <c r="U358" i="5"/>
  <c r="V358" i="5"/>
  <c r="U519" i="5"/>
  <c r="V519" i="5"/>
  <c r="U504" i="5"/>
  <c r="V504" i="5"/>
  <c r="U498" i="5"/>
  <c r="V498" i="5"/>
  <c r="U480" i="5"/>
  <c r="V480" i="5"/>
  <c r="U468" i="5"/>
  <c r="V468" i="5"/>
  <c r="V456" i="5"/>
  <c r="U456" i="5"/>
  <c r="U438" i="5"/>
  <c r="V438" i="5"/>
  <c r="U347" i="5"/>
  <c r="V347" i="5"/>
  <c r="U532" i="5"/>
  <c r="V532" i="5"/>
  <c r="V513" i="5"/>
  <c r="U513" i="5"/>
  <c r="V499" i="5"/>
  <c r="U499" i="5"/>
  <c r="U478" i="5"/>
  <c r="V478" i="5"/>
  <c r="U458" i="5"/>
  <c r="V458" i="5"/>
  <c r="U443" i="5"/>
  <c r="V443" i="5"/>
  <c r="V428" i="5"/>
  <c r="U428" i="5"/>
  <c r="U324" i="5"/>
  <c r="V324" i="5"/>
  <c r="U411" i="5"/>
  <c r="V411" i="5"/>
  <c r="U399" i="5"/>
  <c r="V399" i="5"/>
  <c r="V382" i="5"/>
  <c r="U382" i="5"/>
  <c r="U363" i="5"/>
  <c r="V363" i="5"/>
  <c r="V348" i="5"/>
  <c r="U348" i="5"/>
  <c r="V294" i="5"/>
  <c r="U294" i="5"/>
  <c r="U195" i="5"/>
  <c r="V195" i="5"/>
  <c r="V407" i="5"/>
  <c r="U407" i="5"/>
  <c r="V386" i="5"/>
  <c r="U386" i="5"/>
  <c r="U375" i="5"/>
  <c r="V375" i="5"/>
  <c r="U341" i="5"/>
  <c r="V341" i="5"/>
  <c r="U214" i="5"/>
  <c r="V214" i="5"/>
  <c r="V429" i="5"/>
  <c r="U429" i="5"/>
  <c r="V415" i="5"/>
  <c r="U415" i="5"/>
  <c r="U400" i="5"/>
  <c r="V400" i="5"/>
  <c r="V381" i="5"/>
  <c r="U381" i="5"/>
  <c r="V364" i="5"/>
  <c r="U364" i="5"/>
  <c r="U345" i="5"/>
  <c r="V345" i="5"/>
  <c r="V315" i="5"/>
  <c r="U315" i="5"/>
  <c r="V283" i="5"/>
  <c r="U283" i="5"/>
  <c r="V356" i="5"/>
  <c r="U356" i="5"/>
  <c r="U335" i="5"/>
  <c r="V335" i="5"/>
  <c r="V320" i="5"/>
  <c r="U320" i="5"/>
  <c r="V303" i="5"/>
  <c r="U303" i="5"/>
  <c r="V293" i="5"/>
  <c r="U293" i="5"/>
  <c r="U271" i="5"/>
  <c r="V271" i="5"/>
  <c r="U261" i="5"/>
  <c r="V261" i="5"/>
  <c r="U246" i="5"/>
  <c r="V246" i="5"/>
  <c r="U331" i="5"/>
  <c r="V331" i="5"/>
  <c r="V316" i="5"/>
  <c r="U316" i="5"/>
  <c r="V299" i="5"/>
  <c r="U299" i="5"/>
  <c r="V284" i="5"/>
  <c r="U284" i="5"/>
  <c r="U251" i="5"/>
  <c r="V251" i="5"/>
  <c r="U135" i="5"/>
  <c r="V135" i="5"/>
  <c r="V322" i="5"/>
  <c r="U322" i="5"/>
  <c r="V306" i="5"/>
  <c r="U306" i="5"/>
  <c r="V282" i="5"/>
  <c r="U282" i="5"/>
  <c r="U274" i="5"/>
  <c r="V274" i="5"/>
  <c r="V263" i="5"/>
  <c r="U263" i="5"/>
  <c r="U254" i="5"/>
  <c r="V254" i="5"/>
  <c r="U241" i="5"/>
  <c r="V241" i="5"/>
  <c r="U236" i="5"/>
  <c r="V236" i="5"/>
  <c r="U225" i="5"/>
  <c r="V225" i="5"/>
  <c r="U210" i="5"/>
  <c r="V210" i="5"/>
  <c r="U180" i="5"/>
  <c r="V180" i="5"/>
  <c r="U243" i="5"/>
  <c r="V243" i="5"/>
  <c r="U229" i="5"/>
  <c r="V229" i="5"/>
  <c r="U212" i="5"/>
  <c r="V212" i="5"/>
  <c r="V159" i="5"/>
  <c r="U159" i="5"/>
  <c r="U245" i="5"/>
  <c r="V245" i="5"/>
  <c r="U224" i="5"/>
  <c r="V224" i="5"/>
  <c r="V215" i="5"/>
  <c r="U215" i="5"/>
  <c r="U205" i="5"/>
  <c r="V205" i="5"/>
  <c r="U196" i="5"/>
  <c r="V196" i="5"/>
  <c r="U204" i="5"/>
  <c r="V204" i="5"/>
  <c r="U194" i="5"/>
  <c r="V194" i="5"/>
  <c r="V185" i="5"/>
  <c r="U185" i="5"/>
  <c r="U172" i="5"/>
  <c r="V172" i="5"/>
  <c r="U100" i="5"/>
  <c r="V100" i="5"/>
  <c r="U170" i="5"/>
  <c r="V170" i="5"/>
  <c r="U133" i="5"/>
  <c r="V133" i="5"/>
  <c r="U187" i="5"/>
  <c r="V187" i="5"/>
  <c r="V173" i="5"/>
  <c r="U173" i="5"/>
  <c r="V149" i="5"/>
  <c r="U149" i="5"/>
  <c r="U152" i="5"/>
  <c r="V152" i="5"/>
  <c r="U138" i="5"/>
  <c r="V138" i="5"/>
  <c r="U115" i="5"/>
  <c r="V115" i="5"/>
  <c r="V156" i="5"/>
  <c r="U156" i="5"/>
  <c r="V137" i="5"/>
  <c r="U137" i="5"/>
  <c r="U123" i="5"/>
  <c r="V123" i="5"/>
  <c r="U109" i="5"/>
  <c r="V109" i="5"/>
  <c r="U84" i="5"/>
  <c r="V84" i="5"/>
  <c r="U139" i="5"/>
  <c r="V139" i="5"/>
  <c r="U126" i="5"/>
  <c r="V126" i="5"/>
  <c r="U87" i="5"/>
  <c r="V87" i="5"/>
  <c r="U101" i="5"/>
  <c r="V101" i="5"/>
  <c r="U85" i="5"/>
  <c r="V85" i="5"/>
  <c r="U107" i="5"/>
  <c r="V107" i="5"/>
  <c r="U69" i="5"/>
  <c r="V69" i="5"/>
  <c r="U94" i="5"/>
  <c r="V94" i="5"/>
  <c r="U92" i="5"/>
  <c r="V92" i="5"/>
  <c r="V61" i="5"/>
  <c r="U61" i="5"/>
  <c r="U80" i="5"/>
  <c r="V80" i="5"/>
  <c r="U66" i="5"/>
  <c r="V66" i="5"/>
  <c r="V35" i="5"/>
  <c r="U35" i="5"/>
  <c r="V59" i="5"/>
  <c r="U59" i="5"/>
  <c r="U33" i="5"/>
  <c r="V33" i="5"/>
  <c r="U70" i="5"/>
  <c r="V70" i="5"/>
  <c r="U52" i="5"/>
  <c r="V52" i="5"/>
  <c r="U47" i="5"/>
  <c r="V47" i="5"/>
  <c r="U34" i="5"/>
  <c r="V34" i="5"/>
  <c r="U39" i="5"/>
  <c r="V39" i="5"/>
  <c r="V26" i="5"/>
  <c r="U26" i="5"/>
  <c r="V44" i="5"/>
  <c r="U44" i="5"/>
  <c r="B89" i="2"/>
  <c r="B85" i="2"/>
  <c r="B81" i="2"/>
  <c r="B64" i="5" l="1"/>
  <c r="B69" i="5"/>
  <c r="B241" i="2"/>
  <c r="AU15" i="4"/>
  <c r="AV15" i="4" s="1"/>
  <c r="AX15" i="4"/>
  <c r="AY15" i="4" s="1"/>
  <c r="AU36" i="4"/>
  <c r="AV36" i="4" s="1"/>
  <c r="AX36" i="4"/>
  <c r="AY36" i="4" s="1"/>
  <c r="AX92" i="4"/>
  <c r="AY92" i="4" s="1"/>
  <c r="AU92" i="4"/>
  <c r="AV92" i="4" s="1"/>
  <c r="AU156" i="4"/>
  <c r="AV156" i="4" s="1"/>
  <c r="AX156" i="4"/>
  <c r="AY156" i="4" s="1"/>
  <c r="AX87" i="4"/>
  <c r="AY87" i="4" s="1"/>
  <c r="AU87" i="4"/>
  <c r="AV87" i="4" s="1"/>
  <c r="AU151" i="4"/>
  <c r="AV151" i="4" s="1"/>
  <c r="AX151" i="4"/>
  <c r="AY151" i="4" s="1"/>
  <c r="AU85" i="4"/>
  <c r="AV85" i="4" s="1"/>
  <c r="AX85" i="4"/>
  <c r="AY85" i="4" s="1"/>
  <c r="AX149" i="4"/>
  <c r="AY149" i="4" s="1"/>
  <c r="AU149" i="4"/>
  <c r="AV149" i="4" s="1"/>
  <c r="AU78" i="4"/>
  <c r="AV78" i="4" s="1"/>
  <c r="AX78" i="4"/>
  <c r="AY78" i="4" s="1"/>
  <c r="AU142" i="4"/>
  <c r="AV142" i="4" s="1"/>
  <c r="AX142" i="4"/>
  <c r="AY142" i="4" s="1"/>
  <c r="AU14" i="4"/>
  <c r="AV14" i="4" s="1"/>
  <c r="AX14" i="4"/>
  <c r="AY14" i="4" s="1"/>
  <c r="AX157" i="4"/>
  <c r="AY157" i="4" s="1"/>
  <c r="AU157" i="4"/>
  <c r="AV157" i="4" s="1"/>
  <c r="AU25" i="4"/>
  <c r="AV25" i="4" s="1"/>
  <c r="AX25" i="4"/>
  <c r="AY25" i="4" s="1"/>
  <c r="AU49" i="4"/>
  <c r="AV49" i="4" s="1"/>
  <c r="AX49" i="4"/>
  <c r="AY49" i="4" s="1"/>
  <c r="AX113" i="4"/>
  <c r="AY113" i="4" s="1"/>
  <c r="AU113" i="4"/>
  <c r="AV113" i="4" s="1"/>
  <c r="AX42" i="4"/>
  <c r="AY42" i="4" s="1"/>
  <c r="AU42" i="4"/>
  <c r="AV42" i="4" s="1"/>
  <c r="AX106" i="4"/>
  <c r="AY106" i="4" s="1"/>
  <c r="AU106" i="4"/>
  <c r="AV106" i="4" s="1"/>
  <c r="AX32" i="4"/>
  <c r="AY32" i="4" s="1"/>
  <c r="AU32" i="4"/>
  <c r="AV32" i="4" s="1"/>
  <c r="AU104" i="4"/>
  <c r="AV104" i="4" s="1"/>
  <c r="AX104" i="4"/>
  <c r="AY104" i="4" s="1"/>
  <c r="AX26" i="4"/>
  <c r="AY26" i="4" s="1"/>
  <c r="AU26" i="4"/>
  <c r="AV26" i="4" s="1"/>
  <c r="AU99" i="4"/>
  <c r="AV99" i="4" s="1"/>
  <c r="AX99" i="4"/>
  <c r="AY99" i="4" s="1"/>
  <c r="AX13" i="4"/>
  <c r="AY13" i="4" s="1"/>
  <c r="AU13" i="4"/>
  <c r="AV13" i="4" s="1"/>
  <c r="AU68" i="4"/>
  <c r="AV68" i="4" s="1"/>
  <c r="AX68" i="4"/>
  <c r="AY68" i="4" s="1"/>
  <c r="AX45" i="4"/>
  <c r="AY45" i="4" s="1"/>
  <c r="AU45" i="4"/>
  <c r="AV45" i="4" s="1"/>
  <c r="AX21" i="4"/>
  <c r="AY21" i="4" s="1"/>
  <c r="AU21" i="4"/>
  <c r="AV21" i="4" s="1"/>
  <c r="AX34" i="4"/>
  <c r="AY34" i="4" s="1"/>
  <c r="AU34" i="4"/>
  <c r="AV34" i="4" s="1"/>
  <c r="AX105" i="4"/>
  <c r="AY105" i="4" s="1"/>
  <c r="AU105" i="4"/>
  <c r="AV105" i="4" s="1"/>
  <c r="AX24" i="4"/>
  <c r="AY24" i="4" s="1"/>
  <c r="AU24" i="4"/>
  <c r="AV24" i="4" s="1"/>
  <c r="AX98" i="4"/>
  <c r="AY98" i="4" s="1"/>
  <c r="AU98" i="4"/>
  <c r="AV98" i="4" s="1"/>
  <c r="AU12" i="4"/>
  <c r="AV12" i="4" s="1"/>
  <c r="AX12" i="4"/>
  <c r="AY12" i="4" s="1"/>
  <c r="AU96" i="4"/>
  <c r="AV96" i="4" s="1"/>
  <c r="AX96" i="4"/>
  <c r="AY96" i="4" s="1"/>
  <c r="AX10" i="4"/>
  <c r="AY10" i="4" s="1"/>
  <c r="AU10" i="4"/>
  <c r="AV10" i="4" s="1"/>
  <c r="AU91" i="4"/>
  <c r="AV91" i="4" s="1"/>
  <c r="AX91" i="4"/>
  <c r="AY91" i="4" s="1"/>
  <c r="AX155" i="4"/>
  <c r="AY155" i="4" s="1"/>
  <c r="AU155" i="4"/>
  <c r="AV155" i="4" s="1"/>
  <c r="AX84" i="4"/>
  <c r="AY84" i="4" s="1"/>
  <c r="AU84" i="4"/>
  <c r="AV84" i="4" s="1"/>
  <c r="AX79" i="4"/>
  <c r="AY79" i="4" s="1"/>
  <c r="AU79" i="4"/>
  <c r="AV79" i="4" s="1"/>
  <c r="AU77" i="4"/>
  <c r="AV77" i="4" s="1"/>
  <c r="AX77" i="4"/>
  <c r="AY77" i="4" s="1"/>
  <c r="AU70" i="4"/>
  <c r="AV70" i="4" s="1"/>
  <c r="AX70" i="4"/>
  <c r="AY70" i="4" s="1"/>
  <c r="AU23" i="4"/>
  <c r="AV23" i="4" s="1"/>
  <c r="AX23" i="4"/>
  <c r="AY23" i="4" s="1"/>
  <c r="AU44" i="4"/>
  <c r="AV44" i="4" s="1"/>
  <c r="AX44" i="4"/>
  <c r="AY44" i="4" s="1"/>
  <c r="AX108" i="4"/>
  <c r="AY108" i="4" s="1"/>
  <c r="AU108" i="4"/>
  <c r="AV108" i="4" s="1"/>
  <c r="AU38" i="4"/>
  <c r="AV38" i="4" s="1"/>
  <c r="AX38" i="4"/>
  <c r="AY38" i="4" s="1"/>
  <c r="AX103" i="4"/>
  <c r="AY103" i="4" s="1"/>
  <c r="AU103" i="4"/>
  <c r="AV103" i="4" s="1"/>
  <c r="AX18" i="4"/>
  <c r="AY18" i="4" s="1"/>
  <c r="AU18" i="4"/>
  <c r="AV18" i="4" s="1"/>
  <c r="AU101" i="4"/>
  <c r="AV101" i="4" s="1"/>
  <c r="AX101" i="4"/>
  <c r="AY101" i="4" s="1"/>
  <c r="AU22" i="4"/>
  <c r="AV22" i="4" s="1"/>
  <c r="AX22" i="4"/>
  <c r="AY22" i="4" s="1"/>
  <c r="AU94" i="4"/>
  <c r="AV94" i="4" s="1"/>
  <c r="AX94" i="4"/>
  <c r="AY94" i="4" s="1"/>
  <c r="AU8" i="4"/>
  <c r="AX8" i="4"/>
  <c r="AX95" i="4"/>
  <c r="AY95" i="4" s="1"/>
  <c r="AU95" i="4"/>
  <c r="AV95" i="4" s="1"/>
  <c r="AU86" i="4"/>
  <c r="AV86" i="4" s="1"/>
  <c r="AX86" i="4"/>
  <c r="AY86" i="4" s="1"/>
  <c r="AU33" i="4"/>
  <c r="AV33" i="4" s="1"/>
  <c r="AX33" i="4"/>
  <c r="AY33" i="4" s="1"/>
  <c r="AU65" i="4"/>
  <c r="AV65" i="4" s="1"/>
  <c r="AX65" i="4"/>
  <c r="AY65" i="4" s="1"/>
  <c r="AX129" i="4"/>
  <c r="AY129" i="4" s="1"/>
  <c r="AU129" i="4"/>
  <c r="AV129" i="4" s="1"/>
  <c r="AX58" i="4"/>
  <c r="AY58" i="4" s="1"/>
  <c r="AU58" i="4"/>
  <c r="AV58" i="4" s="1"/>
  <c r="AX122" i="4"/>
  <c r="AY122" i="4" s="1"/>
  <c r="AU122" i="4"/>
  <c r="AV122" i="4" s="1"/>
  <c r="AX56" i="4"/>
  <c r="AY56" i="4" s="1"/>
  <c r="AU56" i="4"/>
  <c r="AV56" i="4" s="1"/>
  <c r="AU120" i="4"/>
  <c r="AV120" i="4" s="1"/>
  <c r="AX120" i="4"/>
  <c r="AY120" i="4" s="1"/>
  <c r="AU51" i="4"/>
  <c r="AV51" i="4" s="1"/>
  <c r="AX51" i="4"/>
  <c r="AY51" i="4" s="1"/>
  <c r="AU115" i="4"/>
  <c r="AV115" i="4" s="1"/>
  <c r="AX115" i="4"/>
  <c r="AY115" i="4" s="1"/>
  <c r="AX132" i="4"/>
  <c r="AY132" i="4" s="1"/>
  <c r="AU132" i="4"/>
  <c r="AV132" i="4" s="1"/>
  <c r="AU109" i="4"/>
  <c r="AV109" i="4" s="1"/>
  <c r="AX109" i="4"/>
  <c r="AY109" i="4" s="1"/>
  <c r="AX29" i="4"/>
  <c r="AY29" i="4" s="1"/>
  <c r="AU29" i="4"/>
  <c r="AV29" i="4" s="1"/>
  <c r="AU57" i="4"/>
  <c r="AV57" i="4" s="1"/>
  <c r="AX57" i="4"/>
  <c r="AY57" i="4" s="1"/>
  <c r="AX121" i="4"/>
  <c r="AY121" i="4" s="1"/>
  <c r="AU121" i="4"/>
  <c r="AV121" i="4" s="1"/>
  <c r="AX50" i="4"/>
  <c r="AY50" i="4" s="1"/>
  <c r="AU50" i="4"/>
  <c r="AV50" i="4" s="1"/>
  <c r="AX114" i="4"/>
  <c r="AY114" i="4" s="1"/>
  <c r="AU114" i="4"/>
  <c r="AV114" i="4" s="1"/>
  <c r="AX48" i="4"/>
  <c r="AY48" i="4" s="1"/>
  <c r="AU48" i="4"/>
  <c r="AV48" i="4" s="1"/>
  <c r="AU112" i="4"/>
  <c r="AV112" i="4" s="1"/>
  <c r="AX112" i="4"/>
  <c r="AY112" i="4" s="1"/>
  <c r="AU43" i="4"/>
  <c r="AV43" i="4" s="1"/>
  <c r="AX43" i="4"/>
  <c r="AY43" i="4" s="1"/>
  <c r="AU107" i="4"/>
  <c r="AV107" i="4" s="1"/>
  <c r="AX107" i="4"/>
  <c r="AY107" i="4" s="1"/>
  <c r="AU27" i="4"/>
  <c r="AV27" i="4" s="1"/>
  <c r="AX27" i="4"/>
  <c r="AY27" i="4" s="1"/>
  <c r="AX116" i="4"/>
  <c r="AY116" i="4" s="1"/>
  <c r="AU116" i="4"/>
  <c r="AV116" i="4" s="1"/>
  <c r="AX127" i="4"/>
  <c r="AY127" i="4" s="1"/>
  <c r="AU127" i="4"/>
  <c r="AV127" i="4" s="1"/>
  <c r="AU125" i="4"/>
  <c r="AV125" i="4" s="1"/>
  <c r="AX125" i="4"/>
  <c r="AY125" i="4" s="1"/>
  <c r="AU118" i="4"/>
  <c r="AV118" i="4" s="1"/>
  <c r="AX118" i="4"/>
  <c r="AY118" i="4" s="1"/>
  <c r="AU31" i="4"/>
  <c r="AV31" i="4" s="1"/>
  <c r="AX31" i="4"/>
  <c r="AY31" i="4" s="1"/>
  <c r="AU60" i="4"/>
  <c r="AV60" i="4" s="1"/>
  <c r="AX60" i="4"/>
  <c r="AY60" i="4" s="1"/>
  <c r="AX124" i="4"/>
  <c r="AY124" i="4" s="1"/>
  <c r="AU124" i="4"/>
  <c r="AV124" i="4" s="1"/>
  <c r="AU55" i="4"/>
  <c r="AV55" i="4" s="1"/>
  <c r="AX55" i="4"/>
  <c r="AY55" i="4" s="1"/>
  <c r="AX119" i="4"/>
  <c r="AY119" i="4" s="1"/>
  <c r="AU119" i="4"/>
  <c r="AV119" i="4" s="1"/>
  <c r="AX53" i="4"/>
  <c r="AY53" i="4" s="1"/>
  <c r="AU53" i="4"/>
  <c r="AV53" i="4" s="1"/>
  <c r="AU117" i="4"/>
  <c r="AV117" i="4" s="1"/>
  <c r="AX117" i="4"/>
  <c r="AY117" i="4" s="1"/>
  <c r="AU46" i="4"/>
  <c r="AV46" i="4" s="1"/>
  <c r="AX46" i="4"/>
  <c r="AY46" i="4" s="1"/>
  <c r="AU110" i="4"/>
  <c r="AV110" i="4" s="1"/>
  <c r="AX110" i="4"/>
  <c r="AY110" i="4" s="1"/>
  <c r="AU30" i="4"/>
  <c r="AV30" i="4" s="1"/>
  <c r="AX30" i="4"/>
  <c r="AY30" i="4" s="1"/>
  <c r="AU9" i="4"/>
  <c r="AV9" i="4" s="1"/>
  <c r="AX9" i="4"/>
  <c r="AY9" i="4" s="1"/>
  <c r="AU150" i="4"/>
  <c r="AV150" i="4" s="1"/>
  <c r="AX150" i="4"/>
  <c r="AY150" i="4" s="1"/>
  <c r="AU41" i="4"/>
  <c r="AV41" i="4" s="1"/>
  <c r="AX41" i="4"/>
  <c r="AY41" i="4" s="1"/>
  <c r="AX81" i="4"/>
  <c r="AY81" i="4" s="1"/>
  <c r="AU81" i="4"/>
  <c r="AV81" i="4" s="1"/>
  <c r="AU145" i="4"/>
  <c r="AV145" i="4" s="1"/>
  <c r="AX145" i="4"/>
  <c r="AY145" i="4" s="1"/>
  <c r="AX74" i="4"/>
  <c r="AY74" i="4" s="1"/>
  <c r="AU74" i="4"/>
  <c r="AV74" i="4" s="1"/>
  <c r="AX138" i="4"/>
  <c r="AY138" i="4" s="1"/>
  <c r="AU138" i="4"/>
  <c r="AV138" i="4" s="1"/>
  <c r="AU72" i="4"/>
  <c r="AV72" i="4" s="1"/>
  <c r="AX72" i="4"/>
  <c r="AY72" i="4" s="1"/>
  <c r="AU136" i="4"/>
  <c r="AV136" i="4" s="1"/>
  <c r="AX136" i="4"/>
  <c r="AY136" i="4" s="1"/>
  <c r="AU67" i="4"/>
  <c r="AV67" i="4" s="1"/>
  <c r="AX67" i="4"/>
  <c r="AY67" i="4" s="1"/>
  <c r="AU131" i="4"/>
  <c r="AV131" i="4" s="1"/>
  <c r="AX131" i="4"/>
  <c r="AY131" i="4" s="1"/>
  <c r="AU19" i="4"/>
  <c r="AV19" i="4" s="1"/>
  <c r="AX19" i="4"/>
  <c r="AY19" i="4" s="1"/>
  <c r="AU47" i="4"/>
  <c r="AV47" i="4" s="1"/>
  <c r="AX47" i="4"/>
  <c r="AY47" i="4" s="1"/>
  <c r="AX40" i="4"/>
  <c r="AY40" i="4" s="1"/>
  <c r="AU40" i="4"/>
  <c r="AV40" i="4" s="1"/>
  <c r="AX37" i="4"/>
  <c r="AY37" i="4" s="1"/>
  <c r="AU37" i="4"/>
  <c r="AV37" i="4" s="1"/>
  <c r="AX73" i="4"/>
  <c r="AY73" i="4" s="1"/>
  <c r="AU73" i="4"/>
  <c r="AV73" i="4" s="1"/>
  <c r="AX137" i="4"/>
  <c r="AY137" i="4" s="1"/>
  <c r="AU137" i="4"/>
  <c r="AV137" i="4" s="1"/>
  <c r="AX66" i="4"/>
  <c r="AY66" i="4" s="1"/>
  <c r="AU66" i="4"/>
  <c r="AV66" i="4" s="1"/>
  <c r="AX130" i="4"/>
  <c r="AY130" i="4" s="1"/>
  <c r="AU130" i="4"/>
  <c r="AV130" i="4" s="1"/>
  <c r="AX64" i="4"/>
  <c r="AY64" i="4" s="1"/>
  <c r="AU64" i="4"/>
  <c r="AV64" i="4" s="1"/>
  <c r="AU128" i="4"/>
  <c r="AV128" i="4" s="1"/>
  <c r="AX128" i="4"/>
  <c r="AY128" i="4" s="1"/>
  <c r="AU59" i="4"/>
  <c r="AV59" i="4" s="1"/>
  <c r="AX59" i="4"/>
  <c r="AY59" i="4" s="1"/>
  <c r="AU123" i="4"/>
  <c r="AV123" i="4" s="1"/>
  <c r="AX123" i="4"/>
  <c r="AY123" i="4" s="1"/>
  <c r="AU20" i="4"/>
  <c r="AV20" i="4" s="1"/>
  <c r="AX20" i="4"/>
  <c r="AY20" i="4" s="1"/>
  <c r="AU148" i="4"/>
  <c r="AV148" i="4" s="1"/>
  <c r="AX148" i="4"/>
  <c r="AY148" i="4" s="1"/>
  <c r="AX143" i="4"/>
  <c r="AY143" i="4" s="1"/>
  <c r="AU143" i="4"/>
  <c r="AV143" i="4" s="1"/>
  <c r="AU141" i="4"/>
  <c r="AV141" i="4" s="1"/>
  <c r="AX141" i="4"/>
  <c r="AY141" i="4" s="1"/>
  <c r="AU134" i="4"/>
  <c r="AV134" i="4" s="1"/>
  <c r="AX134" i="4"/>
  <c r="AY134" i="4" s="1"/>
  <c r="AU39" i="4"/>
  <c r="AV39" i="4" s="1"/>
  <c r="AX39" i="4"/>
  <c r="AY39" i="4" s="1"/>
  <c r="AX76" i="4"/>
  <c r="AY76" i="4" s="1"/>
  <c r="AU76" i="4"/>
  <c r="AV76" i="4" s="1"/>
  <c r="AX140" i="4"/>
  <c r="AY140" i="4" s="1"/>
  <c r="AU140" i="4"/>
  <c r="AV140" i="4" s="1"/>
  <c r="AX71" i="4"/>
  <c r="AY71" i="4" s="1"/>
  <c r="AU71" i="4"/>
  <c r="AV71" i="4" s="1"/>
  <c r="AX135" i="4"/>
  <c r="AY135" i="4" s="1"/>
  <c r="AU135" i="4"/>
  <c r="AV135" i="4" s="1"/>
  <c r="AU69" i="4"/>
  <c r="AV69" i="4" s="1"/>
  <c r="AX69" i="4"/>
  <c r="AY69" i="4" s="1"/>
  <c r="AU133" i="4"/>
  <c r="AV133" i="4" s="1"/>
  <c r="AX133" i="4"/>
  <c r="AY133" i="4" s="1"/>
  <c r="AU62" i="4"/>
  <c r="AV62" i="4" s="1"/>
  <c r="AX62" i="4"/>
  <c r="AY62" i="4" s="1"/>
  <c r="AU126" i="4"/>
  <c r="AV126" i="4" s="1"/>
  <c r="AX126" i="4"/>
  <c r="AY126" i="4" s="1"/>
  <c r="AX100" i="4"/>
  <c r="AY100" i="4" s="1"/>
  <c r="AU100" i="4"/>
  <c r="AV100" i="4" s="1"/>
  <c r="AU93" i="4"/>
  <c r="AV93" i="4" s="1"/>
  <c r="AX93" i="4"/>
  <c r="AY93" i="4" s="1"/>
  <c r="AU17" i="4"/>
  <c r="AV17" i="4" s="1"/>
  <c r="AX17" i="4"/>
  <c r="AY17" i="4" s="1"/>
  <c r="AX16" i="4"/>
  <c r="AY16" i="4" s="1"/>
  <c r="AU16" i="4"/>
  <c r="AV16" i="4" s="1"/>
  <c r="AX97" i="4"/>
  <c r="AY97" i="4" s="1"/>
  <c r="AU97" i="4"/>
  <c r="AV97" i="4" s="1"/>
  <c r="AU11" i="4"/>
  <c r="AV11" i="4" s="1"/>
  <c r="AX11" i="4"/>
  <c r="AY11" i="4" s="1"/>
  <c r="AX90" i="4"/>
  <c r="AY90" i="4" s="1"/>
  <c r="AU90" i="4"/>
  <c r="AV90" i="4" s="1"/>
  <c r="AX154" i="4"/>
  <c r="AY154" i="4" s="1"/>
  <c r="AU154" i="4"/>
  <c r="AV154" i="4" s="1"/>
  <c r="AU88" i="4"/>
  <c r="AV88" i="4" s="1"/>
  <c r="AX88" i="4"/>
  <c r="AY88" i="4" s="1"/>
  <c r="AU152" i="4"/>
  <c r="AV152" i="4" s="1"/>
  <c r="AX152" i="4"/>
  <c r="AY152" i="4" s="1"/>
  <c r="AU83" i="4"/>
  <c r="AV83" i="4" s="1"/>
  <c r="AX83" i="4"/>
  <c r="AY83" i="4" s="1"/>
  <c r="AU147" i="4"/>
  <c r="AV147" i="4" s="1"/>
  <c r="AX147" i="4"/>
  <c r="AY147" i="4" s="1"/>
  <c r="AU35" i="4"/>
  <c r="AV35" i="4" s="1"/>
  <c r="AX35" i="4"/>
  <c r="AY35" i="4" s="1"/>
  <c r="AX111" i="4"/>
  <c r="AY111" i="4" s="1"/>
  <c r="AU111" i="4"/>
  <c r="AV111" i="4" s="1"/>
  <c r="AU102" i="4"/>
  <c r="AV102" i="4" s="1"/>
  <c r="AX102" i="4"/>
  <c r="AY102" i="4" s="1"/>
  <c r="AU28" i="4"/>
  <c r="AV28" i="4" s="1"/>
  <c r="AX28" i="4"/>
  <c r="AY28" i="4" s="1"/>
  <c r="AX89" i="4"/>
  <c r="AY89" i="4" s="1"/>
  <c r="AU89" i="4"/>
  <c r="AV89" i="4" s="1"/>
  <c r="AU153" i="4"/>
  <c r="AV153" i="4" s="1"/>
  <c r="AX153" i="4"/>
  <c r="AY153" i="4" s="1"/>
  <c r="AX82" i="4"/>
  <c r="AY82" i="4" s="1"/>
  <c r="AU82" i="4"/>
  <c r="AV82" i="4" s="1"/>
  <c r="AX146" i="4"/>
  <c r="AY146" i="4" s="1"/>
  <c r="AU146" i="4"/>
  <c r="AV146" i="4" s="1"/>
  <c r="AU80" i="4"/>
  <c r="AV80" i="4" s="1"/>
  <c r="AX80" i="4"/>
  <c r="AY80" i="4" s="1"/>
  <c r="AU144" i="4"/>
  <c r="AV144" i="4" s="1"/>
  <c r="AX144" i="4"/>
  <c r="AY144" i="4" s="1"/>
  <c r="AU75" i="4"/>
  <c r="AV75" i="4" s="1"/>
  <c r="AX75" i="4"/>
  <c r="AY75" i="4" s="1"/>
  <c r="AU139" i="4"/>
  <c r="AV139" i="4" s="1"/>
  <c r="AX139" i="4"/>
  <c r="AY139" i="4" s="1"/>
  <c r="AU52" i="4"/>
  <c r="AV52" i="4" s="1"/>
  <c r="AX52" i="4"/>
  <c r="AY52" i="4" s="1"/>
  <c r="AU63" i="4"/>
  <c r="AV63" i="4" s="1"/>
  <c r="AX63" i="4"/>
  <c r="AY63" i="4" s="1"/>
  <c r="AX61" i="4"/>
  <c r="AY61" i="4" s="1"/>
  <c r="AU61" i="4"/>
  <c r="AV61" i="4" s="1"/>
  <c r="AU54" i="4"/>
  <c r="AV54" i="4" s="1"/>
  <c r="AX54" i="4"/>
  <c r="AY54" i="4" s="1"/>
  <c r="U7" i="4"/>
  <c r="V7" i="4" s="1"/>
  <c r="AI7" i="4"/>
  <c r="BW144" i="4"/>
  <c r="BR144" i="4"/>
  <c r="BT144" i="4" s="1"/>
  <c r="BG144" i="4"/>
  <c r="BR112" i="4"/>
  <c r="BT112" i="4" s="1"/>
  <c r="BG112" i="4"/>
  <c r="BG80" i="4"/>
  <c r="BR80" i="4"/>
  <c r="BT80" i="4" s="1"/>
  <c r="BG48" i="4"/>
  <c r="BR48" i="4"/>
  <c r="BT48" i="4" s="1"/>
  <c r="BG18" i="4"/>
  <c r="BR18" i="4"/>
  <c r="BT18" i="4" s="1"/>
  <c r="BR146" i="4"/>
  <c r="BT146" i="4" s="1"/>
  <c r="BG146" i="4"/>
  <c r="BG114" i="4"/>
  <c r="BR114" i="4"/>
  <c r="BT114" i="4" s="1"/>
  <c r="BG82" i="4"/>
  <c r="BR82" i="4"/>
  <c r="BT82" i="4" s="1"/>
  <c r="BG50" i="4"/>
  <c r="BR50" i="4"/>
  <c r="BT50" i="4" s="1"/>
  <c r="BG28" i="4"/>
  <c r="BR28" i="4"/>
  <c r="BT28" i="4" s="1"/>
  <c r="BG156" i="4"/>
  <c r="BR156" i="4"/>
  <c r="BT156" i="4" s="1"/>
  <c r="BG124" i="4"/>
  <c r="BR124" i="4"/>
  <c r="BT124" i="4" s="1"/>
  <c r="BG92" i="4"/>
  <c r="BR92" i="4"/>
  <c r="BT92" i="4" s="1"/>
  <c r="BR60" i="4"/>
  <c r="BT60" i="4" s="1"/>
  <c r="BG60" i="4"/>
  <c r="BR31" i="4"/>
  <c r="BT31" i="4" s="1"/>
  <c r="BG31" i="4"/>
  <c r="BR126" i="4"/>
  <c r="BT126" i="4" s="1"/>
  <c r="BG126" i="4"/>
  <c r="BR94" i="4"/>
  <c r="BT94" i="4" s="1"/>
  <c r="BG94" i="4"/>
  <c r="BR62" i="4"/>
  <c r="BT62" i="4" s="1"/>
  <c r="BG62" i="4"/>
  <c r="BG37" i="4"/>
  <c r="BR37" i="4"/>
  <c r="BT37" i="4" s="1"/>
  <c r="BR13" i="4"/>
  <c r="BT13" i="4" s="1"/>
  <c r="BG13" i="4"/>
  <c r="BG155" i="4"/>
  <c r="BR155" i="4"/>
  <c r="BT155" i="4" s="1"/>
  <c r="BW147" i="4"/>
  <c r="BG147" i="4"/>
  <c r="BR147" i="4"/>
  <c r="BT147" i="4" s="1"/>
  <c r="BG139" i="4"/>
  <c r="BR139" i="4"/>
  <c r="BT139" i="4" s="1"/>
  <c r="BG131" i="4"/>
  <c r="BR131" i="4"/>
  <c r="BT131" i="4" s="1"/>
  <c r="BG123" i="4"/>
  <c r="BR123" i="4"/>
  <c r="BT123" i="4" s="1"/>
  <c r="BG115" i="4"/>
  <c r="BR115" i="4"/>
  <c r="BT115" i="4" s="1"/>
  <c r="BG107" i="4"/>
  <c r="BR107" i="4"/>
  <c r="BT107" i="4" s="1"/>
  <c r="BG99" i="4"/>
  <c r="BR99" i="4"/>
  <c r="BT99" i="4" s="1"/>
  <c r="BG91" i="4"/>
  <c r="BR91" i="4"/>
  <c r="BT91" i="4" s="1"/>
  <c r="BG83" i="4"/>
  <c r="BR83" i="4"/>
  <c r="BT83" i="4" s="1"/>
  <c r="BG75" i="4"/>
  <c r="BR75" i="4"/>
  <c r="BT75" i="4" s="1"/>
  <c r="BG67" i="4"/>
  <c r="BR67" i="4"/>
  <c r="BT67" i="4" s="1"/>
  <c r="BG59" i="4"/>
  <c r="BR59" i="4"/>
  <c r="BT59" i="4" s="1"/>
  <c r="BG51" i="4"/>
  <c r="BR51" i="4"/>
  <c r="BT51" i="4" s="1"/>
  <c r="BG43" i="4"/>
  <c r="BR43" i="4"/>
  <c r="BT43" i="4" s="1"/>
  <c r="BW30" i="4"/>
  <c r="BG30" i="4"/>
  <c r="BR30" i="4"/>
  <c r="BT30" i="4" s="1"/>
  <c r="BG152" i="4"/>
  <c r="BR152" i="4"/>
  <c r="BT152" i="4" s="1"/>
  <c r="BR120" i="4"/>
  <c r="BT120" i="4" s="1"/>
  <c r="BG120" i="4"/>
  <c r="BR88" i="4"/>
  <c r="BT88" i="4" s="1"/>
  <c r="BG88" i="4"/>
  <c r="BR56" i="4"/>
  <c r="BT56" i="4" s="1"/>
  <c r="BG56" i="4"/>
  <c r="BG29" i="4"/>
  <c r="BR29" i="4"/>
  <c r="BT29" i="4" s="1"/>
  <c r="BG154" i="4"/>
  <c r="BR154" i="4"/>
  <c r="BT154" i="4" s="1"/>
  <c r="BG122" i="4"/>
  <c r="BR122" i="4"/>
  <c r="BT122" i="4" s="1"/>
  <c r="BG90" i="4"/>
  <c r="BR90" i="4"/>
  <c r="BT90" i="4" s="1"/>
  <c r="BG58" i="4"/>
  <c r="BR58" i="4"/>
  <c r="BT58" i="4" s="1"/>
  <c r="BG35" i="4"/>
  <c r="BR35" i="4"/>
  <c r="BT35" i="4" s="1"/>
  <c r="BG14" i="4"/>
  <c r="BR14" i="4"/>
  <c r="BT14" i="4" s="1"/>
  <c r="BG132" i="4"/>
  <c r="BR132" i="4"/>
  <c r="BT132" i="4" s="1"/>
  <c r="BG100" i="4"/>
  <c r="BR100" i="4"/>
  <c r="BT100" i="4" s="1"/>
  <c r="BG68" i="4"/>
  <c r="BR68" i="4"/>
  <c r="BT68" i="4" s="1"/>
  <c r="BR34" i="4"/>
  <c r="BT34" i="4" s="1"/>
  <c r="BG34" i="4"/>
  <c r="BR16" i="4"/>
  <c r="BT16" i="4" s="1"/>
  <c r="BG16" i="4"/>
  <c r="BG134" i="4"/>
  <c r="BR134" i="4"/>
  <c r="BT134" i="4" s="1"/>
  <c r="BG102" i="4"/>
  <c r="BR102" i="4"/>
  <c r="BT102" i="4" s="1"/>
  <c r="BG70" i="4"/>
  <c r="BR70" i="4"/>
  <c r="BT70" i="4" s="1"/>
  <c r="BG40" i="4"/>
  <c r="BR40" i="4"/>
  <c r="BT40" i="4" s="1"/>
  <c r="BG19" i="4"/>
  <c r="BR19" i="4"/>
  <c r="BT19" i="4" s="1"/>
  <c r="BG157" i="4"/>
  <c r="BR157" i="4"/>
  <c r="BT157" i="4" s="1"/>
  <c r="BG149" i="4"/>
  <c r="BR149" i="4"/>
  <c r="BT149" i="4" s="1"/>
  <c r="BG141" i="4"/>
  <c r="BR141" i="4"/>
  <c r="BT141" i="4" s="1"/>
  <c r="BG133" i="4"/>
  <c r="BR133" i="4"/>
  <c r="BT133" i="4" s="1"/>
  <c r="BG125" i="4"/>
  <c r="BR125" i="4"/>
  <c r="BT125" i="4" s="1"/>
  <c r="BG117" i="4"/>
  <c r="BR117" i="4"/>
  <c r="BT117" i="4" s="1"/>
  <c r="BG109" i="4"/>
  <c r="BR109" i="4"/>
  <c r="BT109" i="4" s="1"/>
  <c r="BG101" i="4"/>
  <c r="BR101" i="4"/>
  <c r="BT101" i="4" s="1"/>
  <c r="BG93" i="4"/>
  <c r="BR93" i="4"/>
  <c r="BT93" i="4" s="1"/>
  <c r="BG85" i="4"/>
  <c r="BR85" i="4"/>
  <c r="BT85" i="4" s="1"/>
  <c r="BG77" i="4"/>
  <c r="BR77" i="4"/>
  <c r="BT77" i="4" s="1"/>
  <c r="BR69" i="4"/>
  <c r="BT69" i="4" s="1"/>
  <c r="BG69" i="4"/>
  <c r="BG61" i="4"/>
  <c r="BR61" i="4"/>
  <c r="BT61" i="4" s="1"/>
  <c r="BG53" i="4"/>
  <c r="BR53" i="4"/>
  <c r="BT53" i="4" s="1"/>
  <c r="BG45" i="4"/>
  <c r="BR45" i="4"/>
  <c r="BT45" i="4" s="1"/>
  <c r="BR33" i="4"/>
  <c r="BT33" i="4" s="1"/>
  <c r="BG33" i="4"/>
  <c r="BR17" i="4"/>
  <c r="BT17" i="4" s="1"/>
  <c r="BG17" i="4"/>
  <c r="BG136" i="4"/>
  <c r="BR136" i="4"/>
  <c r="BT136" i="4" s="1"/>
  <c r="BG104" i="4"/>
  <c r="BR104" i="4"/>
  <c r="BT104" i="4" s="1"/>
  <c r="BG72" i="4"/>
  <c r="BR72" i="4"/>
  <c r="BT72" i="4" s="1"/>
  <c r="BG36" i="4"/>
  <c r="BR36" i="4"/>
  <c r="BT36" i="4" s="1"/>
  <c r="BW15" i="4"/>
  <c r="BR15" i="4"/>
  <c r="BT15" i="4" s="1"/>
  <c r="BG15" i="4"/>
  <c r="BR138" i="4"/>
  <c r="BT138" i="4" s="1"/>
  <c r="BG138" i="4"/>
  <c r="BG106" i="4"/>
  <c r="BR106" i="4"/>
  <c r="BT106" i="4" s="1"/>
  <c r="BW74" i="4"/>
  <c r="BR74" i="4"/>
  <c r="BT74" i="4" s="1"/>
  <c r="BG74" i="4"/>
  <c r="BG42" i="4"/>
  <c r="BR42" i="4"/>
  <c r="BT42" i="4" s="1"/>
  <c r="BR24" i="4"/>
  <c r="BT24" i="4" s="1"/>
  <c r="BG24" i="4"/>
  <c r="BR148" i="4"/>
  <c r="BT148" i="4" s="1"/>
  <c r="BG148" i="4"/>
  <c r="BG116" i="4"/>
  <c r="BR116" i="4"/>
  <c r="BT116" i="4" s="1"/>
  <c r="BR84" i="4"/>
  <c r="BT84" i="4" s="1"/>
  <c r="BG84" i="4"/>
  <c r="BG52" i="4"/>
  <c r="BR52" i="4"/>
  <c r="BT52" i="4" s="1"/>
  <c r="BG27" i="4"/>
  <c r="BR27" i="4"/>
  <c r="BT27" i="4" s="1"/>
  <c r="BW150" i="4"/>
  <c r="BG150" i="4"/>
  <c r="BR150" i="4"/>
  <c r="BT150" i="4" s="1"/>
  <c r="BR118" i="4"/>
  <c r="BT118" i="4" s="1"/>
  <c r="BG118" i="4"/>
  <c r="BG86" i="4"/>
  <c r="BR86" i="4"/>
  <c r="BT86" i="4" s="1"/>
  <c r="BR54" i="4"/>
  <c r="BT54" i="4" s="1"/>
  <c r="BG54" i="4"/>
  <c r="BG26" i="4"/>
  <c r="BR26" i="4"/>
  <c r="BT26" i="4" s="1"/>
  <c r="BG11" i="4"/>
  <c r="BR11" i="4"/>
  <c r="BT11" i="4" s="1"/>
  <c r="BG153" i="4"/>
  <c r="BR153" i="4"/>
  <c r="BT153" i="4" s="1"/>
  <c r="BG145" i="4"/>
  <c r="BR145" i="4"/>
  <c r="BT145" i="4" s="1"/>
  <c r="BR137" i="4"/>
  <c r="BT137" i="4" s="1"/>
  <c r="BG137" i="4"/>
  <c r="BG129" i="4"/>
  <c r="BR129" i="4"/>
  <c r="BT129" i="4" s="1"/>
  <c r="BG121" i="4"/>
  <c r="BR121" i="4"/>
  <c r="BT121" i="4" s="1"/>
  <c r="BG113" i="4"/>
  <c r="BR113" i="4"/>
  <c r="BT113" i="4" s="1"/>
  <c r="BR105" i="4"/>
  <c r="BT105" i="4" s="1"/>
  <c r="BG105" i="4"/>
  <c r="BR97" i="4"/>
  <c r="BT97" i="4" s="1"/>
  <c r="BG97" i="4"/>
  <c r="BG89" i="4"/>
  <c r="BR89" i="4"/>
  <c r="BT89" i="4" s="1"/>
  <c r="BG81" i="4"/>
  <c r="BR81" i="4"/>
  <c r="BT81" i="4" s="1"/>
  <c r="BR73" i="4"/>
  <c r="BT73" i="4" s="1"/>
  <c r="BG73" i="4"/>
  <c r="BG65" i="4"/>
  <c r="BR65" i="4"/>
  <c r="BT65" i="4" s="1"/>
  <c r="BG57" i="4"/>
  <c r="BR57" i="4"/>
  <c r="BT57" i="4" s="1"/>
  <c r="BG49" i="4"/>
  <c r="BR49" i="4"/>
  <c r="BT49" i="4" s="1"/>
  <c r="BW41" i="4"/>
  <c r="BR41" i="4"/>
  <c r="BT41" i="4" s="1"/>
  <c r="BG41" i="4"/>
  <c r="BG25" i="4"/>
  <c r="BR25" i="4"/>
  <c r="BT25" i="4" s="1"/>
  <c r="BG10" i="4"/>
  <c r="BR10" i="4"/>
  <c r="BT10" i="4" s="1"/>
  <c r="BG128" i="4"/>
  <c r="BR128" i="4"/>
  <c r="BT128" i="4" s="1"/>
  <c r="BG96" i="4"/>
  <c r="BR96" i="4"/>
  <c r="BT96" i="4" s="1"/>
  <c r="BG64" i="4"/>
  <c r="BR64" i="4"/>
  <c r="BT64" i="4" s="1"/>
  <c r="BR32" i="4"/>
  <c r="BT32" i="4" s="1"/>
  <c r="BG32" i="4"/>
  <c r="BR12" i="4"/>
  <c r="BT12" i="4" s="1"/>
  <c r="BG12" i="4"/>
  <c r="BG130" i="4"/>
  <c r="BR130" i="4"/>
  <c r="BT130" i="4" s="1"/>
  <c r="BR98" i="4"/>
  <c r="BT98" i="4" s="1"/>
  <c r="BG98" i="4"/>
  <c r="BG66" i="4"/>
  <c r="BR66" i="4"/>
  <c r="BT66" i="4" s="1"/>
  <c r="BR39" i="4"/>
  <c r="BT39" i="4" s="1"/>
  <c r="BG39" i="4"/>
  <c r="BG21" i="4"/>
  <c r="BR21" i="4"/>
  <c r="BT21" i="4" s="1"/>
  <c r="BG140" i="4"/>
  <c r="BR140" i="4"/>
  <c r="BT140" i="4" s="1"/>
  <c r="BG108" i="4"/>
  <c r="BR108" i="4"/>
  <c r="BT108" i="4" s="1"/>
  <c r="BG76" i="4"/>
  <c r="BR76" i="4"/>
  <c r="BT76" i="4" s="1"/>
  <c r="BG44" i="4"/>
  <c r="BR44" i="4"/>
  <c r="BT44" i="4" s="1"/>
  <c r="BR20" i="4"/>
  <c r="BT20" i="4" s="1"/>
  <c r="BG20" i="4"/>
  <c r="BG142" i="4"/>
  <c r="BR142" i="4"/>
  <c r="BT142" i="4" s="1"/>
  <c r="BG110" i="4"/>
  <c r="BR110" i="4"/>
  <c r="BT110" i="4" s="1"/>
  <c r="BG78" i="4"/>
  <c r="BR78" i="4"/>
  <c r="BT78" i="4" s="1"/>
  <c r="BG46" i="4"/>
  <c r="BR46" i="4"/>
  <c r="BT46" i="4" s="1"/>
  <c r="BG23" i="4"/>
  <c r="BR23" i="4"/>
  <c r="BT23" i="4" s="1"/>
  <c r="BG9" i="4"/>
  <c r="BR9" i="4"/>
  <c r="BT9" i="4" s="1"/>
  <c r="BG151" i="4"/>
  <c r="BR151" i="4"/>
  <c r="BT151" i="4" s="1"/>
  <c r="BG143" i="4"/>
  <c r="BR143" i="4"/>
  <c r="BT143" i="4" s="1"/>
  <c r="BG135" i="4"/>
  <c r="BR135" i="4"/>
  <c r="BT135" i="4" s="1"/>
  <c r="BG127" i="4"/>
  <c r="BR127" i="4"/>
  <c r="BT127" i="4" s="1"/>
  <c r="BG119" i="4"/>
  <c r="BR119" i="4"/>
  <c r="BT119" i="4" s="1"/>
  <c r="BG111" i="4"/>
  <c r="BR111" i="4"/>
  <c r="BT111" i="4" s="1"/>
  <c r="BG103" i="4"/>
  <c r="BR103" i="4"/>
  <c r="BT103" i="4" s="1"/>
  <c r="BG95" i="4"/>
  <c r="BR95" i="4"/>
  <c r="BT95" i="4" s="1"/>
  <c r="BG87" i="4"/>
  <c r="BR87" i="4"/>
  <c r="BT87" i="4" s="1"/>
  <c r="BG79" i="4"/>
  <c r="BR79" i="4"/>
  <c r="BT79" i="4" s="1"/>
  <c r="BG71" i="4"/>
  <c r="BR71" i="4"/>
  <c r="BT71" i="4" s="1"/>
  <c r="BG63" i="4"/>
  <c r="BR63" i="4"/>
  <c r="BT63" i="4" s="1"/>
  <c r="BG55" i="4"/>
  <c r="BR55" i="4"/>
  <c r="BT55" i="4" s="1"/>
  <c r="BG47" i="4"/>
  <c r="BR47" i="4"/>
  <c r="BT47" i="4" s="1"/>
  <c r="BR38" i="4"/>
  <c r="BT38" i="4" s="1"/>
  <c r="BG38" i="4"/>
  <c r="BR22" i="4"/>
  <c r="BT22" i="4" s="1"/>
  <c r="BG22" i="4"/>
  <c r="BW10" i="4"/>
  <c r="BW96" i="4"/>
  <c r="BW32" i="4"/>
  <c r="BW130" i="4"/>
  <c r="BW98" i="4"/>
  <c r="BW39" i="4"/>
  <c r="BW140" i="4"/>
  <c r="BW76" i="4"/>
  <c r="BW20" i="4"/>
  <c r="BW110" i="4"/>
  <c r="BW78" i="4"/>
  <c r="BW23" i="4"/>
  <c r="BW143" i="4"/>
  <c r="BW127" i="4"/>
  <c r="BW111" i="4"/>
  <c r="BW95" i="4"/>
  <c r="BW79" i="4"/>
  <c r="BW63" i="4"/>
  <c r="BW47" i="4"/>
  <c r="BW22" i="4"/>
  <c r="BW152" i="4"/>
  <c r="BW88" i="4"/>
  <c r="BW29" i="4"/>
  <c r="BW122" i="4"/>
  <c r="BW58" i="4"/>
  <c r="BW14" i="4"/>
  <c r="BW100" i="4"/>
  <c r="BW34" i="4"/>
  <c r="BW16" i="4"/>
  <c r="BW102" i="4"/>
  <c r="BW40" i="4"/>
  <c r="BW19" i="4"/>
  <c r="BW149" i="4"/>
  <c r="BW125" i="4"/>
  <c r="BW109" i="4"/>
  <c r="BW93" i="4"/>
  <c r="BW77" i="4"/>
  <c r="BW53" i="4"/>
  <c r="BW33" i="4"/>
  <c r="BW112" i="4"/>
  <c r="BW80" i="4"/>
  <c r="BW48" i="4"/>
  <c r="BW18" i="4"/>
  <c r="BW146" i="4"/>
  <c r="BW114" i="4"/>
  <c r="BW82" i="4"/>
  <c r="BW50" i="4"/>
  <c r="BW28" i="4"/>
  <c r="BW156" i="4"/>
  <c r="BW124" i="4"/>
  <c r="BW92" i="4"/>
  <c r="BW60" i="4"/>
  <c r="BW31" i="4"/>
  <c r="BR8" i="4"/>
  <c r="BW8" i="4"/>
  <c r="BW126" i="4"/>
  <c r="BW94" i="4"/>
  <c r="BW62" i="4"/>
  <c r="BW37" i="4"/>
  <c r="BW13" i="4"/>
  <c r="BW155" i="4"/>
  <c r="BW139" i="4"/>
  <c r="BW131" i="4"/>
  <c r="BW123" i="4"/>
  <c r="BW115" i="4"/>
  <c r="BW107" i="4"/>
  <c r="BW99" i="4"/>
  <c r="BW91" i="4"/>
  <c r="BW83" i="4"/>
  <c r="BW75" i="4"/>
  <c r="BW67" i="4"/>
  <c r="BW59" i="4"/>
  <c r="BW51" i="4"/>
  <c r="BW43" i="4"/>
  <c r="BW128" i="4"/>
  <c r="BW64" i="4"/>
  <c r="BW12" i="4"/>
  <c r="BW66" i="4"/>
  <c r="BW21" i="4"/>
  <c r="BW108" i="4"/>
  <c r="BW44" i="4"/>
  <c r="BW142" i="4"/>
  <c r="BW46" i="4"/>
  <c r="BW9" i="4"/>
  <c r="BW151" i="4"/>
  <c r="BW135" i="4"/>
  <c r="BW119" i="4"/>
  <c r="BW103" i="4"/>
  <c r="BW87" i="4"/>
  <c r="BW71" i="4"/>
  <c r="BW55" i="4"/>
  <c r="BW38" i="4"/>
  <c r="BW120" i="4"/>
  <c r="BW56" i="4"/>
  <c r="BW154" i="4"/>
  <c r="BW90" i="4"/>
  <c r="BW35" i="4"/>
  <c r="BW132" i="4"/>
  <c r="BW68" i="4"/>
  <c r="BW134" i="4"/>
  <c r="BW70" i="4"/>
  <c r="BW157" i="4"/>
  <c r="BW141" i="4"/>
  <c r="BW133" i="4"/>
  <c r="BW117" i="4"/>
  <c r="BW101" i="4"/>
  <c r="BW85" i="4"/>
  <c r="BW69" i="4"/>
  <c r="BW61" i="4"/>
  <c r="BW45" i="4"/>
  <c r="BW17" i="4"/>
  <c r="BW136" i="4"/>
  <c r="BW104" i="4"/>
  <c r="BW72" i="4"/>
  <c r="BW36" i="4"/>
  <c r="BW138" i="4"/>
  <c r="BW106" i="4"/>
  <c r="BW42" i="4"/>
  <c r="BW24" i="4"/>
  <c r="BW148" i="4"/>
  <c r="BW116" i="4"/>
  <c r="BW84" i="4"/>
  <c r="BW52" i="4"/>
  <c r="BW27" i="4"/>
  <c r="BW118" i="4"/>
  <c r="BW86" i="4"/>
  <c r="BW54" i="4"/>
  <c r="BW26" i="4"/>
  <c r="BW11" i="4"/>
  <c r="BW153" i="4"/>
  <c r="BW145" i="4"/>
  <c r="BW137" i="4"/>
  <c r="BW129" i="4"/>
  <c r="BW121" i="4"/>
  <c r="BW113" i="4"/>
  <c r="BW105" i="4"/>
  <c r="BW97" i="4"/>
  <c r="BW89" i="4"/>
  <c r="BW81" i="4"/>
  <c r="BW73" i="4"/>
  <c r="BW65" i="4"/>
  <c r="BW57" i="4"/>
  <c r="BW49" i="4"/>
  <c r="BW25" i="4"/>
  <c r="BG8" i="4"/>
  <c r="U112" i="4"/>
  <c r="U48" i="4"/>
  <c r="V48" i="4" s="1"/>
  <c r="U146" i="4"/>
  <c r="U82" i="4"/>
  <c r="U156" i="4"/>
  <c r="U92" i="4"/>
  <c r="U31" i="4"/>
  <c r="V31" i="4" s="1"/>
  <c r="U126" i="4"/>
  <c r="U62" i="4"/>
  <c r="U13" i="4"/>
  <c r="V13" i="4" s="1"/>
  <c r="U139" i="4"/>
  <c r="V139" i="4" s="1"/>
  <c r="U123" i="4"/>
  <c r="U107" i="4"/>
  <c r="U83" i="4"/>
  <c r="V83" i="4" s="1"/>
  <c r="U67" i="4"/>
  <c r="U43" i="4"/>
  <c r="V43" i="4" s="1"/>
  <c r="U136" i="4"/>
  <c r="V136" i="4" s="1"/>
  <c r="U72" i="4"/>
  <c r="V72" i="4" s="1"/>
  <c r="U15" i="4"/>
  <c r="V15" i="4" s="1"/>
  <c r="U106" i="4"/>
  <c r="U24" i="4"/>
  <c r="V24" i="4" s="1"/>
  <c r="U116" i="4"/>
  <c r="U27" i="4"/>
  <c r="V27" i="4" s="1"/>
  <c r="U86" i="4"/>
  <c r="V86" i="4" s="1"/>
  <c r="U11" i="4"/>
  <c r="V11" i="4" s="1"/>
  <c r="U145" i="4"/>
  <c r="U137" i="4"/>
  <c r="U121" i="4"/>
  <c r="V121" i="4" s="1"/>
  <c r="U105" i="4"/>
  <c r="V105" i="4" s="1"/>
  <c r="U89" i="4"/>
  <c r="U81" i="4"/>
  <c r="U65" i="4"/>
  <c r="U49" i="4"/>
  <c r="V49" i="4" s="1"/>
  <c r="U25" i="4"/>
  <c r="V25" i="4" s="1"/>
  <c r="U152" i="4"/>
  <c r="U120" i="4"/>
  <c r="U88" i="4"/>
  <c r="U56" i="4"/>
  <c r="U29" i="4"/>
  <c r="V29" i="4" s="1"/>
  <c r="U154" i="4"/>
  <c r="U122" i="4"/>
  <c r="U90" i="4"/>
  <c r="U58" i="4"/>
  <c r="V58" i="4" s="1"/>
  <c r="U35" i="4"/>
  <c r="V35" i="4" s="1"/>
  <c r="U14" i="4"/>
  <c r="V14" i="4" s="1"/>
  <c r="U132" i="4"/>
  <c r="U100" i="4"/>
  <c r="U68" i="4"/>
  <c r="U34" i="4"/>
  <c r="V34" i="4" s="1"/>
  <c r="U16" i="4"/>
  <c r="V16" i="4" s="1"/>
  <c r="U134" i="4"/>
  <c r="V134" i="4" s="1"/>
  <c r="U102" i="4"/>
  <c r="U70" i="4"/>
  <c r="V70" i="4" s="1"/>
  <c r="U40" i="4"/>
  <c r="U19" i="4"/>
  <c r="V19" i="4" s="1"/>
  <c r="U157" i="4"/>
  <c r="U149" i="4"/>
  <c r="V149" i="4" s="1"/>
  <c r="U141" i="4"/>
  <c r="V141" i="4" s="1"/>
  <c r="U133" i="4"/>
  <c r="U125" i="4"/>
  <c r="V125" i="4" s="1"/>
  <c r="U117" i="4"/>
  <c r="V117" i="4" s="1"/>
  <c r="U109" i="4"/>
  <c r="V109" i="4" s="1"/>
  <c r="U101" i="4"/>
  <c r="V101" i="4" s="1"/>
  <c r="U93" i="4"/>
  <c r="V93" i="4" s="1"/>
  <c r="U85" i="4"/>
  <c r="V85" i="4" s="1"/>
  <c r="U77" i="4"/>
  <c r="V77" i="4" s="1"/>
  <c r="U69" i="4"/>
  <c r="U61" i="4"/>
  <c r="U53" i="4"/>
  <c r="V53" i="4" s="1"/>
  <c r="U45" i="4"/>
  <c r="U33" i="4"/>
  <c r="V33" i="4" s="1"/>
  <c r="U17" i="4"/>
  <c r="V17" i="4" s="1"/>
  <c r="U144" i="4"/>
  <c r="V144" i="4" s="1"/>
  <c r="U80" i="4"/>
  <c r="V80" i="4" s="1"/>
  <c r="U18" i="4"/>
  <c r="V18" i="4" s="1"/>
  <c r="U114" i="4"/>
  <c r="U50" i="4"/>
  <c r="U28" i="4"/>
  <c r="V28" i="4" s="1"/>
  <c r="U124" i="4"/>
  <c r="U60" i="4"/>
  <c r="U8" i="4"/>
  <c r="AW8" i="4"/>
  <c r="U94" i="4"/>
  <c r="U37" i="4"/>
  <c r="U155" i="4"/>
  <c r="U147" i="4"/>
  <c r="U131" i="4"/>
  <c r="U115" i="4"/>
  <c r="V115" i="4" s="1"/>
  <c r="U99" i="4"/>
  <c r="V99" i="4" s="1"/>
  <c r="U91" i="4"/>
  <c r="U75" i="4"/>
  <c r="U59" i="4"/>
  <c r="U51" i="4"/>
  <c r="V51" i="4" s="1"/>
  <c r="U30" i="4"/>
  <c r="V30" i="4" s="1"/>
  <c r="U104" i="4"/>
  <c r="U36" i="4"/>
  <c r="V36" i="4" s="1"/>
  <c r="U138" i="4"/>
  <c r="V138" i="4" s="1"/>
  <c r="U74" i="4"/>
  <c r="U42" i="4"/>
  <c r="V42" i="4" s="1"/>
  <c r="U148" i="4"/>
  <c r="V148" i="4" s="1"/>
  <c r="U84" i="4"/>
  <c r="U52" i="4"/>
  <c r="U150" i="4"/>
  <c r="U118" i="4"/>
  <c r="V118" i="4" s="1"/>
  <c r="U54" i="4"/>
  <c r="U26" i="4"/>
  <c r="V26" i="4" s="1"/>
  <c r="U153" i="4"/>
  <c r="U129" i="4"/>
  <c r="U113" i="4"/>
  <c r="U97" i="4"/>
  <c r="U73" i="4"/>
  <c r="V73" i="4" s="1"/>
  <c r="U57" i="4"/>
  <c r="U41" i="4"/>
  <c r="U10" i="4"/>
  <c r="V10" i="4" s="1"/>
  <c r="U128" i="4"/>
  <c r="V128" i="4" s="1"/>
  <c r="U96" i="4"/>
  <c r="V96" i="4" s="1"/>
  <c r="U64" i="4"/>
  <c r="U32" i="4"/>
  <c r="V32" i="4" s="1"/>
  <c r="U12" i="4"/>
  <c r="V12" i="4" s="1"/>
  <c r="U130" i="4"/>
  <c r="U98" i="4"/>
  <c r="V98" i="4" s="1"/>
  <c r="U66" i="4"/>
  <c r="V66" i="4" s="1"/>
  <c r="U39" i="4"/>
  <c r="U21" i="4"/>
  <c r="V21" i="4" s="1"/>
  <c r="U140" i="4"/>
  <c r="U108" i="4"/>
  <c r="U76" i="4"/>
  <c r="U44" i="4"/>
  <c r="V44" i="4" s="1"/>
  <c r="U20" i="4"/>
  <c r="V20" i="4" s="1"/>
  <c r="U142" i="4"/>
  <c r="U110" i="4"/>
  <c r="U78" i="4"/>
  <c r="V78" i="4" s="1"/>
  <c r="U46" i="4"/>
  <c r="U23" i="4"/>
  <c r="V23" i="4" s="1"/>
  <c r="U9" i="4"/>
  <c r="V9" i="4" s="1"/>
  <c r="U151" i="4"/>
  <c r="V151" i="4" s="1"/>
  <c r="U143" i="4"/>
  <c r="U135" i="4"/>
  <c r="V135" i="4" s="1"/>
  <c r="U127" i="4"/>
  <c r="V127" i="4" s="1"/>
  <c r="U119" i="4"/>
  <c r="V119" i="4" s="1"/>
  <c r="U111" i="4"/>
  <c r="U103" i="4"/>
  <c r="V103" i="4" s="1"/>
  <c r="U95" i="4"/>
  <c r="V95" i="4" s="1"/>
  <c r="U87" i="4"/>
  <c r="V87" i="4" s="1"/>
  <c r="U79" i="4"/>
  <c r="U71" i="4"/>
  <c r="V71" i="4" s="1"/>
  <c r="U63" i="4"/>
  <c r="V63" i="4" s="1"/>
  <c r="U55" i="4"/>
  <c r="V55" i="4" s="1"/>
  <c r="U47" i="4"/>
  <c r="U38" i="4"/>
  <c r="V38" i="4" s="1"/>
  <c r="U22" i="4"/>
  <c r="V22" i="4" s="1"/>
  <c r="T157" i="4"/>
  <c r="T136" i="4"/>
  <c r="T72" i="4"/>
  <c r="T15" i="4"/>
  <c r="T74" i="4"/>
  <c r="T148" i="4"/>
  <c r="T116" i="4"/>
  <c r="T27" i="4"/>
  <c r="T118" i="4"/>
  <c r="T54" i="4"/>
  <c r="T153" i="4"/>
  <c r="T137" i="4"/>
  <c r="T113" i="4"/>
  <c r="T97" i="4"/>
  <c r="T81" i="4"/>
  <c r="T57" i="4"/>
  <c r="T41" i="4"/>
  <c r="BW7" i="4"/>
  <c r="T7" i="4"/>
  <c r="T144" i="4"/>
  <c r="T112" i="4"/>
  <c r="T80" i="4"/>
  <c r="T48" i="4"/>
  <c r="T18" i="4"/>
  <c r="T146" i="4"/>
  <c r="T114" i="4"/>
  <c r="T82" i="4"/>
  <c r="T50" i="4"/>
  <c r="T28" i="4"/>
  <c r="T156" i="4"/>
  <c r="T124" i="4"/>
  <c r="T92" i="4"/>
  <c r="T60" i="4"/>
  <c r="T31" i="4"/>
  <c r="T8" i="4"/>
  <c r="T126" i="4"/>
  <c r="T94" i="4"/>
  <c r="T62" i="4"/>
  <c r="T37" i="4"/>
  <c r="T13" i="4"/>
  <c r="T155" i="4"/>
  <c r="T147" i="4"/>
  <c r="T139" i="4"/>
  <c r="T131" i="4"/>
  <c r="T123" i="4"/>
  <c r="T115" i="4"/>
  <c r="T107" i="4"/>
  <c r="T99" i="4"/>
  <c r="T91" i="4"/>
  <c r="T83" i="4"/>
  <c r="T75" i="4"/>
  <c r="T67" i="4"/>
  <c r="T59" i="4"/>
  <c r="T51" i="4"/>
  <c r="T43" i="4"/>
  <c r="T30" i="4"/>
  <c r="T36" i="4"/>
  <c r="T106" i="4"/>
  <c r="T24" i="4"/>
  <c r="T52" i="4"/>
  <c r="T86" i="4"/>
  <c r="T11" i="4"/>
  <c r="T129" i="4"/>
  <c r="T105" i="4"/>
  <c r="T73" i="4"/>
  <c r="T49" i="4"/>
  <c r="T10" i="4"/>
  <c r="T128" i="4"/>
  <c r="T96" i="4"/>
  <c r="T64" i="4"/>
  <c r="T32" i="4"/>
  <c r="T12" i="4"/>
  <c r="T130" i="4"/>
  <c r="T98" i="4"/>
  <c r="T66" i="4"/>
  <c r="T39" i="4"/>
  <c r="T21" i="4"/>
  <c r="T140" i="4"/>
  <c r="T108" i="4"/>
  <c r="T76" i="4"/>
  <c r="T44" i="4"/>
  <c r="T20" i="4"/>
  <c r="T142" i="4"/>
  <c r="T110" i="4"/>
  <c r="T78" i="4"/>
  <c r="T46" i="4"/>
  <c r="T23" i="4"/>
  <c r="T9" i="4"/>
  <c r="T151" i="4"/>
  <c r="T143" i="4"/>
  <c r="T135" i="4"/>
  <c r="T127" i="4"/>
  <c r="T119" i="4"/>
  <c r="T111" i="4"/>
  <c r="T103" i="4"/>
  <c r="T95" i="4"/>
  <c r="T87" i="4"/>
  <c r="T79" i="4"/>
  <c r="T71" i="4"/>
  <c r="T63" i="4"/>
  <c r="T55" i="4"/>
  <c r="T47" i="4"/>
  <c r="T38" i="4"/>
  <c r="T22" i="4"/>
  <c r="T104" i="4"/>
  <c r="T138" i="4"/>
  <c r="T42" i="4"/>
  <c r="T84" i="4"/>
  <c r="T150" i="4"/>
  <c r="T26" i="4"/>
  <c r="T145" i="4"/>
  <c r="T121" i="4"/>
  <c r="T89" i="4"/>
  <c r="T65" i="4"/>
  <c r="T25" i="4"/>
  <c r="T152" i="4"/>
  <c r="T120" i="4"/>
  <c r="T88" i="4"/>
  <c r="T56" i="4"/>
  <c r="T29" i="4"/>
  <c r="T154" i="4"/>
  <c r="T122" i="4"/>
  <c r="T90" i="4"/>
  <c r="T58" i="4"/>
  <c r="T35" i="4"/>
  <c r="T14" i="4"/>
  <c r="T132" i="4"/>
  <c r="T100" i="4"/>
  <c r="T68" i="4"/>
  <c r="T34" i="4"/>
  <c r="T16" i="4"/>
  <c r="T134" i="4"/>
  <c r="T102" i="4"/>
  <c r="T70" i="4"/>
  <c r="T40" i="4"/>
  <c r="T19" i="4"/>
  <c r="T149" i="4"/>
  <c r="T141" i="4"/>
  <c r="T133" i="4"/>
  <c r="T125" i="4"/>
  <c r="T117" i="4"/>
  <c r="T109" i="4"/>
  <c r="T101" i="4"/>
  <c r="T93" i="4"/>
  <c r="T85" i="4"/>
  <c r="T77" i="4"/>
  <c r="T69" i="4"/>
  <c r="T61" i="4"/>
  <c r="T53" i="4"/>
  <c r="T45" i="4"/>
  <c r="T33" i="4"/>
  <c r="T17" i="4"/>
  <c r="B42" i="10"/>
  <c r="Q231" i="10" s="1"/>
  <c r="V10" i="10"/>
  <c r="U10" i="10"/>
  <c r="AH10" i="10"/>
  <c r="AI10" i="10"/>
  <c r="W10" i="10"/>
  <c r="W7" i="10"/>
  <c r="W8" i="10"/>
  <c r="W544" i="10"/>
  <c r="W540" i="10"/>
  <c r="W539" i="10"/>
  <c r="W543" i="10"/>
  <c r="W519" i="10"/>
  <c r="W515" i="10"/>
  <c r="W503" i="10"/>
  <c r="W499" i="10"/>
  <c r="W495" i="10"/>
  <c r="W538" i="10"/>
  <c r="W518" i="10"/>
  <c r="W498" i="10"/>
  <c r="W486" i="10"/>
  <c r="W489" i="10"/>
  <c r="W479" i="10"/>
  <c r="W475" i="10"/>
  <c r="W452" i="10"/>
  <c r="W448" i="10"/>
  <c r="W444" i="10"/>
  <c r="W440" i="10"/>
  <c r="W434" i="10"/>
  <c r="W494" i="10"/>
  <c r="W467" i="10"/>
  <c r="W459" i="10"/>
  <c r="W463" i="10"/>
  <c r="W455" i="10"/>
  <c r="W385" i="10"/>
  <c r="W383" i="10"/>
  <c r="W379" i="10"/>
  <c r="W375" i="10"/>
  <c r="W371" i="10"/>
  <c r="W429" i="10"/>
  <c r="W425" i="10"/>
  <c r="W421" i="10"/>
  <c r="W417" i="10"/>
  <c r="W413" i="10"/>
  <c r="W409" i="10"/>
  <c r="W405" i="10"/>
  <c r="W401" i="10"/>
  <c r="W397" i="10"/>
  <c r="W393" i="10"/>
  <c r="W389" i="10"/>
  <c r="W387" i="10"/>
  <c r="W367" i="10"/>
  <c r="W363" i="10"/>
  <c r="W306" i="10"/>
  <c r="W302" i="10"/>
  <c r="W298" i="10"/>
  <c r="W294" i="10"/>
  <c r="W290" i="10"/>
  <c r="W286" i="10"/>
  <c r="W282" i="10"/>
  <c r="W278" i="10"/>
  <c r="W274" i="10"/>
  <c r="W270" i="10"/>
  <c r="W266" i="10"/>
  <c r="W262" i="10"/>
  <c r="W258" i="10"/>
  <c r="W254" i="10"/>
  <c r="W250" i="10"/>
  <c r="W246" i="10"/>
  <c r="W241" i="10"/>
  <c r="W237" i="10"/>
  <c r="W233" i="10"/>
  <c r="W229" i="10"/>
  <c r="W225" i="10"/>
  <c r="W221" i="10"/>
  <c r="W217" i="10"/>
  <c r="W213" i="10"/>
  <c r="W209" i="10"/>
  <c r="W244" i="10"/>
  <c r="W240" i="10"/>
  <c r="W236" i="10"/>
  <c r="W232" i="10"/>
  <c r="W228" i="10"/>
  <c r="W224" i="10"/>
  <c r="W220" i="10"/>
  <c r="W216" i="10"/>
  <c r="W212" i="10"/>
  <c r="W193" i="10"/>
  <c r="W189" i="10"/>
  <c r="W185" i="10"/>
  <c r="W181" i="10"/>
  <c r="W177" i="10"/>
  <c r="W173" i="10"/>
  <c r="W169" i="10"/>
  <c r="W165" i="10"/>
  <c r="W201" i="10"/>
  <c r="W162" i="10"/>
  <c r="W154" i="10"/>
  <c r="W102" i="10"/>
  <c r="W192" i="10"/>
  <c r="W188" i="10"/>
  <c r="W184" i="10"/>
  <c r="W180" i="10"/>
  <c r="W176" i="10"/>
  <c r="W172" i="10"/>
  <c r="W168" i="10"/>
  <c r="W164" i="10"/>
  <c r="B46" i="10"/>
  <c r="W142" i="10"/>
  <c r="W138" i="10"/>
  <c r="W126" i="10"/>
  <c r="W118" i="10"/>
  <c r="W110" i="10"/>
  <c r="W106" i="10"/>
  <c r="W242" i="10"/>
  <c r="W238" i="10"/>
  <c r="W234" i="10"/>
  <c r="W230" i="10"/>
  <c r="W226" i="10"/>
  <c r="W222" i="10"/>
  <c r="W218" i="10"/>
  <c r="W214" i="10"/>
  <c r="W210" i="10"/>
  <c r="W205" i="10"/>
  <c r="W197" i="10"/>
  <c r="W61" i="10"/>
  <c r="W158" i="10"/>
  <c r="W150" i="10"/>
  <c r="W146" i="10"/>
  <c r="W134" i="10"/>
  <c r="W130" i="10"/>
  <c r="W122" i="10"/>
  <c r="W114" i="10"/>
  <c r="W40" i="10"/>
  <c r="W37" i="10"/>
  <c r="W34" i="10"/>
  <c r="W27" i="10"/>
  <c r="O9" i="10"/>
  <c r="W32" i="10"/>
  <c r="W30" i="10"/>
  <c r="W21" i="10"/>
  <c r="W200" i="10"/>
  <c r="W69" i="10"/>
  <c r="W74" i="10"/>
  <c r="W90" i="10"/>
  <c r="W47" i="10"/>
  <c r="W23" i="10"/>
  <c r="W31" i="10"/>
  <c r="W43" i="10"/>
  <c r="W58" i="10"/>
  <c r="W49" i="10"/>
  <c r="W22" i="10"/>
  <c r="W33" i="10"/>
  <c r="W46" i="10"/>
  <c r="W80" i="10"/>
  <c r="W96" i="10"/>
  <c r="W204" i="10"/>
  <c r="W65" i="10"/>
  <c r="W75" i="10"/>
  <c r="W91" i="10"/>
  <c r="W147" i="10"/>
  <c r="W163" i="10"/>
  <c r="W73" i="10"/>
  <c r="W89" i="10"/>
  <c r="W101" i="10"/>
  <c r="W109" i="10"/>
  <c r="W117" i="10"/>
  <c r="W125" i="10"/>
  <c r="W133" i="10"/>
  <c r="W149" i="10"/>
  <c r="W198" i="10"/>
  <c r="W206" i="10"/>
  <c r="W373" i="10"/>
  <c r="W171" i="10"/>
  <c r="W187" i="10"/>
  <c r="W203" i="10"/>
  <c r="W219" i="10"/>
  <c r="W235" i="10"/>
  <c r="W316" i="10"/>
  <c r="W332" i="10"/>
  <c r="W348" i="10"/>
  <c r="W310" i="10"/>
  <c r="W318" i="10"/>
  <c r="W326" i="10"/>
  <c r="W334" i="10"/>
  <c r="W342" i="10"/>
  <c r="W350" i="10"/>
  <c r="W358" i="10"/>
  <c r="W376" i="10"/>
  <c r="W465" i="10"/>
  <c r="W247" i="10"/>
  <c r="W263" i="10"/>
  <c r="W279" i="10"/>
  <c r="W295" i="10"/>
  <c r="W403" i="10"/>
  <c r="W419" i="10"/>
  <c r="W370" i="10"/>
  <c r="W433" i="10"/>
  <c r="W442" i="10"/>
  <c r="W450" i="10"/>
  <c r="W451" i="10"/>
  <c r="W483" i="10"/>
  <c r="W476" i="10"/>
  <c r="W484" i="10"/>
  <c r="W493" i="10"/>
  <c r="W466" i="10"/>
  <c r="W474" i="10"/>
  <c r="W492" i="10"/>
  <c r="W516" i="10"/>
  <c r="W500" i="10"/>
  <c r="W527" i="10"/>
  <c r="W532" i="10"/>
  <c r="W521" i="10"/>
  <c r="W535" i="10"/>
  <c r="W533" i="10"/>
  <c r="W542" i="10"/>
  <c r="W553" i="10"/>
  <c r="W548" i="10"/>
  <c r="W557" i="10"/>
  <c r="W559" i="10"/>
  <c r="W549" i="10"/>
  <c r="W199" i="10"/>
  <c r="W368" i="10"/>
  <c r="W337" i="10"/>
  <c r="W345" i="10"/>
  <c r="W369" i="10"/>
  <c r="W259" i="10"/>
  <c r="W307" i="10"/>
  <c r="W331" i="10"/>
  <c r="W399" i="10"/>
  <c r="W388" i="10"/>
  <c r="W420" i="10"/>
  <c r="W382" i="10"/>
  <c r="W406" i="10"/>
  <c r="W456" i="10"/>
  <c r="W485" i="10"/>
  <c r="W462" i="10"/>
  <c r="W508" i="10"/>
  <c r="W526" i="10"/>
  <c r="W555" i="10"/>
  <c r="W42" i="10"/>
  <c r="W208" i="10"/>
  <c r="W50" i="10"/>
  <c r="W54" i="10"/>
  <c r="W57" i="10"/>
  <c r="W78" i="10"/>
  <c r="W94" i="10"/>
  <c r="W56" i="10"/>
  <c r="W64" i="10"/>
  <c r="W166" i="10"/>
  <c r="W174" i="10"/>
  <c r="W182" i="10"/>
  <c r="W190" i="10"/>
  <c r="W25" i="10"/>
  <c r="W35" i="10"/>
  <c r="W41" i="10"/>
  <c r="W24" i="10"/>
  <c r="W29" i="10"/>
  <c r="W36" i="10"/>
  <c r="W53" i="10"/>
  <c r="W84" i="10"/>
  <c r="W67" i="10"/>
  <c r="W87" i="10"/>
  <c r="W143" i="10"/>
  <c r="W159" i="10"/>
  <c r="W248" i="10"/>
  <c r="W256" i="10"/>
  <c r="W264" i="10"/>
  <c r="W272" i="10"/>
  <c r="W280" i="10"/>
  <c r="W288" i="10"/>
  <c r="W296" i="10"/>
  <c r="W100" i="10"/>
  <c r="W108" i="10"/>
  <c r="W116" i="10"/>
  <c r="W124" i="10"/>
  <c r="W132" i="10"/>
  <c r="W140" i="10"/>
  <c r="W148" i="10"/>
  <c r="W156" i="10"/>
  <c r="W77" i="10"/>
  <c r="W93" i="10"/>
  <c r="W145" i="10"/>
  <c r="W161" i="10"/>
  <c r="W245" i="10"/>
  <c r="W249" i="10"/>
  <c r="W253" i="10"/>
  <c r="W257" i="10"/>
  <c r="W261" i="10"/>
  <c r="W265" i="10"/>
  <c r="W269" i="10"/>
  <c r="W273" i="10"/>
  <c r="W277" i="10"/>
  <c r="W281" i="10"/>
  <c r="W285" i="10"/>
  <c r="W289" i="10"/>
  <c r="W293" i="10"/>
  <c r="W297" i="10"/>
  <c r="W301" i="10"/>
  <c r="W300" i="10"/>
  <c r="W175" i="10"/>
  <c r="W191" i="10"/>
  <c r="W207" i="10"/>
  <c r="W223" i="10"/>
  <c r="W239" i="10"/>
  <c r="W320" i="10"/>
  <c r="W336" i="10"/>
  <c r="W352" i="10"/>
  <c r="W364" i="10"/>
  <c r="W309" i="10"/>
  <c r="W317" i="10"/>
  <c r="W325" i="10"/>
  <c r="W333" i="10"/>
  <c r="W341" i="10"/>
  <c r="W349" i="10"/>
  <c r="W357" i="10"/>
  <c r="W365" i="10"/>
  <c r="W380" i="10"/>
  <c r="W435" i="10"/>
  <c r="W251" i="10"/>
  <c r="W267" i="10"/>
  <c r="W283" i="10"/>
  <c r="W299" i="10"/>
  <c r="W311" i="10"/>
  <c r="W319" i="10"/>
  <c r="W327" i="10"/>
  <c r="W335" i="10"/>
  <c r="W343" i="10"/>
  <c r="W351" i="10"/>
  <c r="W359" i="10"/>
  <c r="W469" i="10"/>
  <c r="W391" i="10"/>
  <c r="W407" i="10"/>
  <c r="W423" i="10"/>
  <c r="W384" i="10"/>
  <c r="W392" i="10"/>
  <c r="W400" i="10"/>
  <c r="W408" i="10"/>
  <c r="W416" i="10"/>
  <c r="W432" i="10"/>
  <c r="W436" i="10"/>
  <c r="W374" i="10"/>
  <c r="W386" i="10"/>
  <c r="W394" i="10"/>
  <c r="W402" i="10"/>
  <c r="W410" i="10"/>
  <c r="W418" i="10"/>
  <c r="W426" i="10"/>
  <c r="W437" i="10"/>
  <c r="W441" i="10"/>
  <c r="W445" i="10"/>
  <c r="W449" i="10"/>
  <c r="W453" i="10"/>
  <c r="W460" i="10"/>
  <c r="W468" i="10"/>
  <c r="W490" i="10"/>
  <c r="W439" i="10"/>
  <c r="W454" i="10"/>
  <c r="W470" i="10"/>
  <c r="W505" i="10"/>
  <c r="W497" i="10"/>
  <c r="W506" i="10"/>
  <c r="W514" i="10"/>
  <c r="W504" i="10"/>
  <c r="W523" i="10"/>
  <c r="W524" i="10"/>
  <c r="W551" i="10"/>
  <c r="W531" i="10"/>
  <c r="W550" i="10"/>
  <c r="W541" i="10"/>
  <c r="W558" i="10"/>
  <c r="W556" i="10"/>
  <c r="W153" i="10"/>
  <c r="W381" i="10"/>
  <c r="W304" i="10"/>
  <c r="W215" i="10"/>
  <c r="W312" i="10"/>
  <c r="W344" i="10"/>
  <c r="W360" i="10"/>
  <c r="W321" i="10"/>
  <c r="W291" i="10"/>
  <c r="W323" i="10"/>
  <c r="W347" i="10"/>
  <c r="W396" i="10"/>
  <c r="W390" i="10"/>
  <c r="W422" i="10"/>
  <c r="W477" i="10"/>
  <c r="W491" i="10"/>
  <c r="W501" i="10"/>
  <c r="W510" i="10"/>
  <c r="W517" i="10"/>
  <c r="W536" i="10"/>
  <c r="W537" i="10"/>
  <c r="W552" i="10"/>
  <c r="W82" i="10"/>
  <c r="W98" i="10"/>
  <c r="W66" i="10"/>
  <c r="W48" i="10"/>
  <c r="W19" i="10"/>
  <c r="W20" i="10"/>
  <c r="W44" i="10"/>
  <c r="W59" i="10"/>
  <c r="W72" i="10"/>
  <c r="W88" i="10"/>
  <c r="W196" i="10"/>
  <c r="W60" i="10"/>
  <c r="W83" i="10"/>
  <c r="W99" i="10"/>
  <c r="W103" i="10"/>
  <c r="W107" i="10"/>
  <c r="W111" i="10"/>
  <c r="W115" i="10"/>
  <c r="W119" i="10"/>
  <c r="W123" i="10"/>
  <c r="W127" i="10"/>
  <c r="W131" i="10"/>
  <c r="W139" i="10"/>
  <c r="W155" i="10"/>
  <c r="W81" i="10"/>
  <c r="W97" i="10"/>
  <c r="W105" i="10"/>
  <c r="W113" i="10"/>
  <c r="W121" i="10"/>
  <c r="W129" i="10"/>
  <c r="W141" i="10"/>
  <c r="W157" i="10"/>
  <c r="W202" i="10"/>
  <c r="W305" i="10"/>
  <c r="W377" i="10"/>
  <c r="W179" i="10"/>
  <c r="W195" i="10"/>
  <c r="W211" i="10"/>
  <c r="W227" i="10"/>
  <c r="W243" i="10"/>
  <c r="W308" i="10"/>
  <c r="W324" i="10"/>
  <c r="W340" i="10"/>
  <c r="W356" i="10"/>
  <c r="W361" i="10"/>
  <c r="W314" i="10"/>
  <c r="W322" i="10"/>
  <c r="W330" i="10"/>
  <c r="W338" i="10"/>
  <c r="W346" i="10"/>
  <c r="W354" i="10"/>
  <c r="W255" i="10"/>
  <c r="W271" i="10"/>
  <c r="W287" i="10"/>
  <c r="W303" i="10"/>
  <c r="W461" i="10"/>
  <c r="W395" i="10"/>
  <c r="W411" i="10"/>
  <c r="W427" i="10"/>
  <c r="W431" i="10"/>
  <c r="W457" i="10"/>
  <c r="W424" i="10"/>
  <c r="W428" i="10"/>
  <c r="W362" i="10"/>
  <c r="W378" i="10"/>
  <c r="W430" i="10"/>
  <c r="W502" i="10"/>
  <c r="W438" i="10"/>
  <c r="W446" i="10"/>
  <c r="W471" i="10"/>
  <c r="W443" i="10"/>
  <c r="W472" i="10"/>
  <c r="W480" i="10"/>
  <c r="W458" i="10"/>
  <c r="W482" i="10"/>
  <c r="W487" i="10"/>
  <c r="W488" i="10"/>
  <c r="W520" i="10"/>
  <c r="W513" i="10"/>
  <c r="W522" i="10"/>
  <c r="W507" i="10"/>
  <c r="W511" i="10"/>
  <c r="W534" i="10"/>
  <c r="W512" i="10"/>
  <c r="W530" i="10"/>
  <c r="W529" i="10"/>
  <c r="W546" i="10"/>
  <c r="W547" i="10"/>
  <c r="W554" i="10"/>
  <c r="W545" i="10"/>
  <c r="W45" i="10"/>
  <c r="W52" i="10"/>
  <c r="W70" i="10"/>
  <c r="W86" i="10"/>
  <c r="W62" i="10"/>
  <c r="W71" i="10"/>
  <c r="W170" i="10"/>
  <c r="W178" i="10"/>
  <c r="W186" i="10"/>
  <c r="W194" i="10"/>
  <c r="W28" i="10"/>
  <c r="W38" i="10"/>
  <c r="W39" i="10"/>
  <c r="W26" i="10"/>
  <c r="W51" i="10"/>
  <c r="W55" i="10"/>
  <c r="W68" i="10"/>
  <c r="W76" i="10"/>
  <c r="W92" i="10"/>
  <c r="W63" i="10"/>
  <c r="W79" i="10"/>
  <c r="W95" i="10"/>
  <c r="W135" i="10"/>
  <c r="W151" i="10"/>
  <c r="W252" i="10"/>
  <c r="W260" i="10"/>
  <c r="W268" i="10"/>
  <c r="W276" i="10"/>
  <c r="W284" i="10"/>
  <c r="W292" i="10"/>
  <c r="W104" i="10"/>
  <c r="W112" i="10"/>
  <c r="W120" i="10"/>
  <c r="W128" i="10"/>
  <c r="W136" i="10"/>
  <c r="W144" i="10"/>
  <c r="W152" i="10"/>
  <c r="W160" i="10"/>
  <c r="W85" i="10"/>
  <c r="W137" i="10"/>
  <c r="W167" i="10"/>
  <c r="W183" i="10"/>
  <c r="W231" i="10"/>
  <c r="W328" i="10"/>
  <c r="W313" i="10"/>
  <c r="W329" i="10"/>
  <c r="W353" i="10"/>
  <c r="W372" i="10"/>
  <c r="W275" i="10"/>
  <c r="W315" i="10"/>
  <c r="W339" i="10"/>
  <c r="W355" i="10"/>
  <c r="W415" i="10"/>
  <c r="W404" i="10"/>
  <c r="W412" i="10"/>
  <c r="W366" i="10"/>
  <c r="W398" i="10"/>
  <c r="W414" i="10"/>
  <c r="W464" i="10"/>
  <c r="W447" i="10"/>
  <c r="W473" i="10"/>
  <c r="W481" i="10"/>
  <c r="W478" i="10"/>
  <c r="W509" i="10"/>
  <c r="W496" i="10"/>
  <c r="W528" i="10"/>
  <c r="W525" i="10"/>
  <c r="W560" i="10"/>
  <c r="Q7" i="5"/>
  <c r="S7" i="5" s="1"/>
  <c r="B42" i="5"/>
  <c r="Q508" i="5" s="1"/>
  <c r="R508" i="5" s="1"/>
  <c r="B181" i="2"/>
  <c r="B260" i="2" s="1"/>
  <c r="B261" i="2" s="1"/>
  <c r="B187" i="2"/>
  <c r="B122" i="2" s="1"/>
  <c r="W7" i="5"/>
  <c r="B82" i="2"/>
  <c r="H26" i="1" s="1"/>
  <c r="B90" i="2"/>
  <c r="B86" i="2"/>
  <c r="W59" i="5"/>
  <c r="X59" i="5" s="1"/>
  <c r="W525" i="5"/>
  <c r="Y525" i="5" s="1"/>
  <c r="W376" i="5"/>
  <c r="X376" i="5" s="1"/>
  <c r="W515" i="5"/>
  <c r="Y515" i="5" s="1"/>
  <c r="W190" i="5"/>
  <c r="X190" i="5" s="1"/>
  <c r="W554" i="5"/>
  <c r="X554" i="5" s="1"/>
  <c r="W415" i="5"/>
  <c r="X415" i="5" s="1"/>
  <c r="W544" i="5"/>
  <c r="X544" i="5" s="1"/>
  <c r="W536" i="5"/>
  <c r="Y536" i="5" s="1"/>
  <c r="W339" i="5"/>
  <c r="X339" i="5" s="1"/>
  <c r="W154" i="5"/>
  <c r="X154" i="5" s="1"/>
  <c r="W448" i="5"/>
  <c r="Y448" i="5" s="1"/>
  <c r="W214" i="5"/>
  <c r="Y214" i="5" s="1"/>
  <c r="W524" i="5"/>
  <c r="X524" i="5" s="1"/>
  <c r="W373" i="5"/>
  <c r="X373" i="5" s="1"/>
  <c r="W206" i="5"/>
  <c r="X206" i="5" s="1"/>
  <c r="W107" i="5"/>
  <c r="X107" i="5" s="1"/>
  <c r="W379" i="5"/>
  <c r="X379" i="5" s="1"/>
  <c r="W464" i="5"/>
  <c r="X464" i="5" s="1"/>
  <c r="W484" i="5"/>
  <c r="Y484" i="5" s="1"/>
  <c r="W337" i="5"/>
  <c r="X337" i="5" s="1"/>
  <c r="W216" i="5"/>
  <c r="X216" i="5" s="1"/>
  <c r="W45" i="5"/>
  <c r="X45" i="5" s="1"/>
  <c r="W40" i="5"/>
  <c r="Y40" i="5" s="1"/>
  <c r="W94" i="5"/>
  <c r="Y94" i="5" s="1"/>
  <c r="W102" i="5"/>
  <c r="Y102" i="5" s="1"/>
  <c r="W132" i="5"/>
  <c r="Y132" i="5" s="1"/>
  <c r="W150" i="5"/>
  <c r="X150" i="5" s="1"/>
  <c r="W103" i="5"/>
  <c r="Y103" i="5" s="1"/>
  <c r="W194" i="5"/>
  <c r="Y194" i="5" s="1"/>
  <c r="W200" i="5"/>
  <c r="X200" i="5" s="1"/>
  <c r="W211" i="5"/>
  <c r="X211" i="5" s="1"/>
  <c r="W267" i="5"/>
  <c r="X267" i="5" s="1"/>
  <c r="W329" i="5"/>
  <c r="Y329" i="5" s="1"/>
  <c r="W273" i="5"/>
  <c r="Y273" i="5" s="1"/>
  <c r="W332" i="5"/>
  <c r="X332" i="5" s="1"/>
  <c r="W323" i="5"/>
  <c r="X323" i="5" s="1"/>
  <c r="W335" i="5"/>
  <c r="Y335" i="5" s="1"/>
  <c r="W395" i="5"/>
  <c r="X395" i="5" s="1"/>
  <c r="W320" i="5"/>
  <c r="Y320" i="5" s="1"/>
  <c r="W381" i="5"/>
  <c r="X381" i="5" s="1"/>
  <c r="W410" i="5"/>
  <c r="X410" i="5" s="1"/>
  <c r="W285" i="5"/>
  <c r="Y285" i="5" s="1"/>
  <c r="W375" i="5"/>
  <c r="Y375" i="5" s="1"/>
  <c r="W405" i="5"/>
  <c r="X405" i="5" s="1"/>
  <c r="W361" i="5"/>
  <c r="X361" i="5" s="1"/>
  <c r="W455" i="5"/>
  <c r="Y455" i="5" s="1"/>
  <c r="W479" i="5"/>
  <c r="Y479" i="5" s="1"/>
  <c r="W506" i="5"/>
  <c r="X506" i="5" s="1"/>
  <c r="W535" i="5"/>
  <c r="Y535" i="5" s="1"/>
  <c r="W411" i="5"/>
  <c r="X411" i="5" s="1"/>
  <c r="W447" i="5"/>
  <c r="Y447" i="5" s="1"/>
  <c r="W489" i="5"/>
  <c r="X489" i="5" s="1"/>
  <c r="W514" i="5"/>
  <c r="X514" i="5" s="1"/>
  <c r="W404" i="5"/>
  <c r="Y404" i="5" s="1"/>
  <c r="W460" i="5"/>
  <c r="X460" i="5" s="1"/>
  <c r="W496" i="5"/>
  <c r="Y496" i="5" s="1"/>
  <c r="W523" i="5"/>
  <c r="X523" i="5" s="1"/>
  <c r="W558" i="5"/>
  <c r="X558" i="5" s="1"/>
  <c r="W531" i="5"/>
  <c r="X531" i="5" s="1"/>
  <c r="W457" i="5"/>
  <c r="Y457" i="5" s="1"/>
  <c r="W546" i="5"/>
  <c r="Y546" i="5" s="1"/>
  <c r="W500" i="5"/>
  <c r="X500" i="5" s="1"/>
  <c r="W553" i="5"/>
  <c r="Y553" i="5" s="1"/>
  <c r="W442" i="5"/>
  <c r="Y442" i="5" s="1"/>
  <c r="W492" i="5"/>
  <c r="X492" i="5" s="1"/>
  <c r="W549" i="5"/>
  <c r="Y549" i="5" s="1"/>
  <c r="W19" i="5"/>
  <c r="Y19" i="5" s="1"/>
  <c r="W10" i="5"/>
  <c r="W44" i="5"/>
  <c r="Y44" i="5" s="1"/>
  <c r="W43" i="5"/>
  <c r="Y43" i="5" s="1"/>
  <c r="W76" i="5"/>
  <c r="X76" i="5" s="1"/>
  <c r="W66" i="5"/>
  <c r="X66" i="5" s="1"/>
  <c r="W158" i="5"/>
  <c r="X158" i="5" s="1"/>
  <c r="W128" i="5"/>
  <c r="Y128" i="5" s="1"/>
  <c r="W176" i="5"/>
  <c r="X176" i="5" s="1"/>
  <c r="W184" i="5"/>
  <c r="Y184" i="5" s="1"/>
  <c r="W248" i="5"/>
  <c r="Y248" i="5" s="1"/>
  <c r="W227" i="5"/>
  <c r="Y227" i="5" s="1"/>
  <c r="W207" i="5"/>
  <c r="Y207" i="5" s="1"/>
  <c r="W309" i="5"/>
  <c r="Y309" i="5" s="1"/>
  <c r="W255" i="5"/>
  <c r="X255" i="5" s="1"/>
  <c r="W308" i="5"/>
  <c r="X308" i="5" s="1"/>
  <c r="W292" i="5"/>
  <c r="Y292" i="5" s="1"/>
  <c r="W355" i="5"/>
  <c r="Y355" i="5" s="1"/>
  <c r="W370" i="5"/>
  <c r="Y370" i="5" s="1"/>
  <c r="W434" i="5"/>
  <c r="Y434" i="5" s="1"/>
  <c r="W366" i="5"/>
  <c r="X366" i="5" s="1"/>
  <c r="W400" i="5"/>
  <c r="Y400" i="5" s="1"/>
  <c r="W253" i="5"/>
  <c r="X253" i="5" s="1"/>
  <c r="W369" i="5"/>
  <c r="X369" i="5" s="1"/>
  <c r="W391" i="5"/>
  <c r="X391" i="5" s="1"/>
  <c r="W269" i="5"/>
  <c r="X269" i="5" s="1"/>
  <c r="W444" i="5"/>
  <c r="X444" i="5" s="1"/>
  <c r="W470" i="5"/>
  <c r="Y470" i="5" s="1"/>
  <c r="W495" i="5"/>
  <c r="Y495" i="5" s="1"/>
  <c r="W526" i="5"/>
  <c r="X526" i="5" s="1"/>
  <c r="W353" i="5"/>
  <c r="X353" i="5" s="1"/>
  <c r="W430" i="5"/>
  <c r="X430" i="5" s="1"/>
  <c r="W469" i="5"/>
  <c r="X469" i="5" s="1"/>
  <c r="W507" i="5"/>
  <c r="Y507" i="5" s="1"/>
  <c r="W365" i="5"/>
  <c r="X365" i="5" s="1"/>
  <c r="W453" i="5"/>
  <c r="Y453" i="5" s="1"/>
  <c r="W480" i="5"/>
  <c r="X480" i="5" s="1"/>
  <c r="W516" i="5"/>
  <c r="Y516" i="5" s="1"/>
  <c r="W545" i="5"/>
  <c r="X545" i="5" s="1"/>
  <c r="W462" i="5"/>
  <c r="Y462" i="5" s="1"/>
  <c r="W422" i="5"/>
  <c r="Y422" i="5" s="1"/>
  <c r="W539" i="5"/>
  <c r="X539" i="5" s="1"/>
  <c r="W474" i="5"/>
  <c r="Y474" i="5" s="1"/>
  <c r="W552" i="5"/>
  <c r="Y552" i="5" s="1"/>
  <c r="W425" i="5"/>
  <c r="X425" i="5" s="1"/>
  <c r="W482" i="5"/>
  <c r="Y482" i="5" s="1"/>
  <c r="W533" i="5"/>
  <c r="Y533" i="5" s="1"/>
  <c r="W560" i="5"/>
  <c r="Y560" i="5" s="1"/>
  <c r="W559" i="5"/>
  <c r="Y559" i="5" s="1"/>
  <c r="W459" i="5"/>
  <c r="X459" i="5" s="1"/>
  <c r="W551" i="5"/>
  <c r="Y551" i="5" s="1"/>
  <c r="W534" i="5"/>
  <c r="Y534" i="5" s="1"/>
  <c r="W439" i="5"/>
  <c r="X439" i="5" s="1"/>
  <c r="W512" i="5"/>
  <c r="Y512" i="5" s="1"/>
  <c r="W438" i="5"/>
  <c r="Y438" i="5" s="1"/>
  <c r="W502" i="5"/>
  <c r="X502" i="5" s="1"/>
  <c r="W429" i="5"/>
  <c r="X429" i="5" s="1"/>
  <c r="W520" i="5"/>
  <c r="X520" i="5" s="1"/>
  <c r="W467" i="5"/>
  <c r="X467" i="5" s="1"/>
  <c r="W236" i="5"/>
  <c r="X236" i="5" s="1"/>
  <c r="W354" i="5"/>
  <c r="X354" i="5" s="1"/>
  <c r="W398" i="5"/>
  <c r="Y398" i="5" s="1"/>
  <c r="W427" i="5"/>
  <c r="Y427" i="5" s="1"/>
  <c r="W345" i="5"/>
  <c r="X345" i="5" s="1"/>
  <c r="W301" i="5"/>
  <c r="Y301" i="5" s="1"/>
  <c r="W297" i="5"/>
  <c r="X297" i="5" s="1"/>
  <c r="W223" i="5"/>
  <c r="Y223" i="5" s="1"/>
  <c r="W181" i="5"/>
  <c r="X181" i="5" s="1"/>
  <c r="W123" i="5"/>
  <c r="Y123" i="5" s="1"/>
  <c r="W99" i="5"/>
  <c r="X99" i="5" s="1"/>
  <c r="W27" i="5"/>
  <c r="Y27" i="5" s="1"/>
  <c r="W556" i="5"/>
  <c r="X556" i="5" s="1"/>
  <c r="W452" i="5"/>
  <c r="X452" i="5" s="1"/>
  <c r="W521" i="5"/>
  <c r="X521" i="5" s="1"/>
  <c r="W486" i="5"/>
  <c r="X486" i="5" s="1"/>
  <c r="W310" i="5"/>
  <c r="Y310" i="5" s="1"/>
  <c r="W498" i="5"/>
  <c r="Y498" i="5" s="1"/>
  <c r="W431" i="5"/>
  <c r="Y431" i="5" s="1"/>
  <c r="W491" i="5"/>
  <c r="Y491" i="5" s="1"/>
  <c r="W414" i="5"/>
  <c r="Y414" i="5" s="1"/>
  <c r="W509" i="5"/>
  <c r="Y509" i="5" s="1"/>
  <c r="W461" i="5"/>
  <c r="X461" i="5" s="1"/>
  <c r="W407" i="5"/>
  <c r="X407" i="5" s="1"/>
  <c r="W305" i="5"/>
  <c r="Y305" i="5" s="1"/>
  <c r="W387" i="5"/>
  <c r="Y387" i="5" s="1"/>
  <c r="W401" i="5"/>
  <c r="W328" i="5"/>
  <c r="Y328" i="5" s="1"/>
  <c r="W277" i="5"/>
  <c r="X277" i="5" s="1"/>
  <c r="W275" i="5"/>
  <c r="Y275" i="5" s="1"/>
  <c r="W203" i="5"/>
  <c r="Y203" i="5" s="1"/>
  <c r="W139" i="5"/>
  <c r="W97" i="5"/>
  <c r="X97" i="5" s="1"/>
  <c r="W85" i="5"/>
  <c r="Y85" i="5" s="1"/>
  <c r="W34" i="5"/>
  <c r="Y34" i="5" s="1"/>
  <c r="W530" i="5"/>
  <c r="X530" i="5" s="1"/>
  <c r="W385" i="5"/>
  <c r="X385" i="5" s="1"/>
  <c r="W446" i="5"/>
  <c r="X446" i="5" s="1"/>
  <c r="W388" i="5"/>
  <c r="X388" i="5" s="1"/>
  <c r="W540" i="5"/>
  <c r="Y540" i="5" s="1"/>
  <c r="W475" i="5"/>
  <c r="Y475" i="5" s="1"/>
  <c r="W296" i="5"/>
  <c r="Y296" i="5" s="1"/>
  <c r="W466" i="5"/>
  <c r="X466" i="5" s="1"/>
  <c r="W343" i="5"/>
  <c r="X343" i="5" s="1"/>
  <c r="W490" i="5"/>
  <c r="X490" i="5" s="1"/>
  <c r="W440" i="5"/>
  <c r="X440" i="5" s="1"/>
  <c r="W390" i="5"/>
  <c r="Y390" i="5" s="1"/>
  <c r="W186" i="5"/>
  <c r="X186" i="5" s="1"/>
  <c r="W364" i="5"/>
  <c r="Y364" i="5" s="1"/>
  <c r="W360" i="5"/>
  <c r="Y360" i="5" s="1"/>
  <c r="W288" i="5"/>
  <c r="X288" i="5" s="1"/>
  <c r="W252" i="5"/>
  <c r="X252" i="5" s="1"/>
  <c r="W243" i="5"/>
  <c r="Y243" i="5" s="1"/>
  <c r="W246" i="5"/>
  <c r="X246" i="5" s="1"/>
  <c r="W164" i="5"/>
  <c r="Y164" i="5" s="1"/>
  <c r="W152" i="5"/>
  <c r="Y152" i="5" s="1"/>
  <c r="W58" i="5"/>
  <c r="Y58" i="5" s="1"/>
  <c r="W29" i="5"/>
  <c r="X29" i="5" s="1"/>
  <c r="O9" i="5"/>
  <c r="W8" i="5"/>
  <c r="W35" i="5"/>
  <c r="Y35" i="5" s="1"/>
  <c r="W21" i="5"/>
  <c r="Y21" i="5" s="1"/>
  <c r="W49" i="5"/>
  <c r="Y49" i="5" s="1"/>
  <c r="W64" i="5"/>
  <c r="Y64" i="5" s="1"/>
  <c r="W65" i="5"/>
  <c r="X65" i="5" s="1"/>
  <c r="W74" i="5"/>
  <c r="Y74" i="5" s="1"/>
  <c r="W73" i="5"/>
  <c r="Y73" i="5" s="1"/>
  <c r="W87" i="5"/>
  <c r="X87" i="5" s="1"/>
  <c r="W119" i="5"/>
  <c r="X119" i="5" s="1"/>
  <c r="W115" i="5"/>
  <c r="Y115" i="5" s="1"/>
  <c r="W110" i="5"/>
  <c r="W134" i="5"/>
  <c r="X134" i="5" s="1"/>
  <c r="W137" i="5"/>
  <c r="Y137" i="5" s="1"/>
  <c r="W171" i="5"/>
  <c r="X171" i="5" s="1"/>
  <c r="W148" i="5"/>
  <c r="X148" i="5" s="1"/>
  <c r="W202" i="5"/>
  <c r="Y202" i="5" s="1"/>
  <c r="W226" i="5"/>
  <c r="Y226" i="5" s="1"/>
  <c r="W172" i="5"/>
  <c r="X172" i="5" s="1"/>
  <c r="W209" i="5"/>
  <c r="X209" i="5" s="1"/>
  <c r="W239" i="5"/>
  <c r="X239" i="5" s="1"/>
  <c r="W229" i="5"/>
  <c r="X229" i="5" s="1"/>
  <c r="W225" i="5"/>
  <c r="Y225" i="5" s="1"/>
  <c r="W283" i="5"/>
  <c r="Y283" i="5" s="1"/>
  <c r="W315" i="5"/>
  <c r="Y315" i="5" s="1"/>
  <c r="W213" i="5"/>
  <c r="X213" i="5" s="1"/>
  <c r="W260" i="5"/>
  <c r="Y260" i="5" s="1"/>
  <c r="W279" i="5"/>
  <c r="X279" i="5" s="1"/>
  <c r="W318" i="5"/>
  <c r="X318" i="5" s="1"/>
  <c r="W251" i="5"/>
  <c r="X251" i="5" s="1"/>
  <c r="W302" i="5"/>
  <c r="Y302" i="5" s="1"/>
  <c r="W333" i="5"/>
  <c r="Y333" i="5" s="1"/>
  <c r="W268" i="5"/>
  <c r="X268" i="5" s="1"/>
  <c r="W351" i="5"/>
  <c r="Y351" i="5" s="1"/>
  <c r="W377" i="5"/>
  <c r="Y377" i="5" s="1"/>
  <c r="W412" i="5"/>
  <c r="X412" i="5" s="1"/>
  <c r="W259" i="5"/>
  <c r="Y259" i="5" s="1"/>
  <c r="W346" i="5"/>
  <c r="X346" i="5" s="1"/>
  <c r="W367" i="5"/>
  <c r="Y367" i="5" s="1"/>
  <c r="W394" i="5"/>
  <c r="X394" i="5" s="1"/>
  <c r="W403" i="5"/>
  <c r="W420" i="5"/>
  <c r="Y420" i="5" s="1"/>
  <c r="W256" i="5"/>
  <c r="Y256" i="5" s="1"/>
  <c r="W341" i="5"/>
  <c r="Y341" i="5" s="1"/>
  <c r="W371" i="5"/>
  <c r="X371" i="5" s="1"/>
  <c r="W380" i="5"/>
  <c r="X380" i="5" s="1"/>
  <c r="W393" i="5"/>
  <c r="Y393" i="5" s="1"/>
  <c r="W409" i="5"/>
  <c r="W281" i="5"/>
  <c r="X281" i="5" s="1"/>
  <c r="W423" i="5"/>
  <c r="X423" i="5" s="1"/>
  <c r="W445" i="5"/>
  <c r="Y445" i="5" s="1"/>
  <c r="W463" i="5"/>
  <c r="W473" i="5"/>
  <c r="X473" i="5" s="1"/>
  <c r="W487" i="5"/>
  <c r="X487" i="5" s="1"/>
  <c r="W497" i="5"/>
  <c r="Y497" i="5" s="1"/>
  <c r="W510" i="5"/>
  <c r="W528" i="5"/>
  <c r="Y528" i="5" s="1"/>
  <c r="W217" i="5"/>
  <c r="X217" i="5" s="1"/>
  <c r="W363" i="5"/>
  <c r="Y363" i="5" s="1"/>
  <c r="W417" i="5"/>
  <c r="X417" i="5" s="1"/>
  <c r="W441" i="5"/>
  <c r="Y441" i="5" s="1"/>
  <c r="W450" i="5"/>
  <c r="X450" i="5" s="1"/>
  <c r="W478" i="5"/>
  <c r="Y478" i="5" s="1"/>
  <c r="W494" i="5"/>
  <c r="X494" i="5" s="1"/>
  <c r="W508" i="5"/>
  <c r="Y508" i="5" s="1"/>
  <c r="W284" i="5"/>
  <c r="X284" i="5" s="1"/>
  <c r="W383" i="5"/>
  <c r="X383" i="5" s="1"/>
  <c r="W433" i="5"/>
  <c r="X433" i="5" s="1"/>
  <c r="W456" i="5"/>
  <c r="X456" i="5" s="1"/>
  <c r="W471" i="5"/>
  <c r="Y471" i="5" s="1"/>
  <c r="W483" i="5"/>
  <c r="Y483" i="5" s="1"/>
  <c r="W501" i="5"/>
  <c r="Y501" i="5" s="1"/>
  <c r="W517" i="5"/>
  <c r="W527" i="5"/>
  <c r="X527" i="5" s="1"/>
  <c r="W550" i="5"/>
  <c r="Y550" i="5" s="1"/>
  <c r="W435" i="5"/>
  <c r="Y435" i="5" s="1"/>
  <c r="W468" i="5"/>
  <c r="Y468" i="5" s="1"/>
  <c r="W557" i="5"/>
  <c r="Y557" i="5" s="1"/>
  <c r="W424" i="5"/>
  <c r="X424" i="5" s="1"/>
  <c r="W511" i="5"/>
  <c r="W541" i="5"/>
  <c r="Y541" i="5" s="1"/>
  <c r="W538" i="5"/>
  <c r="Y538" i="5" s="1"/>
  <c r="W477" i="5"/>
  <c r="X477" i="5" s="1"/>
  <c r="W522" i="5"/>
  <c r="W41" i="5"/>
  <c r="X41" i="5" s="1"/>
  <c r="W31" i="5"/>
  <c r="Y31" i="5" s="1"/>
  <c r="W69" i="5"/>
  <c r="Y69" i="5" s="1"/>
  <c r="W22" i="5"/>
  <c r="X22" i="5" s="1"/>
  <c r="W72" i="5"/>
  <c r="X72" i="5" s="1"/>
  <c r="W86" i="5"/>
  <c r="Y86" i="5" s="1"/>
  <c r="W96" i="5"/>
  <c r="Y96" i="5" s="1"/>
  <c r="W92" i="5"/>
  <c r="X92" i="5" s="1"/>
  <c r="W143" i="5"/>
  <c r="X143" i="5" s="1"/>
  <c r="W126" i="5"/>
  <c r="X126" i="5" s="1"/>
  <c r="W116" i="5"/>
  <c r="X116" i="5" s="1"/>
  <c r="W147" i="5"/>
  <c r="X147" i="5" s="1"/>
  <c r="W160" i="5"/>
  <c r="Y160" i="5" s="1"/>
  <c r="W177" i="5"/>
  <c r="Y177" i="5" s="1"/>
  <c r="W169" i="5"/>
  <c r="X169" i="5" s="1"/>
  <c r="W167" i="5"/>
  <c r="W231" i="5"/>
  <c r="Y231" i="5" s="1"/>
  <c r="W196" i="5"/>
  <c r="X196" i="5" s="1"/>
  <c r="W218" i="5"/>
  <c r="X218" i="5" s="1"/>
  <c r="W189" i="5"/>
  <c r="X189" i="5" s="1"/>
  <c r="W238" i="5"/>
  <c r="Y238" i="5" s="1"/>
  <c r="W235" i="5"/>
  <c r="X235" i="5" s="1"/>
  <c r="W287" i="5"/>
  <c r="X287" i="5" s="1"/>
  <c r="W319" i="5"/>
  <c r="W240" i="5"/>
  <c r="W265" i="5"/>
  <c r="X265" i="5" s="1"/>
  <c r="W289" i="5"/>
  <c r="Y289" i="5" s="1"/>
  <c r="W324" i="5"/>
  <c r="Y324" i="5" s="1"/>
  <c r="W266" i="5"/>
  <c r="X266" i="5" s="1"/>
  <c r="W313" i="5"/>
  <c r="Y313" i="5" s="1"/>
  <c r="W340" i="5"/>
  <c r="Y340" i="5" s="1"/>
  <c r="W298" i="5"/>
  <c r="X298" i="5" s="1"/>
  <c r="W357" i="5"/>
  <c r="X357" i="5" s="1"/>
  <c r="W384" i="5"/>
  <c r="X384" i="5" s="1"/>
  <c r="W416" i="5"/>
  <c r="X416" i="5" s="1"/>
  <c r="W300" i="5"/>
  <c r="W356" i="5"/>
  <c r="W378" i="5"/>
  <c r="Y378" i="5" s="1"/>
  <c r="W397" i="5"/>
  <c r="X397" i="5" s="1"/>
  <c r="W406" i="5"/>
  <c r="W421" i="5"/>
  <c r="X421" i="5" s="1"/>
  <c r="W261" i="5"/>
  <c r="Y261" i="5" s="1"/>
  <c r="W349" i="5"/>
  <c r="Y349" i="5" s="1"/>
  <c r="W372" i="5"/>
  <c r="Y372" i="5" s="1"/>
  <c r="W386" i="5"/>
  <c r="X386" i="5" s="1"/>
  <c r="W396" i="5"/>
  <c r="X396" i="5" s="1"/>
  <c r="W418" i="5"/>
  <c r="X418" i="5" s="1"/>
  <c r="W293" i="5"/>
  <c r="X293" i="5" s="1"/>
  <c r="W426" i="5"/>
  <c r="W449" i="5"/>
  <c r="Y449" i="5" s="1"/>
  <c r="W465" i="5"/>
  <c r="Y465" i="5" s="1"/>
  <c r="W476" i="5"/>
  <c r="W488" i="5"/>
  <c r="Y488" i="5" s="1"/>
  <c r="W503" i="5"/>
  <c r="X503" i="5" s="1"/>
  <c r="W518" i="5"/>
  <c r="X518" i="5" s="1"/>
  <c r="W529" i="5"/>
  <c r="W307" i="5"/>
  <c r="X307" i="5" s="1"/>
  <c r="W402" i="5"/>
  <c r="X402" i="5" s="1"/>
  <c r="W428" i="5"/>
  <c r="Y428" i="5" s="1"/>
  <c r="W443" i="5"/>
  <c r="X443" i="5" s="1"/>
  <c r="W451" i="5"/>
  <c r="Y451" i="5" s="1"/>
  <c r="W481" i="5"/>
  <c r="Y481" i="5" s="1"/>
  <c r="W499" i="5"/>
  <c r="Y499" i="5" s="1"/>
  <c r="W513" i="5"/>
  <c r="X513" i="5" s="1"/>
  <c r="W290" i="5"/>
  <c r="W389" i="5"/>
  <c r="X389" i="5" s="1"/>
  <c r="W436" i="5"/>
  <c r="X436" i="5" s="1"/>
  <c r="W458" i="5"/>
  <c r="W472" i="5"/>
  <c r="Y472" i="5" s="1"/>
  <c r="W485" i="5"/>
  <c r="X485" i="5" s="1"/>
  <c r="W504" i="5"/>
  <c r="Y504" i="5" s="1"/>
  <c r="W519" i="5"/>
  <c r="W537" i="5"/>
  <c r="Y537" i="5" s="1"/>
  <c r="W555" i="5"/>
  <c r="X555" i="5" s="1"/>
  <c r="W437" i="5"/>
  <c r="X437" i="5" s="1"/>
  <c r="W505" i="5"/>
  <c r="Y505" i="5" s="1"/>
  <c r="W547" i="5"/>
  <c r="Y547" i="5" s="1"/>
  <c r="W454" i="5"/>
  <c r="X454" i="5" s="1"/>
  <c r="W532" i="5"/>
  <c r="Y532" i="5" s="1"/>
  <c r="W542" i="5"/>
  <c r="Y542" i="5" s="1"/>
  <c r="W543" i="5"/>
  <c r="W493" i="5"/>
  <c r="X493" i="5" s="1"/>
  <c r="W548" i="5"/>
  <c r="Y548" i="5" s="1"/>
  <c r="U10" i="5"/>
  <c r="V10" i="5"/>
  <c r="W23" i="5"/>
  <c r="Y23" i="5" s="1"/>
  <c r="W241" i="5"/>
  <c r="W197" i="5"/>
  <c r="X197" i="5" s="1"/>
  <c r="W191" i="5"/>
  <c r="Y191" i="5" s="1"/>
  <c r="W163" i="5"/>
  <c r="W179" i="5"/>
  <c r="W168" i="5"/>
  <c r="W112" i="5"/>
  <c r="W140" i="5"/>
  <c r="Y140" i="5" s="1"/>
  <c r="W118" i="5"/>
  <c r="Y118" i="5" s="1"/>
  <c r="W141" i="5"/>
  <c r="X141" i="5" s="1"/>
  <c r="W108" i="5"/>
  <c r="Y108" i="5" s="1"/>
  <c r="W130" i="5"/>
  <c r="W95" i="5"/>
  <c r="W106" i="5"/>
  <c r="X106" i="5" s="1"/>
  <c r="W91" i="5"/>
  <c r="Y91" i="5" s="1"/>
  <c r="W81" i="5"/>
  <c r="X81" i="5" s="1"/>
  <c r="W79" i="5"/>
  <c r="W50" i="5"/>
  <c r="Y50" i="5" s="1"/>
  <c r="W53" i="5"/>
  <c r="X53" i="5" s="1"/>
  <c r="W60" i="5"/>
  <c r="Y60" i="5" s="1"/>
  <c r="W39" i="5"/>
  <c r="W33" i="5"/>
  <c r="X33" i="5" s="1"/>
  <c r="W20" i="5"/>
  <c r="W37" i="5"/>
  <c r="X37" i="5" s="1"/>
  <c r="W30" i="5"/>
  <c r="X30" i="5" s="1"/>
  <c r="W46" i="5"/>
  <c r="W32" i="5"/>
  <c r="Y32" i="5" s="1"/>
  <c r="W51" i="5"/>
  <c r="X51" i="5" s="1"/>
  <c r="W57" i="5"/>
  <c r="W71" i="5"/>
  <c r="W52" i="5"/>
  <c r="W68" i="5"/>
  <c r="X68" i="5" s="1"/>
  <c r="W48" i="5"/>
  <c r="X48" i="5" s="1"/>
  <c r="W62" i="5"/>
  <c r="W75" i="5"/>
  <c r="X75" i="5" s="1"/>
  <c r="W70" i="5"/>
  <c r="X70" i="5" s="1"/>
  <c r="W77" i="5"/>
  <c r="X77" i="5" s="1"/>
  <c r="W90" i="5"/>
  <c r="X90" i="5" s="1"/>
  <c r="W88" i="5"/>
  <c r="W82" i="5"/>
  <c r="X82" i="5" s="1"/>
  <c r="W104" i="5"/>
  <c r="Y104" i="5" s="1"/>
  <c r="W84" i="5"/>
  <c r="X84" i="5" s="1"/>
  <c r="W93" i="5"/>
  <c r="X93" i="5" s="1"/>
  <c r="W105" i="5"/>
  <c r="X105" i="5" s="1"/>
  <c r="W122" i="5"/>
  <c r="Y122" i="5" s="1"/>
  <c r="W146" i="5"/>
  <c r="Y146" i="5" s="1"/>
  <c r="W159" i="5"/>
  <c r="W121" i="5"/>
  <c r="X121" i="5" s="1"/>
  <c r="W136" i="5"/>
  <c r="Y136" i="5" s="1"/>
  <c r="W101" i="5"/>
  <c r="Y101" i="5" s="1"/>
  <c r="W117" i="5"/>
  <c r="Y117" i="5" s="1"/>
  <c r="W125" i="5"/>
  <c r="Y125" i="5" s="1"/>
  <c r="W135" i="5"/>
  <c r="Y135" i="5" s="1"/>
  <c r="W149" i="5"/>
  <c r="W155" i="5"/>
  <c r="W156" i="5"/>
  <c r="Y156" i="5" s="1"/>
  <c r="W166" i="5"/>
  <c r="Y166" i="5" s="1"/>
  <c r="W180" i="5"/>
  <c r="X180" i="5" s="1"/>
  <c r="W178" i="5"/>
  <c r="Y178" i="5" s="1"/>
  <c r="W124" i="5"/>
  <c r="Y124" i="5" s="1"/>
  <c r="W151" i="5"/>
  <c r="Y151" i="5" s="1"/>
  <c r="W170" i="5"/>
  <c r="Y170" i="5" s="1"/>
  <c r="W188" i="5"/>
  <c r="W205" i="5"/>
  <c r="X205" i="5" s="1"/>
  <c r="W195" i="5"/>
  <c r="Y195" i="5" s="1"/>
  <c r="W219" i="5"/>
  <c r="W237" i="5"/>
  <c r="X237" i="5" s="1"/>
  <c r="W247" i="5"/>
  <c r="Y247" i="5" s="1"/>
  <c r="W175" i="5"/>
  <c r="X175" i="5" s="1"/>
  <c r="W201" i="5"/>
  <c r="W215" i="5"/>
  <c r="W224" i="5"/>
  <c r="Y224" i="5" s="1"/>
  <c r="W245" i="5"/>
  <c r="X245" i="5" s="1"/>
  <c r="W212" i="5"/>
  <c r="Y212" i="5" s="1"/>
  <c r="W232" i="5"/>
  <c r="W129" i="5"/>
  <c r="Y129" i="5" s="1"/>
  <c r="W230" i="5"/>
  <c r="X230" i="5" s="1"/>
  <c r="W272" i="5"/>
  <c r="Y272" i="5" s="1"/>
  <c r="W286" i="5"/>
  <c r="W304" i="5"/>
  <c r="Y304" i="5" s="1"/>
  <c r="W317" i="5"/>
  <c r="Y317" i="5" s="1"/>
  <c r="W330" i="5"/>
  <c r="X330" i="5" s="1"/>
  <c r="W221" i="5"/>
  <c r="X221" i="5" s="1"/>
  <c r="W254" i="5"/>
  <c r="Y254" i="5" s="1"/>
  <c r="W263" i="5"/>
  <c r="Y263" i="5" s="1"/>
  <c r="W274" i="5"/>
  <c r="X274" i="5" s="1"/>
  <c r="W282" i="5"/>
  <c r="W306" i="5"/>
  <c r="Y306" i="5" s="1"/>
  <c r="W322" i="5"/>
  <c r="W185" i="5"/>
  <c r="X185" i="5" s="1"/>
  <c r="W258" i="5"/>
  <c r="X258" i="5" s="1"/>
  <c r="W291" i="5"/>
  <c r="Y291" i="5" s="1"/>
  <c r="W311" i="5"/>
  <c r="Y311" i="5" s="1"/>
  <c r="W325" i="5"/>
  <c r="Y325" i="5" s="1"/>
  <c r="W336" i="5"/>
  <c r="W347" i="5"/>
  <c r="X347" i="5" s="1"/>
  <c r="W271" i="5"/>
  <c r="Y271" i="5" s="1"/>
  <c r="W338" i="5"/>
  <c r="W352" i="5"/>
  <c r="X352" i="5" s="1"/>
  <c r="W368" i="5"/>
  <c r="Y368" i="5" s="1"/>
  <c r="W382" i="5"/>
  <c r="Y382" i="5" s="1"/>
  <c r="W399" i="5"/>
  <c r="X399" i="5" s="1"/>
  <c r="W413" i="5"/>
  <c r="W432" i="5"/>
  <c r="Y432" i="5" s="1"/>
  <c r="W264" i="5"/>
  <c r="X264" i="5" s="1"/>
  <c r="W334" i="5"/>
  <c r="W350" i="5"/>
  <c r="Y350" i="5" s="1"/>
  <c r="W25" i="5"/>
  <c r="Y25" i="5" s="1"/>
  <c r="W28" i="5"/>
  <c r="X28" i="5" s="1"/>
  <c r="W38" i="5"/>
  <c r="W24" i="5"/>
  <c r="Y24" i="5" s="1"/>
  <c r="W42" i="5"/>
  <c r="W47" i="5"/>
  <c r="X47" i="5" s="1"/>
  <c r="W61" i="5"/>
  <c r="X61" i="5" s="1"/>
  <c r="W36" i="5"/>
  <c r="Y36" i="5" s="1"/>
  <c r="W54" i="5"/>
  <c r="W26" i="5"/>
  <c r="X26" i="5" s="1"/>
  <c r="W56" i="5"/>
  <c r="W67" i="5"/>
  <c r="W55" i="5"/>
  <c r="X55" i="5" s="1"/>
  <c r="W80" i="5"/>
  <c r="W83" i="5"/>
  <c r="W78" i="5"/>
  <c r="W63" i="5"/>
  <c r="X63" i="5" s="1"/>
  <c r="W98" i="5"/>
  <c r="X98" i="5" s="1"/>
  <c r="W109" i="5"/>
  <c r="W89" i="5"/>
  <c r="W100" i="5"/>
  <c r="W114" i="5"/>
  <c r="Y114" i="5" s="1"/>
  <c r="W138" i="5"/>
  <c r="W157" i="5"/>
  <c r="X157" i="5" s="1"/>
  <c r="W113" i="5"/>
  <c r="W127" i="5"/>
  <c r="X127" i="5" s="1"/>
  <c r="W145" i="5"/>
  <c r="W111" i="5"/>
  <c r="W120" i="5"/>
  <c r="Y120" i="5" s="1"/>
  <c r="W133" i="5"/>
  <c r="Y133" i="5" s="1"/>
  <c r="W144" i="5"/>
  <c r="W153" i="5"/>
  <c r="W131" i="5"/>
  <c r="X131" i="5" s="1"/>
  <c r="W162" i="5"/>
  <c r="X162" i="5" s="1"/>
  <c r="W174" i="5"/>
  <c r="W173" i="5"/>
  <c r="W183" i="5"/>
  <c r="W142" i="5"/>
  <c r="X142" i="5" s="1"/>
  <c r="W165" i="5"/>
  <c r="Y165" i="5" s="1"/>
  <c r="W182" i="5"/>
  <c r="W199" i="5"/>
  <c r="W187" i="5"/>
  <c r="X187" i="5" s="1"/>
  <c r="W204" i="5"/>
  <c r="W228" i="5"/>
  <c r="W244" i="5"/>
  <c r="X244" i="5" s="1"/>
  <c r="W161" i="5"/>
  <c r="Y161" i="5" s="1"/>
  <c r="W198" i="5"/>
  <c r="W208" i="5"/>
  <c r="W220" i="5"/>
  <c r="X220" i="5" s="1"/>
  <c r="W234" i="5"/>
  <c r="X234" i="5" s="1"/>
  <c r="W193" i="5"/>
  <c r="W222" i="5"/>
  <c r="Y222" i="5" s="1"/>
  <c r="W242" i="5"/>
  <c r="W210" i="5"/>
  <c r="Y210" i="5" s="1"/>
  <c r="W262" i="5"/>
  <c r="W280" i="5"/>
  <c r="Y280" i="5" s="1"/>
  <c r="W294" i="5"/>
  <c r="W312" i="5"/>
  <c r="Y312" i="5" s="1"/>
  <c r="W326" i="5"/>
  <c r="X326" i="5" s="1"/>
  <c r="W192" i="5"/>
  <c r="W249" i="5"/>
  <c r="X249" i="5" s="1"/>
  <c r="W257" i="5"/>
  <c r="W270" i="5"/>
  <c r="W278" i="5"/>
  <c r="W295" i="5"/>
  <c r="Y295" i="5" s="1"/>
  <c r="W314" i="5"/>
  <c r="X314" i="5" s="1"/>
  <c r="W327" i="5"/>
  <c r="Y327" i="5" s="1"/>
  <c r="W250" i="5"/>
  <c r="W276" i="5"/>
  <c r="W299" i="5"/>
  <c r="X299" i="5" s="1"/>
  <c r="W316" i="5"/>
  <c r="Y316" i="5" s="1"/>
  <c r="W331" i="5"/>
  <c r="W344" i="5"/>
  <c r="W359" i="5"/>
  <c r="X359" i="5" s="1"/>
  <c r="W321" i="5"/>
  <c r="X321" i="5" s="1"/>
  <c r="W348" i="5"/>
  <c r="Y348" i="5" s="1"/>
  <c r="W358" i="5"/>
  <c r="X358" i="5" s="1"/>
  <c r="W374" i="5"/>
  <c r="X374" i="5" s="1"/>
  <c r="W392" i="5"/>
  <c r="W408" i="5"/>
  <c r="Y408" i="5" s="1"/>
  <c r="W419" i="5"/>
  <c r="X419" i="5" s="1"/>
  <c r="W233" i="5"/>
  <c r="X233" i="5" s="1"/>
  <c r="W303" i="5"/>
  <c r="Y303" i="5" s="1"/>
  <c r="W342" i="5"/>
  <c r="W362" i="5"/>
  <c r="AF7" i="5" l="1"/>
  <c r="AF10" i="5"/>
  <c r="AF522" i="5"/>
  <c r="AF245" i="5"/>
  <c r="AF453" i="5"/>
  <c r="AF196" i="5"/>
  <c r="AF505" i="5"/>
  <c r="AF289" i="5"/>
  <c r="AF90" i="5"/>
  <c r="AF366" i="5"/>
  <c r="AF206" i="5"/>
  <c r="AF543" i="5"/>
  <c r="AF470" i="5"/>
  <c r="AF422" i="5"/>
  <c r="AF262" i="5"/>
  <c r="AF113" i="5"/>
  <c r="AF19" i="5"/>
  <c r="AF504" i="5"/>
  <c r="AF414" i="5"/>
  <c r="AF286" i="5"/>
  <c r="AF68" i="5"/>
  <c r="AF401" i="5"/>
  <c r="AF322" i="5"/>
  <c r="AF449" i="5"/>
  <c r="AF421" i="5"/>
  <c r="AF419" i="5"/>
  <c r="AF405" i="5"/>
  <c r="AF296" i="5"/>
  <c r="AF221" i="5"/>
  <c r="AF110" i="5"/>
  <c r="AF493" i="5"/>
  <c r="AF546" i="5"/>
  <c r="AF492" i="5"/>
  <c r="AF477" i="5"/>
  <c r="AF464" i="5"/>
  <c r="AF353" i="5"/>
  <c r="AF317" i="5"/>
  <c r="AF244" i="5"/>
  <c r="AF108" i="5"/>
  <c r="AF51" i="5"/>
  <c r="AF73" i="5"/>
  <c r="AF135" i="5"/>
  <c r="AF200" i="5"/>
  <c r="AF236" i="5"/>
  <c r="AF292" i="5"/>
  <c r="AF323" i="5"/>
  <c r="AF252" i="5"/>
  <c r="AF441" i="5"/>
  <c r="AF418" i="5"/>
  <c r="AF388" i="5"/>
  <c r="AF43" i="5"/>
  <c r="AF86" i="5"/>
  <c r="AF120" i="5"/>
  <c r="AF232" i="5"/>
  <c r="AF219" i="5"/>
  <c r="AF183" i="5"/>
  <c r="AF290" i="5"/>
  <c r="AF354" i="5"/>
  <c r="AF315" i="5"/>
  <c r="AF371" i="5"/>
  <c r="AF442" i="5"/>
  <c r="AF163" i="5"/>
  <c r="AF156" i="5"/>
  <c r="AF69" i="5"/>
  <c r="AF21" i="5"/>
  <c r="AF152" i="5"/>
  <c r="AF154" i="5"/>
  <c r="AF85" i="5"/>
  <c r="AF76" i="5"/>
  <c r="AF22" i="5"/>
  <c r="AF511" i="5"/>
  <c r="AF523" i="5"/>
  <c r="AF364" i="5"/>
  <c r="AF459" i="5"/>
  <c r="AF272" i="5"/>
  <c r="AF520" i="5"/>
  <c r="AF304" i="5"/>
  <c r="AF213" i="5"/>
  <c r="AF383" i="5"/>
  <c r="AF194" i="5"/>
  <c r="AF406" i="5"/>
  <c r="AF130" i="5"/>
  <c r="AF12" i="5"/>
  <c r="AF471" i="5"/>
  <c r="AF243" i="5"/>
  <c r="AF517" i="5"/>
  <c r="AF199" i="5"/>
  <c r="AF437" i="5"/>
  <c r="AF235" i="5"/>
  <c r="AF510" i="5"/>
  <c r="AF483" i="5"/>
  <c r="AF146" i="5"/>
  <c r="AF559" i="5"/>
  <c r="AF446" i="5"/>
  <c r="AF412" i="5"/>
  <c r="AF285" i="5"/>
  <c r="AF91" i="5"/>
  <c r="AF560" i="5"/>
  <c r="AF468" i="5"/>
  <c r="AF332" i="5"/>
  <c r="AF226" i="5"/>
  <c r="AF55" i="5"/>
  <c r="AF541" i="5"/>
  <c r="AF545" i="5"/>
  <c r="AF432" i="5"/>
  <c r="AF536" i="5"/>
  <c r="AF389" i="5"/>
  <c r="AF372" i="5"/>
  <c r="AF261" i="5"/>
  <c r="AF187" i="5"/>
  <c r="AF109" i="5"/>
  <c r="AF549" i="5"/>
  <c r="AF499" i="5"/>
  <c r="AF476" i="5"/>
  <c r="AF462" i="5"/>
  <c r="AF435" i="5"/>
  <c r="AF309" i="5"/>
  <c r="AF275" i="5"/>
  <c r="AF210" i="5"/>
  <c r="AF136" i="5"/>
  <c r="AF28" i="5"/>
  <c r="AF71" i="5"/>
  <c r="AF153" i="5"/>
  <c r="AF179" i="5"/>
  <c r="AF177" i="5"/>
  <c r="AF308" i="5"/>
  <c r="AF234" i="5"/>
  <c r="AF274" i="5"/>
  <c r="AF254" i="5"/>
  <c r="AF334" i="5"/>
  <c r="AF403" i="5"/>
  <c r="AF41" i="5"/>
  <c r="AF106" i="5"/>
  <c r="AF181" i="5"/>
  <c r="AF178" i="5"/>
  <c r="AF237" i="5"/>
  <c r="AF259" i="5"/>
  <c r="AF305" i="5"/>
  <c r="AF368" i="5"/>
  <c r="AF347" i="5"/>
  <c r="AF384" i="5"/>
  <c r="AF458" i="5"/>
  <c r="AF143" i="5"/>
  <c r="AF124" i="5"/>
  <c r="AF66" i="5"/>
  <c r="AF211" i="5"/>
  <c r="AF122" i="5"/>
  <c r="AF147" i="5"/>
  <c r="AF99" i="5"/>
  <c r="AF53" i="5"/>
  <c r="AF36" i="5"/>
  <c r="AF448" i="5"/>
  <c r="AF207" i="5"/>
  <c r="AF488" i="5"/>
  <c r="AF205" i="5"/>
  <c r="AF516" i="5"/>
  <c r="AF64" i="5"/>
  <c r="AF288" i="5"/>
  <c r="AF79" i="5"/>
  <c r="AF247" i="5"/>
  <c r="AF117" i="5"/>
  <c r="AF13" i="5"/>
  <c r="AF537" i="5"/>
  <c r="AF540" i="5"/>
  <c r="AF415" i="5"/>
  <c r="AF151" i="5"/>
  <c r="AF501" i="5"/>
  <c r="AF180" i="5"/>
  <c r="AF547" i="5"/>
  <c r="AF408" i="5"/>
  <c r="AF24" i="5"/>
  <c r="AF548" i="5"/>
  <c r="AF223" i="5"/>
  <c r="AF338" i="5"/>
  <c r="AF319" i="5"/>
  <c r="AF92" i="5"/>
  <c r="AF502" i="5"/>
  <c r="AF424" i="5"/>
  <c r="AF428" i="5"/>
  <c r="AF233" i="5"/>
  <c r="AF67" i="5"/>
  <c r="AF557" i="5"/>
  <c r="AF528" i="5"/>
  <c r="AF345" i="5"/>
  <c r="AF527" i="5"/>
  <c r="AF363" i="5"/>
  <c r="AF340" i="5"/>
  <c r="AF328" i="5"/>
  <c r="AF220" i="5"/>
  <c r="AF98" i="5"/>
  <c r="AF538" i="5"/>
  <c r="AF431" i="5"/>
  <c r="AF465" i="5"/>
  <c r="AF452" i="5"/>
  <c r="AF400" i="5"/>
  <c r="AF239" i="5"/>
  <c r="AF218" i="5"/>
  <c r="AF139" i="5"/>
  <c r="AF150" i="5"/>
  <c r="AF32" i="5"/>
  <c r="AF87" i="5"/>
  <c r="AF114" i="5"/>
  <c r="AF209" i="5"/>
  <c r="AF202" i="5"/>
  <c r="AF325" i="5"/>
  <c r="AF267" i="5"/>
  <c r="AF301" i="5"/>
  <c r="AF283" i="5"/>
  <c r="AF346" i="5"/>
  <c r="AF425" i="5"/>
  <c r="AF60" i="5"/>
  <c r="AF148" i="5"/>
  <c r="AF137" i="5"/>
  <c r="AF195" i="5"/>
  <c r="AF246" i="5"/>
  <c r="AF271" i="5"/>
  <c r="AF326" i="5"/>
  <c r="AF386" i="5"/>
  <c r="AF369" i="5"/>
  <c r="AF399" i="5"/>
  <c r="AF475" i="5"/>
  <c r="AF115" i="5"/>
  <c r="AF104" i="5"/>
  <c r="AF47" i="5"/>
  <c r="AF189" i="5"/>
  <c r="AF184" i="5"/>
  <c r="AF133" i="5"/>
  <c r="AF100" i="5"/>
  <c r="AF30" i="5"/>
  <c r="AF45" i="5"/>
  <c r="AF256" i="5"/>
  <c r="AF248" i="5"/>
  <c r="AF298" i="5"/>
  <c r="AF444" i="5"/>
  <c r="AF281" i="5"/>
  <c r="AF398" i="5"/>
  <c r="AF526" i="5"/>
  <c r="AF455" i="5"/>
  <c r="AF544" i="5"/>
  <c r="AF434" i="5"/>
  <c r="AF525" i="5"/>
  <c r="AF265" i="5"/>
  <c r="AF167" i="5"/>
  <c r="AF393" i="5"/>
  <c r="AF186" i="5"/>
  <c r="AF335" i="5"/>
  <c r="AF11" i="5"/>
  <c r="AF534" i="5"/>
  <c r="AF531" i="5"/>
  <c r="AF337" i="5"/>
  <c r="AF494" i="5"/>
  <c r="AF382" i="5"/>
  <c r="AF89" i="5"/>
  <c r="AF551" i="5"/>
  <c r="AF373" i="5"/>
  <c r="AF553" i="5"/>
  <c r="AF552" i="5"/>
  <c r="AF480" i="5"/>
  <c r="AF375" i="5"/>
  <c r="AF258" i="5"/>
  <c r="AF23" i="5"/>
  <c r="AF535" i="5"/>
  <c r="AF533" i="5"/>
  <c r="AF355" i="5"/>
  <c r="AF242" i="5"/>
  <c r="AF20" i="5"/>
  <c r="AF508" i="5"/>
  <c r="AF519" i="5"/>
  <c r="AF507" i="5"/>
  <c r="AF515" i="5"/>
  <c r="AF314" i="5"/>
  <c r="AF260" i="5"/>
  <c r="AF299" i="5"/>
  <c r="AF82" i="5"/>
  <c r="AF29" i="5"/>
  <c r="AF443" i="5"/>
  <c r="AF374" i="5"/>
  <c r="AF454" i="5"/>
  <c r="AF423" i="5"/>
  <c r="AF263" i="5"/>
  <c r="AF407" i="5"/>
  <c r="AF300" i="5"/>
  <c r="AF222" i="5"/>
  <c r="AF111" i="5"/>
  <c r="AF34" i="5"/>
  <c r="AF84" i="5"/>
  <c r="AF145" i="5"/>
  <c r="AF229" i="5"/>
  <c r="AF214" i="5"/>
  <c r="AF171" i="5"/>
  <c r="AF284" i="5"/>
  <c r="AF349" i="5"/>
  <c r="AF312" i="5"/>
  <c r="AF370" i="5"/>
  <c r="AF436" i="5"/>
  <c r="AF49" i="5"/>
  <c r="AF102" i="5"/>
  <c r="AF175" i="5"/>
  <c r="AF217" i="5"/>
  <c r="AF270" i="5"/>
  <c r="AF291" i="5"/>
  <c r="AF341" i="5"/>
  <c r="AF396" i="5"/>
  <c r="AF385" i="5"/>
  <c r="AF416" i="5"/>
  <c r="AF174" i="5"/>
  <c r="AF88" i="5"/>
  <c r="AF95" i="5"/>
  <c r="AF65" i="5"/>
  <c r="AF158" i="5"/>
  <c r="AF169" i="5"/>
  <c r="AF125" i="5"/>
  <c r="AF83" i="5"/>
  <c r="AF58" i="5"/>
  <c r="AF539" i="5"/>
  <c r="AF81" i="5"/>
  <c r="AF473" i="5"/>
  <c r="AF132" i="5"/>
  <c r="AF320" i="5"/>
  <c r="AF93" i="5"/>
  <c r="AF331" i="5"/>
  <c r="AF155" i="5"/>
  <c r="AF277" i="5"/>
  <c r="AF74" i="5"/>
  <c r="AF31" i="5"/>
  <c r="AF466" i="5"/>
  <c r="AF445" i="5"/>
  <c r="AF273" i="5"/>
  <c r="AF487" i="5"/>
  <c r="AF417" i="5"/>
  <c r="AF379" i="5"/>
  <c r="AF555" i="5"/>
  <c r="AF387" i="5"/>
  <c r="AF450" i="5"/>
  <c r="AF469" i="5"/>
  <c r="AF457" i="5"/>
  <c r="AF280" i="5"/>
  <c r="AF197" i="5"/>
  <c r="AF165" i="5"/>
  <c r="AF509" i="5"/>
  <c r="AF497" i="5"/>
  <c r="AF360" i="5"/>
  <c r="AF176" i="5"/>
  <c r="AF524" i="5"/>
  <c r="AF356" i="5"/>
  <c r="AF503" i="5"/>
  <c r="AF486" i="5"/>
  <c r="AF491" i="5"/>
  <c r="AF390" i="5"/>
  <c r="AF344" i="5"/>
  <c r="AF276" i="5"/>
  <c r="AF185" i="5"/>
  <c r="AF59" i="5"/>
  <c r="AF542" i="5"/>
  <c r="AF554" i="5"/>
  <c r="AF440" i="5"/>
  <c r="AF359" i="5"/>
  <c r="AF392" i="5"/>
  <c r="AF376" i="5"/>
  <c r="AF264" i="5"/>
  <c r="AF190" i="5"/>
  <c r="AF101" i="5"/>
  <c r="AF26" i="5"/>
  <c r="AF94" i="5"/>
  <c r="AF170" i="5"/>
  <c r="AF251" i="5"/>
  <c r="AF231" i="5"/>
  <c r="AF253" i="5"/>
  <c r="AF302" i="5"/>
  <c r="AF367" i="5"/>
  <c r="AF343" i="5"/>
  <c r="AF380" i="5"/>
  <c r="AF456" i="5"/>
  <c r="AF38" i="5"/>
  <c r="AF123" i="5"/>
  <c r="AF166" i="5"/>
  <c r="AF230" i="5"/>
  <c r="AF282" i="5"/>
  <c r="AF307" i="5"/>
  <c r="AF358" i="5"/>
  <c r="AF410" i="5"/>
  <c r="AF411" i="5"/>
  <c r="AF348" i="5"/>
  <c r="AF118" i="5"/>
  <c r="AF149" i="5"/>
  <c r="AF57" i="5"/>
  <c r="AF52" i="5"/>
  <c r="AF192" i="5"/>
  <c r="AF138" i="5"/>
  <c r="AF112" i="5"/>
  <c r="AF97" i="5"/>
  <c r="AF72" i="5"/>
  <c r="AF467" i="5"/>
  <c r="AF293" i="5"/>
  <c r="AF128" i="5"/>
  <c r="AF306" i="5"/>
  <c r="AF512" i="5"/>
  <c r="AF173" i="5"/>
  <c r="AF266" i="5"/>
  <c r="AF490" i="5"/>
  <c r="AF311" i="5"/>
  <c r="AF134" i="5"/>
  <c r="AF8" i="5"/>
  <c r="AF482" i="5"/>
  <c r="AF521" i="5"/>
  <c r="AF287" i="5"/>
  <c r="AF427" i="5"/>
  <c r="AF438" i="5"/>
  <c r="AF339" i="5"/>
  <c r="AF495" i="5"/>
  <c r="AF329" i="5"/>
  <c r="AF481" i="5"/>
  <c r="AF556" i="5"/>
  <c r="AF378" i="5"/>
  <c r="AF391" i="5"/>
  <c r="AF212" i="5"/>
  <c r="AF129" i="5"/>
  <c r="AF479" i="5"/>
  <c r="AF447" i="5"/>
  <c r="AF294" i="5"/>
  <c r="AF161" i="5"/>
  <c r="AF489" i="5"/>
  <c r="AF530" i="5"/>
  <c r="AF484" i="5"/>
  <c r="AF474" i="5"/>
  <c r="AF460" i="5"/>
  <c r="AF351" i="5"/>
  <c r="AF310" i="5"/>
  <c r="AF241" i="5"/>
  <c r="AF188" i="5"/>
  <c r="AF50" i="5"/>
  <c r="AF558" i="5"/>
  <c r="AF529" i="5"/>
  <c r="AF420" i="5"/>
  <c r="AF532" i="5"/>
  <c r="AF365" i="5"/>
  <c r="AF342" i="5"/>
  <c r="AF333" i="5"/>
  <c r="AF224" i="5"/>
  <c r="AF80" i="5"/>
  <c r="AF56" i="5"/>
  <c r="AF126" i="5"/>
  <c r="AF119" i="5"/>
  <c r="AF191" i="5"/>
  <c r="AF201" i="5"/>
  <c r="AF269" i="5"/>
  <c r="AF321" i="5"/>
  <c r="AF381" i="5"/>
  <c r="AF361" i="5"/>
  <c r="AF395" i="5"/>
  <c r="AF472" i="5"/>
  <c r="AF77" i="5"/>
  <c r="AF140" i="5"/>
  <c r="AF204" i="5"/>
  <c r="AF238" i="5"/>
  <c r="AF297" i="5"/>
  <c r="AF198" i="5"/>
  <c r="AF255" i="5"/>
  <c r="AF193" i="5"/>
  <c r="AF249" i="5"/>
  <c r="AF394" i="5"/>
  <c r="AF162" i="5"/>
  <c r="AF131" i="5"/>
  <c r="AF61" i="5"/>
  <c r="AF25" i="5"/>
  <c r="AF168" i="5"/>
  <c r="AF141" i="5"/>
  <c r="AF105" i="5"/>
  <c r="AF48" i="5"/>
  <c r="AF62" i="5"/>
  <c r="AF313" i="5"/>
  <c r="AF27" i="5"/>
  <c r="AF46" i="5"/>
  <c r="AF413" i="5"/>
  <c r="AF257" i="5"/>
  <c r="AF430" i="5"/>
  <c r="AF250" i="5"/>
  <c r="AF377" i="5"/>
  <c r="AF208" i="5"/>
  <c r="AF496" i="5"/>
  <c r="AF164" i="5"/>
  <c r="AF39" i="5"/>
  <c r="AF295" i="5"/>
  <c r="AF172" i="5"/>
  <c r="AF37" i="5"/>
  <c r="AF96" i="5"/>
  <c r="AF121" i="5"/>
  <c r="AF70" i="5"/>
  <c r="AF116" i="5"/>
  <c r="AF42" i="5"/>
  <c r="AF362" i="5"/>
  <c r="AF513" i="5"/>
  <c r="AF227" i="5"/>
  <c r="AF215" i="5"/>
  <c r="AF402" i="5"/>
  <c r="AF225" i="5"/>
  <c r="AF357" i="5"/>
  <c r="AF33" i="5"/>
  <c r="AF426" i="5"/>
  <c r="AF514" i="5"/>
  <c r="AF500" i="5"/>
  <c r="AF54" i="5"/>
  <c r="AF240" i="5"/>
  <c r="AF350" i="5"/>
  <c r="AF279" i="5"/>
  <c r="AF127" i="5"/>
  <c r="AF433" i="5"/>
  <c r="AF103" i="5"/>
  <c r="AF439" i="5"/>
  <c r="AF498" i="5"/>
  <c r="AF44" i="5"/>
  <c r="AF316" i="5"/>
  <c r="AF485" i="5"/>
  <c r="AF518" i="5"/>
  <c r="AF144" i="5"/>
  <c r="AF278" i="5"/>
  <c r="AF303" i="5"/>
  <c r="AF216" i="5"/>
  <c r="AF182" i="5"/>
  <c r="AF160" i="5"/>
  <c r="AF352" i="5"/>
  <c r="AF107" i="5"/>
  <c r="AF142" i="5"/>
  <c r="AF75" i="5"/>
  <c r="AF40" i="5"/>
  <c r="AF9" i="5"/>
  <c r="AF461" i="5"/>
  <c r="AF330" i="5"/>
  <c r="AF429" i="5"/>
  <c r="AF550" i="5"/>
  <c r="AF159" i="5"/>
  <c r="AF203" i="5"/>
  <c r="AF506" i="5"/>
  <c r="AF35" i="5"/>
  <c r="AF336" i="5"/>
  <c r="AF318" i="5"/>
  <c r="AF157" i="5"/>
  <c r="AF463" i="5"/>
  <c r="AF451" i="5"/>
  <c r="AF63" i="5"/>
  <c r="AF409" i="5"/>
  <c r="AF327" i="5"/>
  <c r="AF78" i="5"/>
  <c r="AF268" i="5"/>
  <c r="AF478" i="5"/>
  <c r="AF324" i="5"/>
  <c r="AF228" i="5"/>
  <c r="AF404" i="5"/>
  <c r="AF397" i="5"/>
  <c r="V8" i="4"/>
  <c r="Y8" i="4" s="1"/>
  <c r="AI8" i="4" s="1"/>
  <c r="B144" i="2"/>
  <c r="V41" i="1" s="1"/>
  <c r="B136" i="2"/>
  <c r="N41" i="1" s="1"/>
  <c r="B128" i="2"/>
  <c r="H41" i="1" s="1"/>
  <c r="V112" i="4"/>
  <c r="W112" i="4" s="1"/>
  <c r="V156" i="4"/>
  <c r="Z156" i="4" s="1"/>
  <c r="V146" i="4"/>
  <c r="W146" i="4" s="1"/>
  <c r="V107" i="4"/>
  <c r="Y107" i="4" s="1"/>
  <c r="AI107" i="4" s="1"/>
  <c r="V62" i="4"/>
  <c r="W62" i="4" s="1"/>
  <c r="V67" i="4"/>
  <c r="W67" i="4" s="1"/>
  <c r="V152" i="4"/>
  <c r="W152" i="4" s="1"/>
  <c r="V69" i="4"/>
  <c r="W69" i="4" s="1"/>
  <c r="V137" i="4"/>
  <c r="W137" i="4" s="1"/>
  <c r="V84" i="4"/>
  <c r="Y84" i="4" s="1"/>
  <c r="V133" i="4"/>
  <c r="V147" i="4"/>
  <c r="Y147" i="4" s="1"/>
  <c r="V56" i="4"/>
  <c r="V129" i="4"/>
  <c r="Y129" i="4" s="1"/>
  <c r="V100" i="4"/>
  <c r="Y100" i="4" s="1"/>
  <c r="V54" i="4"/>
  <c r="W54" i="4" s="1"/>
  <c r="V47" i="4"/>
  <c r="W47" i="4" s="1"/>
  <c r="V39" i="4"/>
  <c r="V57" i="4"/>
  <c r="Y57" i="4" s="1"/>
  <c r="V74" i="4"/>
  <c r="Y74" i="4" s="1"/>
  <c r="V150" i="4"/>
  <c r="W150" i="4" s="1"/>
  <c r="V89" i="4"/>
  <c r="Y89" i="4" s="1"/>
  <c r="V50" i="4"/>
  <c r="Y50" i="4" s="1"/>
  <c r="V40" i="4"/>
  <c r="Y40" i="4" s="1"/>
  <c r="V143" i="4"/>
  <c r="Z143" i="4" s="1"/>
  <c r="V140" i="4"/>
  <c r="Z140" i="4" s="1"/>
  <c r="V145" i="4"/>
  <c r="W145" i="4" s="1"/>
  <c r="V113" i="4"/>
  <c r="W113" i="4" s="1"/>
  <c r="V126" i="4"/>
  <c r="W126" i="4" s="1"/>
  <c r="V131" i="4"/>
  <c r="Y131" i="4" s="1"/>
  <c r="V120" i="4"/>
  <c r="Y120" i="4" s="1"/>
  <c r="V111" i="4"/>
  <c r="W111" i="4" s="1"/>
  <c r="V75" i="4"/>
  <c r="V132" i="4"/>
  <c r="Y132" i="4" s="1"/>
  <c r="V79" i="4"/>
  <c r="W79" i="4" s="1"/>
  <c r="V64" i="4"/>
  <c r="W64" i="4" s="1"/>
  <c r="V52" i="4"/>
  <c r="W52" i="4" s="1"/>
  <c r="V157" i="4"/>
  <c r="Z157" i="4" s="1"/>
  <c r="V59" i="4"/>
  <c r="Z59" i="4" s="1"/>
  <c r="V102" i="4"/>
  <c r="W102" i="4" s="1"/>
  <c r="V122" i="4"/>
  <c r="Z122" i="4" s="1"/>
  <c r="V88" i="4"/>
  <c r="Y88" i="4" s="1"/>
  <c r="V142" i="4"/>
  <c r="W142" i="4" s="1"/>
  <c r="V76" i="4"/>
  <c r="Y76" i="4" s="1"/>
  <c r="V81" i="4"/>
  <c r="W81" i="4" s="1"/>
  <c r="V91" i="4"/>
  <c r="W91" i="4" s="1"/>
  <c r="V37" i="4"/>
  <c r="W37" i="4" s="1"/>
  <c r="V124" i="4"/>
  <c r="Z124" i="4" s="1"/>
  <c r="V108" i="4"/>
  <c r="Z108" i="4" s="1"/>
  <c r="V130" i="4"/>
  <c r="W130" i="4" s="1"/>
  <c r="V68" i="4"/>
  <c r="Y68" i="4" s="1"/>
  <c r="V41" i="4"/>
  <c r="V65" i="4"/>
  <c r="W65" i="4" s="1"/>
  <c r="V114" i="4"/>
  <c r="Y114" i="4" s="1"/>
  <c r="V92" i="4"/>
  <c r="Y92" i="4" s="1"/>
  <c r="V106" i="4"/>
  <c r="W106" i="4" s="1"/>
  <c r="V104" i="4"/>
  <c r="W104" i="4" s="1"/>
  <c r="V82" i="4"/>
  <c r="Z82" i="4" s="1"/>
  <c r="V123" i="4"/>
  <c r="W123" i="4" s="1"/>
  <c r="V155" i="4"/>
  <c r="Y155" i="4" s="1"/>
  <c r="V94" i="4"/>
  <c r="Z94" i="4" s="1"/>
  <c r="V60" i="4"/>
  <c r="Y60" i="4" s="1"/>
  <c r="V45" i="4"/>
  <c r="Y45" i="4" s="1"/>
  <c r="V61" i="4"/>
  <c r="Y61" i="4" s="1"/>
  <c r="V90" i="4"/>
  <c r="W90" i="4" s="1"/>
  <c r="V154" i="4"/>
  <c r="W154" i="4" s="1"/>
  <c r="V46" i="4"/>
  <c r="W46" i="4" s="1"/>
  <c r="V110" i="4"/>
  <c r="W110" i="4" s="1"/>
  <c r="V97" i="4"/>
  <c r="W97" i="4" s="1"/>
  <c r="V153" i="4"/>
  <c r="Y153" i="4" s="1"/>
  <c r="V116" i="4"/>
  <c r="W116" i="4" s="1"/>
  <c r="W25" i="4"/>
  <c r="X25" i="4" s="1"/>
  <c r="W55" i="4"/>
  <c r="X55" i="4" s="1"/>
  <c r="W20" i="4"/>
  <c r="W14" i="4"/>
  <c r="X14" i="4" s="1"/>
  <c r="W21" i="4"/>
  <c r="Y11" i="4"/>
  <c r="W15" i="4"/>
  <c r="W13" i="4"/>
  <c r="X13" i="4" s="1"/>
  <c r="W36" i="4"/>
  <c r="X36" i="4" s="1"/>
  <c r="W17" i="4"/>
  <c r="W19" i="4"/>
  <c r="W34" i="4"/>
  <c r="W29" i="4"/>
  <c r="X29" i="4" s="1"/>
  <c r="W63" i="4"/>
  <c r="X63" i="4" s="1"/>
  <c r="W9" i="4"/>
  <c r="W12" i="4"/>
  <c r="W10" i="4"/>
  <c r="W27" i="4"/>
  <c r="Y28" i="4"/>
  <c r="Y38" i="4"/>
  <c r="W71" i="4"/>
  <c r="X71" i="4" s="1"/>
  <c r="W87" i="4"/>
  <c r="X87" i="4" s="1"/>
  <c r="W30" i="4"/>
  <c r="W18" i="4"/>
  <c r="Y35" i="4"/>
  <c r="W26" i="4"/>
  <c r="W31" i="4"/>
  <c r="W33" i="4"/>
  <c r="W22" i="4"/>
  <c r="W23" i="4"/>
  <c r="X23" i="4" s="1"/>
  <c r="W32" i="4"/>
  <c r="W24" i="4"/>
  <c r="W7" i="4"/>
  <c r="X7" i="4" s="1"/>
  <c r="W80" i="4"/>
  <c r="X80" i="4" s="1"/>
  <c r="W70" i="4"/>
  <c r="X70" i="4" s="1"/>
  <c r="W44" i="4"/>
  <c r="X44" i="4" s="1"/>
  <c r="Y121" i="4"/>
  <c r="AP121" i="4" s="1"/>
  <c r="W83" i="4"/>
  <c r="X83" i="4" s="1"/>
  <c r="W77" i="4"/>
  <c r="X77" i="4" s="1"/>
  <c r="W95" i="4"/>
  <c r="X95" i="4" s="1"/>
  <c r="W127" i="4"/>
  <c r="X127" i="4" s="1"/>
  <c r="W78" i="4"/>
  <c r="X78" i="4" s="1"/>
  <c r="W98" i="4"/>
  <c r="X98" i="4" s="1"/>
  <c r="W96" i="4"/>
  <c r="X96" i="4" s="1"/>
  <c r="W86" i="4"/>
  <c r="X86" i="4" s="1"/>
  <c r="Y138" i="4"/>
  <c r="W115" i="4"/>
  <c r="X115" i="4" s="1"/>
  <c r="W139" i="4"/>
  <c r="X139" i="4" s="1"/>
  <c r="W85" i="4"/>
  <c r="X85" i="4" s="1"/>
  <c r="Y103" i="4"/>
  <c r="W119" i="4"/>
  <c r="X119" i="4" s="1"/>
  <c r="W135" i="4"/>
  <c r="X135" i="4" s="1"/>
  <c r="W151" i="4"/>
  <c r="X151" i="4" s="1"/>
  <c r="W66" i="4"/>
  <c r="X66" i="4" s="1"/>
  <c r="Y63" i="4"/>
  <c r="Y95" i="4"/>
  <c r="W105" i="4"/>
  <c r="X105" i="4" s="1"/>
  <c r="W49" i="4"/>
  <c r="X49" i="4" s="1"/>
  <c r="W148" i="4"/>
  <c r="X148" i="4" s="1"/>
  <c r="W144" i="4"/>
  <c r="X144" i="4" s="1"/>
  <c r="W101" i="4"/>
  <c r="X101" i="4" s="1"/>
  <c r="W117" i="4"/>
  <c r="X117" i="4" s="1"/>
  <c r="W149" i="4"/>
  <c r="X149" i="4" s="1"/>
  <c r="W128" i="4"/>
  <c r="X128" i="4" s="1"/>
  <c r="W118" i="4"/>
  <c r="X118" i="4" s="1"/>
  <c r="W72" i="4"/>
  <c r="X72" i="4" s="1"/>
  <c r="W73" i="4"/>
  <c r="X73" i="4" s="1"/>
  <c r="W51" i="4"/>
  <c r="X51" i="4" s="1"/>
  <c r="W99" i="4"/>
  <c r="X99" i="4" s="1"/>
  <c r="W42" i="4"/>
  <c r="X42" i="4" s="1"/>
  <c r="W134" i="4"/>
  <c r="X134" i="4" s="1"/>
  <c r="W43" i="4"/>
  <c r="X43" i="4" s="1"/>
  <c r="W48" i="4"/>
  <c r="X48" i="4" s="1"/>
  <c r="W53" i="4"/>
  <c r="X53" i="4" s="1"/>
  <c r="W93" i="4"/>
  <c r="X93" i="4" s="1"/>
  <c r="W109" i="4"/>
  <c r="X109" i="4" s="1"/>
  <c r="W125" i="4"/>
  <c r="X125" i="4" s="1"/>
  <c r="Y58" i="4"/>
  <c r="W136" i="4"/>
  <c r="X136" i="4" s="1"/>
  <c r="W141" i="4"/>
  <c r="X141" i="4" s="1"/>
  <c r="W138" i="4"/>
  <c r="X138" i="4" s="1"/>
  <c r="Z18" i="4"/>
  <c r="Y25" i="4"/>
  <c r="Y101" i="4"/>
  <c r="Y33" i="4"/>
  <c r="Y71" i="4"/>
  <c r="Y18" i="4"/>
  <c r="Y93" i="4"/>
  <c r="W28" i="4"/>
  <c r="W103" i="4"/>
  <c r="X103" i="4" s="1"/>
  <c r="Y44" i="4"/>
  <c r="Y22" i="4"/>
  <c r="Y43" i="4"/>
  <c r="Y125" i="4"/>
  <c r="Y127" i="4"/>
  <c r="Y99" i="4"/>
  <c r="W121" i="4"/>
  <c r="X121" i="4" s="1"/>
  <c r="Y115" i="4"/>
  <c r="Y17" i="4"/>
  <c r="W35" i="4"/>
  <c r="W11" i="4"/>
  <c r="Y51" i="4"/>
  <c r="W58" i="4"/>
  <c r="X58" i="4" s="1"/>
  <c r="Y135" i="4"/>
  <c r="Y80" i="4"/>
  <c r="Y109" i="4"/>
  <c r="Y16" i="4"/>
  <c r="W16" i="4"/>
  <c r="W38" i="4"/>
  <c r="X38" i="4" s="1"/>
  <c r="Y23" i="4"/>
  <c r="Y83" i="4"/>
  <c r="Y29" i="4"/>
  <c r="Y141" i="4"/>
  <c r="Y128" i="4"/>
  <c r="Y73" i="4"/>
  <c r="Y72" i="4"/>
  <c r="Y78" i="4"/>
  <c r="Y85" i="4"/>
  <c r="Y87" i="4"/>
  <c r="Y27" i="4"/>
  <c r="Y36" i="4"/>
  <c r="Y139" i="4"/>
  <c r="Y77" i="4"/>
  <c r="Y96" i="4"/>
  <c r="Y34" i="4"/>
  <c r="Y14" i="4"/>
  <c r="Y53" i="4"/>
  <c r="Y55" i="4"/>
  <c r="Y31" i="4"/>
  <c r="Y98" i="4"/>
  <c r="Y144" i="4"/>
  <c r="Y134" i="4"/>
  <c r="Y30" i="4"/>
  <c r="Y151" i="4"/>
  <c r="Y15" i="4"/>
  <c r="Y86" i="4"/>
  <c r="Y66" i="4"/>
  <c r="Y9" i="4"/>
  <c r="Y70" i="4"/>
  <c r="Y20" i="4"/>
  <c r="Y10" i="4"/>
  <c r="Y12" i="4"/>
  <c r="Y105" i="4"/>
  <c r="Y13" i="4"/>
  <c r="Y42" i="4"/>
  <c r="Z117" i="4"/>
  <c r="Y119" i="4"/>
  <c r="Q403" i="10"/>
  <c r="R403" i="10" s="1"/>
  <c r="Q300" i="10"/>
  <c r="R300" i="10" s="1"/>
  <c r="Z7" i="4"/>
  <c r="AA7" i="4" s="1"/>
  <c r="AB7" i="4" s="1"/>
  <c r="Q185" i="10"/>
  <c r="R185" i="10" s="1"/>
  <c r="Q365" i="10"/>
  <c r="R365" i="10" s="1"/>
  <c r="Q92" i="10"/>
  <c r="R92" i="10" s="1"/>
  <c r="Q353" i="10"/>
  <c r="S353" i="10" s="1"/>
  <c r="Q174" i="10"/>
  <c r="R174" i="10" s="1"/>
  <c r="Q122" i="10"/>
  <c r="S122" i="10" s="1"/>
  <c r="Q455" i="10"/>
  <c r="R455" i="10" s="1"/>
  <c r="Q513" i="10"/>
  <c r="R513" i="10" s="1"/>
  <c r="Q377" i="10"/>
  <c r="R377" i="10" s="1"/>
  <c r="Q348" i="10"/>
  <c r="R348" i="10" s="1"/>
  <c r="Q56" i="10"/>
  <c r="Q291" i="10"/>
  <c r="R291" i="10" s="1"/>
  <c r="Q548" i="10"/>
  <c r="S548" i="10" s="1"/>
  <c r="Q54" i="10"/>
  <c r="S54" i="10" s="1"/>
  <c r="Q165" i="10"/>
  <c r="R165" i="10" s="1"/>
  <c r="Q127" i="10"/>
  <c r="S127" i="10" s="1"/>
  <c r="Q465" i="10"/>
  <c r="R465" i="10" s="1"/>
  <c r="Q444" i="10"/>
  <c r="R444" i="10" s="1"/>
  <c r="Q502" i="10"/>
  <c r="Q116" i="10"/>
  <c r="S116" i="10" s="1"/>
  <c r="Q544" i="10"/>
  <c r="R544" i="10" s="1"/>
  <c r="Q514" i="10"/>
  <c r="Q82" i="10"/>
  <c r="S82" i="10" s="1"/>
  <c r="Q325" i="10"/>
  <c r="S325" i="10" s="1"/>
  <c r="Q126" i="10"/>
  <c r="R126" i="10" s="1"/>
  <c r="Q356" i="10"/>
  <c r="S356" i="10" s="1"/>
  <c r="Q558" i="10"/>
  <c r="S558" i="10" s="1"/>
  <c r="Q440" i="10"/>
  <c r="R440" i="10" s="1"/>
  <c r="Q129" i="10"/>
  <c r="S129" i="10" s="1"/>
  <c r="Q164" i="10"/>
  <c r="S164" i="10" s="1"/>
  <c r="Q141" i="10"/>
  <c r="S141" i="10" s="1"/>
  <c r="Q326" i="10"/>
  <c r="R326" i="10" s="1"/>
  <c r="Q432" i="10"/>
  <c r="S432" i="10" s="1"/>
  <c r="Q526" i="10"/>
  <c r="S526" i="10" s="1"/>
  <c r="Q85" i="10"/>
  <c r="S85" i="10" s="1"/>
  <c r="Q69" i="10"/>
  <c r="R69" i="10" s="1"/>
  <c r="Q412" i="10"/>
  <c r="S412" i="10" s="1"/>
  <c r="Q317" i="10"/>
  <c r="R317" i="10" s="1"/>
  <c r="Q272" i="10"/>
  <c r="S272" i="10" s="1"/>
  <c r="Q110" i="10"/>
  <c r="R110" i="10" s="1"/>
  <c r="Q509" i="10"/>
  <c r="S509" i="10" s="1"/>
  <c r="Q340" i="10"/>
  <c r="Q77" i="10"/>
  <c r="R77" i="10" s="1"/>
  <c r="Q543" i="10"/>
  <c r="S543" i="10" s="1"/>
  <c r="Q534" i="10"/>
  <c r="Q426" i="10"/>
  <c r="Q301" i="10"/>
  <c r="S301" i="10" s="1"/>
  <c r="Q113" i="10"/>
  <c r="R113" i="10" s="1"/>
  <c r="Q58" i="10"/>
  <c r="Q180" i="10"/>
  <c r="R180" i="10" s="1"/>
  <c r="Q157" i="10"/>
  <c r="S157" i="10" s="1"/>
  <c r="Q259" i="10"/>
  <c r="R259" i="10" s="1"/>
  <c r="Q342" i="10"/>
  <c r="Q335" i="10"/>
  <c r="Q437" i="10"/>
  <c r="S437" i="10" s="1"/>
  <c r="Q478" i="10"/>
  <c r="R478" i="10" s="1"/>
  <c r="Q552" i="10"/>
  <c r="Q222" i="10"/>
  <c r="R222" i="10" s="1"/>
  <c r="Q420" i="10"/>
  <c r="S420" i="10" s="1"/>
  <c r="Q280" i="10"/>
  <c r="S280" i="10" s="1"/>
  <c r="Q522" i="10"/>
  <c r="R522" i="10" s="1"/>
  <c r="Q93" i="10"/>
  <c r="R93" i="10" s="1"/>
  <c r="Q510" i="10"/>
  <c r="R510" i="10" s="1"/>
  <c r="Q304" i="10"/>
  <c r="Q33" i="10"/>
  <c r="R33" i="10" s="1"/>
  <c r="Q251" i="10"/>
  <c r="S251" i="10" s="1"/>
  <c r="Q319" i="10"/>
  <c r="S319" i="10" s="1"/>
  <c r="Q462" i="10"/>
  <c r="S462" i="10" s="1"/>
  <c r="Q556" i="10"/>
  <c r="Q380" i="10"/>
  <c r="R380" i="10" s="1"/>
  <c r="Q182" i="10"/>
  <c r="S182" i="10" s="1"/>
  <c r="Q516" i="10"/>
  <c r="S516" i="10" s="1"/>
  <c r="Q393" i="10"/>
  <c r="R393" i="10" s="1"/>
  <c r="Q197" i="10"/>
  <c r="S197" i="10" s="1"/>
  <c r="Q73" i="10"/>
  <c r="S73" i="10" s="1"/>
  <c r="Q413" i="10"/>
  <c r="S413" i="10" s="1"/>
  <c r="Q475" i="10"/>
  <c r="R475" i="10" s="1"/>
  <c r="Q202" i="10"/>
  <c r="S202" i="10" s="1"/>
  <c r="Q138" i="10"/>
  <c r="R138" i="10" s="1"/>
  <c r="Q364" i="10"/>
  <c r="Q471" i="10"/>
  <c r="R471" i="10" s="1"/>
  <c r="Q361" i="10"/>
  <c r="S361" i="10" s="1"/>
  <c r="Q253" i="10"/>
  <c r="Q118" i="10"/>
  <c r="R118" i="10" s="1"/>
  <c r="Q100" i="10"/>
  <c r="R100" i="10" s="1"/>
  <c r="Q244" i="10"/>
  <c r="R244" i="10" s="1"/>
  <c r="Q111" i="10"/>
  <c r="R111" i="10" s="1"/>
  <c r="Q283" i="10"/>
  <c r="S283" i="10" s="1"/>
  <c r="Q215" i="10"/>
  <c r="R215" i="10" s="1"/>
  <c r="Q382" i="10"/>
  <c r="R382" i="10" s="1"/>
  <c r="Q422" i="10"/>
  <c r="S422" i="10" s="1"/>
  <c r="Q503" i="10"/>
  <c r="Q553" i="10"/>
  <c r="Q430" i="10"/>
  <c r="Q159" i="10"/>
  <c r="S159" i="10" s="1"/>
  <c r="Q62" i="10"/>
  <c r="S62" i="10" s="1"/>
  <c r="Q130" i="10"/>
  <c r="Q533" i="10"/>
  <c r="R533" i="10" s="1"/>
  <c r="Q472" i="10"/>
  <c r="S472" i="10" s="1"/>
  <c r="Q448" i="10"/>
  <c r="S448" i="10" s="1"/>
  <c r="Q349" i="10"/>
  <c r="Q312" i="10"/>
  <c r="Q147" i="10"/>
  <c r="S147" i="10" s="1"/>
  <c r="Q234" i="10"/>
  <c r="S234" i="10" s="1"/>
  <c r="Q196" i="10"/>
  <c r="Q37" i="10"/>
  <c r="Q523" i="10"/>
  <c r="S523" i="10" s="1"/>
  <c r="Q493" i="10"/>
  <c r="S493" i="10" s="1"/>
  <c r="Q372" i="10"/>
  <c r="R372" i="10" s="1"/>
  <c r="Q225" i="10"/>
  <c r="Q230" i="10"/>
  <c r="S230" i="10" s="1"/>
  <c r="Q178" i="10"/>
  <c r="Q200" i="10"/>
  <c r="Q443" i="10"/>
  <c r="Q201" i="10"/>
  <c r="S201" i="10" s="1"/>
  <c r="Q480" i="10"/>
  <c r="R480" i="10" s="1"/>
  <c r="Q400" i="10"/>
  <c r="Q401" i="10"/>
  <c r="R401" i="10" s="1"/>
  <c r="Q320" i="10"/>
  <c r="Q269" i="10"/>
  <c r="S269" i="10" s="1"/>
  <c r="Q252" i="10"/>
  <c r="Q35" i="10"/>
  <c r="O11" i="10"/>
  <c r="Q11" i="10" s="1"/>
  <c r="Q53" i="10"/>
  <c r="Q148" i="10"/>
  <c r="Q228" i="10"/>
  <c r="S228" i="10" s="1"/>
  <c r="Q88" i="10"/>
  <c r="Q95" i="10"/>
  <c r="Q191" i="10"/>
  <c r="Q275" i="10"/>
  <c r="R275" i="10" s="1"/>
  <c r="Q310" i="10"/>
  <c r="R310" i="10" s="1"/>
  <c r="Q199" i="10"/>
  <c r="S199" i="10" s="1"/>
  <c r="Q481" i="10"/>
  <c r="R481" i="10" s="1"/>
  <c r="Q367" i="10"/>
  <c r="R367" i="10" s="1"/>
  <c r="Q442" i="10"/>
  <c r="R442" i="10" s="1"/>
  <c r="Q406" i="10"/>
  <c r="Q449" i="10"/>
  <c r="Q500" i="10"/>
  <c r="Q10" i="10"/>
  <c r="R10" i="10" s="1"/>
  <c r="Q7" i="10"/>
  <c r="Q559" i="10"/>
  <c r="Q560" i="10"/>
  <c r="R560" i="10" s="1"/>
  <c r="Q537" i="10"/>
  <c r="S537" i="10" s="1"/>
  <c r="Q536" i="10"/>
  <c r="R536" i="10" s="1"/>
  <c r="Q517" i="10"/>
  <c r="Q507" i="10"/>
  <c r="Q524" i="10"/>
  <c r="S524" i="10" s="1"/>
  <c r="Q528" i="10"/>
  <c r="R528" i="10" s="1"/>
  <c r="Q482" i="10"/>
  <c r="Q466" i="10"/>
  <c r="Q453" i="10"/>
  <c r="S453" i="10" s="1"/>
  <c r="Q495" i="10"/>
  <c r="S495" i="10" s="1"/>
  <c r="Q459" i="10"/>
  <c r="Q492" i="10"/>
  <c r="Q410" i="10"/>
  <c r="S410" i="10" s="1"/>
  <c r="Q394" i="10"/>
  <c r="S394" i="10" s="1"/>
  <c r="Q477" i="10"/>
  <c r="Q436" i="10"/>
  <c r="R436" i="10" s="1"/>
  <c r="Q446" i="10"/>
  <c r="S446" i="10" s="1"/>
  <c r="Q423" i="10"/>
  <c r="Q407" i="10"/>
  <c r="Q391" i="10"/>
  <c r="Q370" i="10"/>
  <c r="S370" i="10" s="1"/>
  <c r="Q355" i="10"/>
  <c r="R355" i="10" s="1"/>
  <c r="Q339" i="10"/>
  <c r="Q323" i="10"/>
  <c r="Q306" i="10"/>
  <c r="R306" i="10" s="1"/>
  <c r="Q375" i="10"/>
  <c r="R375" i="10" s="1"/>
  <c r="Q235" i="10"/>
  <c r="Q219" i="10"/>
  <c r="R219" i="10" s="1"/>
  <c r="Q203" i="10"/>
  <c r="Q362" i="10"/>
  <c r="Q346" i="10"/>
  <c r="Q330" i="10"/>
  <c r="Q314" i="10"/>
  <c r="Q302" i="10"/>
  <c r="Q294" i="10"/>
  <c r="Q286" i="10"/>
  <c r="Q278" i="10"/>
  <c r="Q270" i="10"/>
  <c r="R270" i="10" s="1"/>
  <c r="Q262" i="10"/>
  <c r="S262" i="10" s="1"/>
  <c r="Q254" i="10"/>
  <c r="S254" i="10" s="1"/>
  <c r="Q246" i="10"/>
  <c r="S246" i="10" s="1"/>
  <c r="Q179" i="10"/>
  <c r="S179" i="10" s="1"/>
  <c r="Q131" i="10"/>
  <c r="Q115" i="10"/>
  <c r="Q99" i="10"/>
  <c r="S99" i="10" s="1"/>
  <c r="Q83" i="10"/>
  <c r="S83" i="10" s="1"/>
  <c r="Q161" i="10"/>
  <c r="Q145" i="10"/>
  <c r="S145" i="10" s="1"/>
  <c r="Q20" i="10"/>
  <c r="S20" i="10" s="1"/>
  <c r="Q63" i="10"/>
  <c r="Q24" i="10"/>
  <c r="S24" i="10" s="1"/>
  <c r="Q72" i="10"/>
  <c r="Q232" i="10"/>
  <c r="R232" i="10" s="1"/>
  <c r="Q216" i="10"/>
  <c r="S216" i="10" s="1"/>
  <c r="Q184" i="10"/>
  <c r="Q168" i="10"/>
  <c r="R168" i="10" s="1"/>
  <c r="Q152" i="10"/>
  <c r="S152" i="10" s="1"/>
  <c r="Q136" i="10"/>
  <c r="Q120" i="10"/>
  <c r="Q104" i="10"/>
  <c r="S104" i="10" s="1"/>
  <c r="Q55" i="10"/>
  <c r="B43" i="10"/>
  <c r="Q68" i="10"/>
  <c r="S68" i="10" s="1"/>
  <c r="Q39" i="10"/>
  <c r="Q19" i="10"/>
  <c r="R19" i="10" s="1"/>
  <c r="Q30" i="10"/>
  <c r="Q49" i="10"/>
  <c r="Q102" i="10"/>
  <c r="Q28" i="10"/>
  <c r="Q81" i="10"/>
  <c r="S81" i="10" s="1"/>
  <c r="Q109" i="10"/>
  <c r="Q125" i="10"/>
  <c r="S125" i="10" s="1"/>
  <c r="Q242" i="10"/>
  <c r="Q276" i="10"/>
  <c r="Q155" i="10"/>
  <c r="Q249" i="10"/>
  <c r="Q265" i="10"/>
  <c r="R265" i="10" s="1"/>
  <c r="Q281" i="10"/>
  <c r="S281" i="10" s="1"/>
  <c r="Q297" i="10"/>
  <c r="R297" i="10" s="1"/>
  <c r="Q387" i="10"/>
  <c r="Q237" i="10"/>
  <c r="S237" i="10" s="1"/>
  <c r="Q313" i="10"/>
  <c r="R313" i="10" s="1"/>
  <c r="Q345" i="10"/>
  <c r="Q385" i="10"/>
  <c r="S385" i="10" s="1"/>
  <c r="Q457" i="10"/>
  <c r="R457" i="10" s="1"/>
  <c r="Q392" i="10"/>
  <c r="S392" i="10" s="1"/>
  <c r="Q424" i="10"/>
  <c r="R424" i="10" s="1"/>
  <c r="Q491" i="10"/>
  <c r="Q530" i="10"/>
  <c r="S530" i="10" s="1"/>
  <c r="Q177" i="10"/>
  <c r="R177" i="10" s="1"/>
  <c r="Q332" i="10"/>
  <c r="Q452" i="10"/>
  <c r="Q532" i="10"/>
  <c r="S532" i="10" s="1"/>
  <c r="Q42" i="10"/>
  <c r="R42" i="10" s="1"/>
  <c r="Q106" i="10"/>
  <c r="S106" i="10" s="1"/>
  <c r="Q170" i="10"/>
  <c r="Q71" i="10"/>
  <c r="S71" i="10" s="1"/>
  <c r="Q214" i="10"/>
  <c r="Q169" i="10"/>
  <c r="Q209" i="10"/>
  <c r="Q324" i="10"/>
  <c r="S324" i="10" s="1"/>
  <c r="Q368" i="10"/>
  <c r="S368" i="10" s="1"/>
  <c r="Q421" i="10"/>
  <c r="S421" i="10" s="1"/>
  <c r="Q494" i="10"/>
  <c r="Q476" i="10"/>
  <c r="R476" i="10" s="1"/>
  <c r="Q538" i="10"/>
  <c r="Q198" i="10"/>
  <c r="Q490" i="10"/>
  <c r="S490" i="10" s="1"/>
  <c r="Q86" i="10"/>
  <c r="S86" i="10" s="1"/>
  <c r="Q158" i="10"/>
  <c r="R158" i="10" s="1"/>
  <c r="Q50" i="10"/>
  <c r="R50" i="10" s="1"/>
  <c r="Q218" i="10"/>
  <c r="R218" i="10" s="1"/>
  <c r="Q264" i="10"/>
  <c r="S264" i="10" s="1"/>
  <c r="Q296" i="10"/>
  <c r="Q189" i="10"/>
  <c r="Q229" i="10"/>
  <c r="S229" i="10" s="1"/>
  <c r="Q309" i="10"/>
  <c r="R309" i="10" s="1"/>
  <c r="Q341" i="10"/>
  <c r="S341" i="10" s="1"/>
  <c r="Q376" i="10"/>
  <c r="R376" i="10" s="1"/>
  <c r="Q425" i="10"/>
  <c r="S425" i="10" s="1"/>
  <c r="Q404" i="10"/>
  <c r="R404" i="10" s="1"/>
  <c r="Q456" i="10"/>
  <c r="Q506" i="10"/>
  <c r="Q551" i="10"/>
  <c r="S551" i="10" s="1"/>
  <c r="Q27" i="10"/>
  <c r="S27" i="10" s="1"/>
  <c r="Q114" i="10"/>
  <c r="Q166" i="10"/>
  <c r="Q204" i="10"/>
  <c r="S204" i="10" s="1"/>
  <c r="Q45" i="10"/>
  <c r="R45" i="10" s="1"/>
  <c r="Q143" i="10"/>
  <c r="Q217" i="10"/>
  <c r="Q469" i="10"/>
  <c r="Q460" i="10"/>
  <c r="R460" i="10" s="1"/>
  <c r="Q542" i="10"/>
  <c r="R542" i="10" s="1"/>
  <c r="Q549" i="10"/>
  <c r="Q541" i="10"/>
  <c r="Q540" i="10"/>
  <c r="Q525" i="10"/>
  <c r="R525" i="10" s="1"/>
  <c r="Q512" i="10"/>
  <c r="Q499" i="10"/>
  <c r="Q511" i="10"/>
  <c r="R511" i="10" s="1"/>
  <c r="Q489" i="10"/>
  <c r="Q474" i="10"/>
  <c r="Q458" i="10"/>
  <c r="Q445" i="10"/>
  <c r="R445" i="10" s="1"/>
  <c r="Q467" i="10"/>
  <c r="Q434" i="10"/>
  <c r="R434" i="10" s="1"/>
  <c r="Q418" i="10"/>
  <c r="R418" i="10" s="1"/>
  <c r="Q402" i="10"/>
  <c r="S402" i="10" s="1"/>
  <c r="Q386" i="10"/>
  <c r="Q433" i="10"/>
  <c r="Q473" i="10"/>
  <c r="Q431" i="10"/>
  <c r="R431" i="10" s="1"/>
  <c r="Q415" i="10"/>
  <c r="Q399" i="10"/>
  <c r="Q378" i="10"/>
  <c r="Q363" i="10"/>
  <c r="Q347" i="10"/>
  <c r="Q331" i="10"/>
  <c r="Q315" i="10"/>
  <c r="Q383" i="10"/>
  <c r="S383" i="10" s="1"/>
  <c r="Q243" i="10"/>
  <c r="Q227" i="10"/>
  <c r="S227" i="10" s="1"/>
  <c r="Q211" i="10"/>
  <c r="Q195" i="10"/>
  <c r="S195" i="10" s="1"/>
  <c r="Q354" i="10"/>
  <c r="Q338" i="10"/>
  <c r="Q322" i="10"/>
  <c r="R322" i="10" s="1"/>
  <c r="Q307" i="10"/>
  <c r="S307" i="10" s="1"/>
  <c r="Q298" i="10"/>
  <c r="R298" i="10" s="1"/>
  <c r="Q290" i="10"/>
  <c r="Q282" i="10"/>
  <c r="R282" i="10" s="1"/>
  <c r="Q274" i="10"/>
  <c r="Q266" i="10"/>
  <c r="R266" i="10" s="1"/>
  <c r="Q258" i="10"/>
  <c r="Q250" i="10"/>
  <c r="Q187" i="10"/>
  <c r="R187" i="10" s="1"/>
  <c r="Q171" i="10"/>
  <c r="Q123" i="10"/>
  <c r="Q107" i="10"/>
  <c r="R107" i="10" s="1"/>
  <c r="Q91" i="10"/>
  <c r="S91" i="10" s="1"/>
  <c r="Q75" i="10"/>
  <c r="Q153" i="10"/>
  <c r="Q137" i="10"/>
  <c r="Q84" i="10"/>
  <c r="R84" i="10" s="1"/>
  <c r="Q48" i="10"/>
  <c r="Q80" i="10"/>
  <c r="Q240" i="10"/>
  <c r="S240" i="10" s="1"/>
  <c r="Q224" i="10"/>
  <c r="Q192" i="10"/>
  <c r="Q176" i="10"/>
  <c r="S176" i="10" s="1"/>
  <c r="Q160" i="10"/>
  <c r="Q144" i="10"/>
  <c r="R144" i="10" s="1"/>
  <c r="Q128" i="10"/>
  <c r="Q112" i="10"/>
  <c r="S112" i="10" s="1"/>
  <c r="Q61" i="10"/>
  <c r="S61" i="10" s="1"/>
  <c r="Q51" i="10"/>
  <c r="Q29" i="10"/>
  <c r="S29" i="10" s="1"/>
  <c r="Q43" i="10"/>
  <c r="Q31" i="10"/>
  <c r="R31" i="10" s="1"/>
  <c r="Q40" i="10"/>
  <c r="S40" i="10" s="1"/>
  <c r="Q66" i="10"/>
  <c r="Q78" i="10"/>
  <c r="S78" i="10" s="1"/>
  <c r="Q134" i="10"/>
  <c r="S134" i="10" s="1"/>
  <c r="Q52" i="10"/>
  <c r="S52" i="10" s="1"/>
  <c r="Q101" i="10"/>
  <c r="Q117" i="10"/>
  <c r="Q210" i="10"/>
  <c r="S210" i="10" s="1"/>
  <c r="Q260" i="10"/>
  <c r="R260" i="10" s="1"/>
  <c r="Q292" i="10"/>
  <c r="Q181" i="10"/>
  <c r="Q257" i="10"/>
  <c r="Q273" i="10"/>
  <c r="R273" i="10" s="1"/>
  <c r="Q289" i="10"/>
  <c r="R289" i="10" s="1"/>
  <c r="Q305" i="10"/>
  <c r="Q205" i="10"/>
  <c r="R205" i="10" s="1"/>
  <c r="Q336" i="10"/>
  <c r="S336" i="10" s="1"/>
  <c r="Q329" i="10"/>
  <c r="Q8" i="10"/>
  <c r="Q545" i="10"/>
  <c r="S545" i="10" s="1"/>
  <c r="Q555" i="10"/>
  <c r="S555" i="10" s="1"/>
  <c r="Q531" i="10"/>
  <c r="R531" i="10" s="1"/>
  <c r="Q521" i="10"/>
  <c r="S521" i="10" s="1"/>
  <c r="Q508" i="10"/>
  <c r="Q504" i="10"/>
  <c r="S504" i="10" s="1"/>
  <c r="Q496" i="10"/>
  <c r="Q486" i="10"/>
  <c r="R486" i="10" s="1"/>
  <c r="Q470" i="10"/>
  <c r="R470" i="10" s="1"/>
  <c r="Q454" i="10"/>
  <c r="S454" i="10" s="1"/>
  <c r="Q441" i="10"/>
  <c r="Q463" i="10"/>
  <c r="Q428" i="10"/>
  <c r="Q414" i="10"/>
  <c r="R414" i="10" s="1"/>
  <c r="Q398" i="10"/>
  <c r="Q485" i="10"/>
  <c r="Q438" i="10"/>
  <c r="R438" i="10" s="1"/>
  <c r="Q450" i="10"/>
  <c r="R450" i="10" s="1"/>
  <c r="Q427" i="10"/>
  <c r="Q411" i="10"/>
  <c r="Q395" i="10"/>
  <c r="Q374" i="10"/>
  <c r="R374" i="10" s="1"/>
  <c r="Q359" i="10"/>
  <c r="S359" i="10" s="1"/>
  <c r="Q343" i="10"/>
  <c r="S343" i="10" s="1"/>
  <c r="Q327" i="10"/>
  <c r="S327" i="10" s="1"/>
  <c r="Q311" i="10"/>
  <c r="S311" i="10" s="1"/>
  <c r="Q379" i="10"/>
  <c r="Q239" i="10"/>
  <c r="S239" i="10" s="1"/>
  <c r="Q223" i="10"/>
  <c r="Q207" i="10"/>
  <c r="S207" i="10" s="1"/>
  <c r="Q366" i="10"/>
  <c r="S366" i="10" s="1"/>
  <c r="Q350" i="10"/>
  <c r="R350" i="10" s="1"/>
  <c r="Q334" i="10"/>
  <c r="S334" i="10" s="1"/>
  <c r="Q318" i="10"/>
  <c r="Q303" i="10"/>
  <c r="Q295" i="10"/>
  <c r="Q287" i="10"/>
  <c r="R287" i="10" s="1"/>
  <c r="Q279" i="10"/>
  <c r="Q271" i="10"/>
  <c r="S271" i="10" s="1"/>
  <c r="Q263" i="10"/>
  <c r="Q255" i="10"/>
  <c r="R255" i="10" s="1"/>
  <c r="Q247" i="10"/>
  <c r="R247" i="10" s="1"/>
  <c r="Q183" i="10"/>
  <c r="Q167" i="10"/>
  <c r="S167" i="10" s="1"/>
  <c r="Q119" i="10"/>
  <c r="R119" i="10" s="1"/>
  <c r="Q103" i="10"/>
  <c r="S103" i="10" s="1"/>
  <c r="Q87" i="10"/>
  <c r="Q67" i="10"/>
  <c r="S67" i="10" s="1"/>
  <c r="Q149" i="10"/>
  <c r="S149" i="10" s="1"/>
  <c r="Q44" i="10"/>
  <c r="S44" i="10" s="1"/>
  <c r="Q65" i="10"/>
  <c r="Q26" i="10"/>
  <c r="R26" i="10" s="1"/>
  <c r="Q76" i="10"/>
  <c r="Q236" i="10"/>
  <c r="Q220" i="10"/>
  <c r="Q188" i="10"/>
  <c r="Q172" i="10"/>
  <c r="Q156" i="10"/>
  <c r="R156" i="10" s="1"/>
  <c r="Q140" i="10"/>
  <c r="Q124" i="10"/>
  <c r="Q108" i="10"/>
  <c r="Q59" i="10"/>
  <c r="Q46" i="10"/>
  <c r="S46" i="10" s="1"/>
  <c r="Q96" i="10"/>
  <c r="Q41" i="10"/>
  <c r="Q23" i="10"/>
  <c r="R23" i="10" s="1"/>
  <c r="Q21" i="10"/>
  <c r="S21" i="10" s="1"/>
  <c r="Q47" i="10"/>
  <c r="Q94" i="10"/>
  <c r="R94" i="10" s="1"/>
  <c r="Q150" i="10"/>
  <c r="S150" i="10" s="1"/>
  <c r="Q57" i="10"/>
  <c r="Q105" i="10"/>
  <c r="R105" i="10" s="1"/>
  <c r="Q121" i="10"/>
  <c r="Q226" i="10"/>
  <c r="S226" i="10" s="1"/>
  <c r="Q268" i="10"/>
  <c r="Q139" i="10"/>
  <c r="Q245" i="10"/>
  <c r="Q261" i="10"/>
  <c r="S261" i="10" s="1"/>
  <c r="Q277" i="10"/>
  <c r="R277" i="10" s="1"/>
  <c r="Q293" i="10"/>
  <c r="S293" i="10" s="1"/>
  <c r="Q381" i="10"/>
  <c r="S381" i="10" s="1"/>
  <c r="Q221" i="10"/>
  <c r="Q352" i="10"/>
  <c r="S352" i="10" s="1"/>
  <c r="Q337" i="10"/>
  <c r="Q435" i="10"/>
  <c r="S435" i="10" s="1"/>
  <c r="Q461" i="10"/>
  <c r="R461" i="10" s="1"/>
  <c r="Q384" i="10"/>
  <c r="Q416" i="10"/>
  <c r="Q464" i="10"/>
  <c r="Q520" i="10"/>
  <c r="Q527" i="10"/>
  <c r="Q316" i="10"/>
  <c r="R316" i="10" s="1"/>
  <c r="Q397" i="10"/>
  <c r="R397" i="10" s="1"/>
  <c r="Q484" i="10"/>
  <c r="S484" i="10" s="1"/>
  <c r="Q32" i="10"/>
  <c r="Q90" i="10"/>
  <c r="Q154" i="10"/>
  <c r="R154" i="10" s="1"/>
  <c r="Q194" i="10"/>
  <c r="Q133" i="10"/>
  <c r="S133" i="10" s="1"/>
  <c r="Q151" i="10"/>
  <c r="S151" i="10" s="1"/>
  <c r="Q373" i="10"/>
  <c r="Q308" i="10"/>
  <c r="S308" i="10" s="1"/>
  <c r="Q360" i="10"/>
  <c r="R360" i="10" s="1"/>
  <c r="Q405" i="10"/>
  <c r="Q468" i="10"/>
  <c r="Q505" i="10"/>
  <c r="R505" i="10" s="1"/>
  <c r="Q515" i="10"/>
  <c r="Q535" i="10"/>
  <c r="S535" i="10" s="1"/>
  <c r="Q447" i="10"/>
  <c r="S447" i="10" s="1"/>
  <c r="Q70" i="10"/>
  <c r="R70" i="10" s="1"/>
  <c r="Q142" i="10"/>
  <c r="Q38" i="10"/>
  <c r="Q89" i="10"/>
  <c r="Q256" i="10"/>
  <c r="R256" i="10" s="1"/>
  <c r="Q288" i="10"/>
  <c r="Q173" i="10"/>
  <c r="Q213" i="10"/>
  <c r="R213" i="10" s="1"/>
  <c r="Q344" i="10"/>
  <c r="S344" i="10" s="1"/>
  <c r="Q333" i="10"/>
  <c r="Q369" i="10"/>
  <c r="R369" i="10" s="1"/>
  <c r="Q409" i="10"/>
  <c r="R409" i="10" s="1"/>
  <c r="Q396" i="10"/>
  <c r="S396" i="10" s="1"/>
  <c r="Q479" i="10"/>
  <c r="Q501" i="10"/>
  <c r="Q519" i="10"/>
  <c r="S519" i="10" s="1"/>
  <c r="Q557" i="10"/>
  <c r="Q98" i="10"/>
  <c r="S98" i="10" s="1"/>
  <c r="Q162" i="10"/>
  <c r="R162" i="10" s="1"/>
  <c r="Q190" i="10"/>
  <c r="S190" i="10" s="1"/>
  <c r="Q22" i="10"/>
  <c r="R22" i="10" s="1"/>
  <c r="Q238" i="10"/>
  <c r="Q206" i="10"/>
  <c r="Q429" i="10"/>
  <c r="R429" i="10" s="1"/>
  <c r="Q451" i="10"/>
  <c r="R451" i="10" s="1"/>
  <c r="Q550" i="10"/>
  <c r="Q547" i="10"/>
  <c r="R547" i="10" s="1"/>
  <c r="Q554" i="10"/>
  <c r="R554" i="10" s="1"/>
  <c r="Q439" i="10"/>
  <c r="R439" i="10" s="1"/>
  <c r="Q193" i="10"/>
  <c r="Q208" i="10"/>
  <c r="Q146" i="10"/>
  <c r="Q539" i="10"/>
  <c r="R539" i="10" s="1"/>
  <c r="Q498" i="10"/>
  <c r="Q388" i="10"/>
  <c r="Q357" i="10"/>
  <c r="S357" i="10" s="1"/>
  <c r="Q328" i="10"/>
  <c r="R328" i="10" s="1"/>
  <c r="Q163" i="10"/>
  <c r="Q248" i="10"/>
  <c r="R248" i="10" s="1"/>
  <c r="Q25" i="10"/>
  <c r="R25" i="10" s="1"/>
  <c r="Q64" i="10"/>
  <c r="R64" i="10" s="1"/>
  <c r="Q546" i="10"/>
  <c r="Q487" i="10"/>
  <c r="Q389" i="10"/>
  <c r="S389" i="10" s="1"/>
  <c r="Q241" i="10"/>
  <c r="Q135" i="10"/>
  <c r="Q186" i="10"/>
  <c r="Q74" i="10"/>
  <c r="R74" i="10" s="1"/>
  <c r="Q483" i="10"/>
  <c r="R483" i="10" s="1"/>
  <c r="Q233" i="10"/>
  <c r="Q497" i="10"/>
  <c r="Q408" i="10"/>
  <c r="S408" i="10" s="1"/>
  <c r="Q417" i="10"/>
  <c r="S417" i="10" s="1"/>
  <c r="Q321" i="10"/>
  <c r="Q285" i="10"/>
  <c r="R285" i="10" s="1"/>
  <c r="Q284" i="10"/>
  <c r="R284" i="10" s="1"/>
  <c r="Q97" i="10"/>
  <c r="S97" i="10" s="1"/>
  <c r="Q34" i="10"/>
  <c r="Q36" i="10"/>
  <c r="S36" i="10" s="1"/>
  <c r="Q132" i="10"/>
  <c r="Q212" i="10"/>
  <c r="S212" i="10" s="1"/>
  <c r="Q60" i="10"/>
  <c r="Q79" i="10"/>
  <c r="Q175" i="10"/>
  <c r="S175" i="10" s="1"/>
  <c r="Q267" i="10"/>
  <c r="S267" i="10" s="1"/>
  <c r="Q299" i="10"/>
  <c r="R299" i="10" s="1"/>
  <c r="Q358" i="10"/>
  <c r="Q371" i="10"/>
  <c r="Q351" i="10"/>
  <c r="Q419" i="10"/>
  <c r="Q390" i="10"/>
  <c r="Q488" i="10"/>
  <c r="Q518" i="10"/>
  <c r="Q529" i="10"/>
  <c r="R7" i="5"/>
  <c r="Q274" i="5"/>
  <c r="R274" i="5" s="1"/>
  <c r="Q481" i="5"/>
  <c r="S481" i="5" s="1"/>
  <c r="Q205" i="5"/>
  <c r="R205" i="5" s="1"/>
  <c r="Q288" i="5"/>
  <c r="R288" i="5" s="1"/>
  <c r="Q52" i="5"/>
  <c r="R52" i="5" s="1"/>
  <c r="Q397" i="5"/>
  <c r="R397" i="5" s="1"/>
  <c r="Q422" i="5"/>
  <c r="R422" i="5" s="1"/>
  <c r="Q115" i="5"/>
  <c r="S115" i="5" s="1"/>
  <c r="Q470" i="5"/>
  <c r="S470" i="5" s="1"/>
  <c r="X7" i="10"/>
  <c r="Y7" i="10"/>
  <c r="T9" i="10"/>
  <c r="Q9" i="10"/>
  <c r="W9" i="10"/>
  <c r="AG9" i="10"/>
  <c r="X8" i="10"/>
  <c r="Y8" i="10"/>
  <c r="X10" i="10"/>
  <c r="Y10" i="10"/>
  <c r="Q117" i="5"/>
  <c r="S117" i="5" s="1"/>
  <c r="Q440" i="5"/>
  <c r="R440" i="5" s="1"/>
  <c r="Q540" i="5"/>
  <c r="S540" i="5" s="1"/>
  <c r="Q22" i="5"/>
  <c r="S22" i="5" s="1"/>
  <c r="Q138" i="5"/>
  <c r="S138" i="5" s="1"/>
  <c r="Q229" i="5"/>
  <c r="R229" i="5" s="1"/>
  <c r="Q408" i="5"/>
  <c r="R408" i="5" s="1"/>
  <c r="Q437" i="5"/>
  <c r="R437" i="5" s="1"/>
  <c r="Q89" i="5"/>
  <c r="S89" i="5" s="1"/>
  <c r="Q204" i="5"/>
  <c r="R204" i="5" s="1"/>
  <c r="Q73" i="5"/>
  <c r="S73" i="5" s="1"/>
  <c r="Q216" i="5"/>
  <c r="R216" i="5" s="1"/>
  <c r="Q346" i="5"/>
  <c r="S346" i="5" s="1"/>
  <c r="Q504" i="5"/>
  <c r="R504" i="5" s="1"/>
  <c r="Q525" i="5"/>
  <c r="R525" i="5" s="1"/>
  <c r="Q306" i="5"/>
  <c r="S306" i="5" s="1"/>
  <c r="X473" i="10"/>
  <c r="Y473" i="10"/>
  <c r="X415" i="10"/>
  <c r="Y415" i="10"/>
  <c r="Y313" i="10"/>
  <c r="X313" i="10"/>
  <c r="X152" i="10"/>
  <c r="Y152" i="10"/>
  <c r="X284" i="10"/>
  <c r="Y284" i="10"/>
  <c r="Y79" i="10"/>
  <c r="X79" i="10"/>
  <c r="X186" i="10"/>
  <c r="Y186" i="10"/>
  <c r="Y546" i="10"/>
  <c r="X546" i="10"/>
  <c r="Y513" i="10"/>
  <c r="X513" i="10"/>
  <c r="Y443" i="10"/>
  <c r="X443" i="10"/>
  <c r="X427" i="10"/>
  <c r="Y427" i="10"/>
  <c r="X322" i="10"/>
  <c r="Y322" i="10"/>
  <c r="Y340" i="10"/>
  <c r="X340" i="10"/>
  <c r="Y227" i="10"/>
  <c r="X227" i="10"/>
  <c r="X377" i="10"/>
  <c r="Y377" i="10"/>
  <c r="Y141" i="10"/>
  <c r="X141" i="10"/>
  <c r="Y105" i="10"/>
  <c r="X105" i="10"/>
  <c r="Y139" i="10"/>
  <c r="X139" i="10"/>
  <c r="Y119" i="10"/>
  <c r="X119" i="10"/>
  <c r="Y196" i="10"/>
  <c r="X196" i="10"/>
  <c r="X44" i="10"/>
  <c r="Y44" i="10"/>
  <c r="Y66" i="10"/>
  <c r="X66" i="10"/>
  <c r="Y537" i="10"/>
  <c r="X537" i="10"/>
  <c r="Y501" i="10"/>
  <c r="X501" i="10"/>
  <c r="Y390" i="10"/>
  <c r="X390" i="10"/>
  <c r="X291" i="10"/>
  <c r="Y291" i="10"/>
  <c r="Y312" i="10"/>
  <c r="X312" i="10"/>
  <c r="Y153" i="10"/>
  <c r="X153" i="10"/>
  <c r="Y550" i="10"/>
  <c r="X550" i="10"/>
  <c r="Y523" i="10"/>
  <c r="X523" i="10"/>
  <c r="Y497" i="10"/>
  <c r="X497" i="10"/>
  <c r="Y439" i="10"/>
  <c r="X439" i="10"/>
  <c r="Y453" i="10"/>
  <c r="X453" i="10"/>
  <c r="X437" i="10"/>
  <c r="Y437" i="10"/>
  <c r="Y402" i="10"/>
  <c r="X402" i="10"/>
  <c r="X436" i="10"/>
  <c r="Y436" i="10"/>
  <c r="Y400" i="10"/>
  <c r="X400" i="10"/>
  <c r="X407" i="10"/>
  <c r="Y407" i="10"/>
  <c r="Y351" i="10"/>
  <c r="X351" i="10"/>
  <c r="Y319" i="10"/>
  <c r="X319" i="10"/>
  <c r="X267" i="10"/>
  <c r="Y267" i="10"/>
  <c r="X365" i="10"/>
  <c r="Y365" i="10"/>
  <c r="Y333" i="10"/>
  <c r="X333" i="10"/>
  <c r="Y364" i="10"/>
  <c r="X364" i="10"/>
  <c r="Y239" i="10"/>
  <c r="X239" i="10"/>
  <c r="Y175" i="10"/>
  <c r="X175" i="10"/>
  <c r="Y293" i="10"/>
  <c r="X293" i="10"/>
  <c r="Y277" i="10"/>
  <c r="X277" i="10"/>
  <c r="Y261" i="10"/>
  <c r="X261" i="10"/>
  <c r="Y245" i="10"/>
  <c r="X245" i="10"/>
  <c r="Y77" i="10"/>
  <c r="X77" i="10"/>
  <c r="X132" i="10"/>
  <c r="Y132" i="10"/>
  <c r="X100" i="10"/>
  <c r="Y100" i="10"/>
  <c r="X272" i="10"/>
  <c r="Y272" i="10"/>
  <c r="Y159" i="10"/>
  <c r="X159" i="10"/>
  <c r="X84" i="10"/>
  <c r="Y84" i="10"/>
  <c r="Y24" i="10"/>
  <c r="X24" i="10"/>
  <c r="X190" i="10"/>
  <c r="Y190" i="10"/>
  <c r="Y64" i="10"/>
  <c r="X64" i="10"/>
  <c r="Y57" i="10"/>
  <c r="X57" i="10"/>
  <c r="Y42" i="10"/>
  <c r="X42" i="10"/>
  <c r="Y462" i="10"/>
  <c r="X462" i="10"/>
  <c r="Y382" i="10"/>
  <c r="X382" i="10"/>
  <c r="Y331" i="10"/>
  <c r="X331" i="10"/>
  <c r="Y345" i="10"/>
  <c r="X345" i="10"/>
  <c r="Y549" i="10"/>
  <c r="X549" i="10"/>
  <c r="Y553" i="10"/>
  <c r="X553" i="10"/>
  <c r="Y521" i="10"/>
  <c r="X521" i="10"/>
  <c r="X516" i="10"/>
  <c r="Y516" i="10"/>
  <c r="Y493" i="10"/>
  <c r="X493" i="10"/>
  <c r="Y451" i="10"/>
  <c r="X451" i="10"/>
  <c r="Y370" i="10"/>
  <c r="X370" i="10"/>
  <c r="X279" i="10"/>
  <c r="Y279" i="10"/>
  <c r="Y376" i="10"/>
  <c r="X376" i="10"/>
  <c r="X334" i="10"/>
  <c r="Y334" i="10"/>
  <c r="Y348" i="10"/>
  <c r="X348" i="10"/>
  <c r="Y219" i="10"/>
  <c r="X219" i="10"/>
  <c r="X373" i="10"/>
  <c r="Y373" i="10"/>
  <c r="Y133" i="10"/>
  <c r="X133" i="10"/>
  <c r="Y101" i="10"/>
  <c r="X101" i="10"/>
  <c r="Y147" i="10"/>
  <c r="X147" i="10"/>
  <c r="Y204" i="10"/>
  <c r="X204" i="10"/>
  <c r="X58" i="10"/>
  <c r="Y58" i="10"/>
  <c r="Y47" i="10"/>
  <c r="X47" i="10"/>
  <c r="Y200" i="10"/>
  <c r="X200" i="10"/>
  <c r="Y40" i="10"/>
  <c r="X40" i="10"/>
  <c r="Y134" i="10"/>
  <c r="X134" i="10"/>
  <c r="Y61" i="10"/>
  <c r="X61" i="10"/>
  <c r="X214" i="10"/>
  <c r="Y214" i="10"/>
  <c r="X230" i="10"/>
  <c r="Y230" i="10"/>
  <c r="Y106" i="10"/>
  <c r="X106" i="10"/>
  <c r="Y138" i="10"/>
  <c r="X138" i="10"/>
  <c r="Y168" i="10"/>
  <c r="X168" i="10"/>
  <c r="Y184" i="10"/>
  <c r="X184" i="10"/>
  <c r="Y154" i="10"/>
  <c r="X154" i="10"/>
  <c r="Y169" i="10"/>
  <c r="X169" i="10"/>
  <c r="Y185" i="10"/>
  <c r="X185" i="10"/>
  <c r="X216" i="10"/>
  <c r="Y216" i="10"/>
  <c r="X232" i="10"/>
  <c r="Y232" i="10"/>
  <c r="Y209" i="10"/>
  <c r="X209" i="10"/>
  <c r="Y225" i="10"/>
  <c r="X225" i="10"/>
  <c r="Y241" i="10"/>
  <c r="X241" i="10"/>
  <c r="X258" i="10"/>
  <c r="Y258" i="10"/>
  <c r="X274" i="10"/>
  <c r="Y274" i="10"/>
  <c r="X290" i="10"/>
  <c r="Y290" i="10"/>
  <c r="X306" i="10"/>
  <c r="Y306" i="10"/>
  <c r="X389" i="10"/>
  <c r="Y389" i="10"/>
  <c r="X405" i="10"/>
  <c r="Y405" i="10"/>
  <c r="X421" i="10"/>
  <c r="Y421" i="10"/>
  <c r="X375" i="10"/>
  <c r="Y375" i="10"/>
  <c r="Y455" i="10"/>
  <c r="X455" i="10"/>
  <c r="Y494" i="10"/>
  <c r="X494" i="10"/>
  <c r="Y448" i="10"/>
  <c r="X448" i="10"/>
  <c r="Y489" i="10"/>
  <c r="X489" i="10"/>
  <c r="Y538" i="10"/>
  <c r="X538" i="10"/>
  <c r="Y515" i="10"/>
  <c r="X515" i="10"/>
  <c r="X540" i="10"/>
  <c r="Y540" i="10"/>
  <c r="Q9" i="5"/>
  <c r="Q65" i="5"/>
  <c r="S65" i="5" s="1"/>
  <c r="Q160" i="5"/>
  <c r="R160" i="5" s="1"/>
  <c r="Q188" i="5"/>
  <c r="S188" i="5" s="1"/>
  <c r="Q266" i="5"/>
  <c r="R266" i="5" s="1"/>
  <c r="Q287" i="5"/>
  <c r="R287" i="5" s="1"/>
  <c r="Q363" i="5"/>
  <c r="S363" i="5" s="1"/>
  <c r="Q483" i="5"/>
  <c r="S483" i="5" s="1"/>
  <c r="Q492" i="5"/>
  <c r="R492" i="5" s="1"/>
  <c r="Q515" i="5"/>
  <c r="R515" i="5" s="1"/>
  <c r="Q95" i="5"/>
  <c r="R95" i="5" s="1"/>
  <c r="Q329" i="5"/>
  <c r="R329" i="5" s="1"/>
  <c r="Q33" i="5"/>
  <c r="S33" i="5" s="1"/>
  <c r="X560" i="10"/>
  <c r="Y560" i="10"/>
  <c r="Y509" i="10"/>
  <c r="X509" i="10"/>
  <c r="Y447" i="10"/>
  <c r="X447" i="10"/>
  <c r="Y366" i="10"/>
  <c r="X366" i="10"/>
  <c r="Y355" i="10"/>
  <c r="X355" i="10"/>
  <c r="Y372" i="10"/>
  <c r="X372" i="10"/>
  <c r="Y328" i="10"/>
  <c r="X328" i="10"/>
  <c r="Y137" i="10"/>
  <c r="X137" i="10"/>
  <c r="X144" i="10"/>
  <c r="Y144" i="10"/>
  <c r="X112" i="10"/>
  <c r="Y112" i="10"/>
  <c r="X276" i="10"/>
  <c r="Y276" i="10"/>
  <c r="Y151" i="10"/>
  <c r="X151" i="10"/>
  <c r="Y63" i="10"/>
  <c r="X63" i="10"/>
  <c r="X55" i="10"/>
  <c r="Y55" i="10"/>
  <c r="Y38" i="10"/>
  <c r="X38" i="10"/>
  <c r="X178" i="10"/>
  <c r="Y178" i="10"/>
  <c r="X86" i="10"/>
  <c r="Y86" i="10"/>
  <c r="Y545" i="10"/>
  <c r="X545" i="10"/>
  <c r="Y529" i="10"/>
  <c r="X529" i="10"/>
  <c r="X511" i="10"/>
  <c r="Y511" i="10"/>
  <c r="X520" i="10"/>
  <c r="Y520" i="10"/>
  <c r="Y458" i="10"/>
  <c r="X458" i="10"/>
  <c r="Y471" i="10"/>
  <c r="X471" i="10"/>
  <c r="Y430" i="10"/>
  <c r="X430" i="10"/>
  <c r="Y424" i="10"/>
  <c r="X424" i="10"/>
  <c r="X411" i="10"/>
  <c r="Y411" i="10"/>
  <c r="X287" i="10"/>
  <c r="Y287" i="10"/>
  <c r="X346" i="10"/>
  <c r="Y346" i="10"/>
  <c r="X314" i="10"/>
  <c r="Y314" i="10"/>
  <c r="Y324" i="10"/>
  <c r="X324" i="10"/>
  <c r="Y211" i="10"/>
  <c r="X211" i="10"/>
  <c r="Y305" i="10"/>
  <c r="X305" i="10"/>
  <c r="Y129" i="10"/>
  <c r="X129" i="10"/>
  <c r="Y97" i="10"/>
  <c r="X97" i="10"/>
  <c r="Y131" i="10"/>
  <c r="X131" i="10"/>
  <c r="Y115" i="10"/>
  <c r="X115" i="10"/>
  <c r="Y99" i="10"/>
  <c r="X99" i="10"/>
  <c r="X88" i="10"/>
  <c r="Y88" i="10"/>
  <c r="Y20" i="10"/>
  <c r="X20" i="10"/>
  <c r="X98" i="10"/>
  <c r="Y98" i="10"/>
  <c r="X536" i="10"/>
  <c r="Y536" i="10"/>
  <c r="X491" i="10"/>
  <c r="Y491" i="10"/>
  <c r="Y396" i="10"/>
  <c r="X396" i="10"/>
  <c r="Y321" i="10"/>
  <c r="X321" i="10"/>
  <c r="Y215" i="10"/>
  <c r="X215" i="10"/>
  <c r="X556" i="10"/>
  <c r="Y556" i="10"/>
  <c r="X531" i="10"/>
  <c r="Y531" i="10"/>
  <c r="Y504" i="10"/>
  <c r="X504" i="10"/>
  <c r="Y505" i="10"/>
  <c r="X505" i="10"/>
  <c r="Y490" i="10"/>
  <c r="X490" i="10"/>
  <c r="Y449" i="10"/>
  <c r="X449" i="10"/>
  <c r="Y426" i="10"/>
  <c r="X426" i="10"/>
  <c r="Y394" i="10"/>
  <c r="X394" i="10"/>
  <c r="X432" i="10"/>
  <c r="Y432" i="10"/>
  <c r="Y392" i="10"/>
  <c r="X392" i="10"/>
  <c r="X391" i="10"/>
  <c r="Y391" i="10"/>
  <c r="Y343" i="10"/>
  <c r="X343" i="10"/>
  <c r="Y311" i="10"/>
  <c r="X311" i="10"/>
  <c r="X251" i="10"/>
  <c r="Y251" i="10"/>
  <c r="Y357" i="10"/>
  <c r="X357" i="10"/>
  <c r="Y325" i="10"/>
  <c r="X325" i="10"/>
  <c r="Y352" i="10"/>
  <c r="X352" i="10"/>
  <c r="Y223" i="10"/>
  <c r="X223" i="10"/>
  <c r="X300" i="10"/>
  <c r="Y300" i="10"/>
  <c r="Y289" i="10"/>
  <c r="X289" i="10"/>
  <c r="Y273" i="10"/>
  <c r="X273" i="10"/>
  <c r="Y257" i="10"/>
  <c r="X257" i="10"/>
  <c r="Y161" i="10"/>
  <c r="X161" i="10"/>
  <c r="X156" i="10"/>
  <c r="Y156" i="10"/>
  <c r="X124" i="10"/>
  <c r="Y124" i="10"/>
  <c r="X296" i="10"/>
  <c r="Y296" i="10"/>
  <c r="X264" i="10"/>
  <c r="Y264" i="10"/>
  <c r="Y143" i="10"/>
  <c r="X143" i="10"/>
  <c r="Y53" i="10"/>
  <c r="X53" i="10"/>
  <c r="X41" i="10"/>
  <c r="Y41" i="10"/>
  <c r="X182" i="10"/>
  <c r="Y182" i="10"/>
  <c r="Y56" i="10"/>
  <c r="X56" i="10"/>
  <c r="Y54" i="10"/>
  <c r="X54" i="10"/>
  <c r="X555" i="10"/>
  <c r="Y555" i="10"/>
  <c r="X485" i="10"/>
  <c r="Y485" i="10"/>
  <c r="Y420" i="10"/>
  <c r="X420" i="10"/>
  <c r="Y307" i="10"/>
  <c r="X307" i="10"/>
  <c r="Y337" i="10"/>
  <c r="X337" i="10"/>
  <c r="X559" i="10"/>
  <c r="Y559" i="10"/>
  <c r="Y542" i="10"/>
  <c r="X542" i="10"/>
  <c r="X532" i="10"/>
  <c r="Y532" i="10"/>
  <c r="Y492" i="10"/>
  <c r="X492" i="10"/>
  <c r="Y484" i="10"/>
  <c r="X484" i="10"/>
  <c r="X450" i="10"/>
  <c r="Y450" i="10"/>
  <c r="X419" i="10"/>
  <c r="Y419" i="10"/>
  <c r="X263" i="10"/>
  <c r="Y263" i="10"/>
  <c r="X358" i="10"/>
  <c r="Y358" i="10"/>
  <c r="X326" i="10"/>
  <c r="Y326" i="10"/>
  <c r="Y332" i="10"/>
  <c r="X332" i="10"/>
  <c r="Y203" i="10"/>
  <c r="X203" i="10"/>
  <c r="X206" i="10"/>
  <c r="Y206" i="10"/>
  <c r="Y125" i="10"/>
  <c r="X125" i="10"/>
  <c r="Y89" i="10"/>
  <c r="X89" i="10"/>
  <c r="Y91" i="10"/>
  <c r="X91" i="10"/>
  <c r="X96" i="10"/>
  <c r="Y96" i="10"/>
  <c r="X33" i="10"/>
  <c r="Y33" i="10"/>
  <c r="X43" i="10"/>
  <c r="Y43" i="10"/>
  <c r="X90" i="10"/>
  <c r="Y90" i="10"/>
  <c r="Y21" i="10"/>
  <c r="X21" i="10"/>
  <c r="Y27" i="10"/>
  <c r="X27" i="10"/>
  <c r="Y114" i="10"/>
  <c r="X114" i="10"/>
  <c r="Y146" i="10"/>
  <c r="X146" i="10"/>
  <c r="Y197" i="10"/>
  <c r="X197" i="10"/>
  <c r="X218" i="10"/>
  <c r="Y218" i="10"/>
  <c r="X234" i="10"/>
  <c r="Y234" i="10"/>
  <c r="Y110" i="10"/>
  <c r="X110" i="10"/>
  <c r="Y142" i="10"/>
  <c r="X142" i="10"/>
  <c r="Y172" i="10"/>
  <c r="X172" i="10"/>
  <c r="Y188" i="10"/>
  <c r="X188" i="10"/>
  <c r="Y162" i="10"/>
  <c r="X162" i="10"/>
  <c r="Y173" i="10"/>
  <c r="X173" i="10"/>
  <c r="Y189" i="10"/>
  <c r="X189" i="10"/>
  <c r="X220" i="10"/>
  <c r="Y220" i="10"/>
  <c r="X236" i="10"/>
  <c r="Y236" i="10"/>
  <c r="Y213" i="10"/>
  <c r="X213" i="10"/>
  <c r="Y229" i="10"/>
  <c r="X229" i="10"/>
  <c r="X246" i="10"/>
  <c r="Y246" i="10"/>
  <c r="X262" i="10"/>
  <c r="Y262" i="10"/>
  <c r="X278" i="10"/>
  <c r="Y278" i="10"/>
  <c r="X294" i="10"/>
  <c r="Y294" i="10"/>
  <c r="Y363" i="10"/>
  <c r="X363" i="10"/>
  <c r="X393" i="10"/>
  <c r="Y393" i="10"/>
  <c r="X409" i="10"/>
  <c r="Y409" i="10"/>
  <c r="X425" i="10"/>
  <c r="Y425" i="10"/>
  <c r="X379" i="10"/>
  <c r="Y379" i="10"/>
  <c r="Y463" i="10"/>
  <c r="X463" i="10"/>
  <c r="Y434" i="10"/>
  <c r="X434" i="10"/>
  <c r="Y452" i="10"/>
  <c r="X452" i="10"/>
  <c r="Y486" i="10"/>
  <c r="X486" i="10"/>
  <c r="X495" i="10"/>
  <c r="Y495" i="10"/>
  <c r="Y519" i="10"/>
  <c r="X519" i="10"/>
  <c r="X544" i="10"/>
  <c r="Y544" i="10"/>
  <c r="X496" i="10"/>
  <c r="Y496" i="10"/>
  <c r="Y398" i="10"/>
  <c r="X398" i="10"/>
  <c r="X275" i="10"/>
  <c r="Y275" i="10"/>
  <c r="Y167" i="10"/>
  <c r="X167" i="10"/>
  <c r="X120" i="10"/>
  <c r="Y120" i="10"/>
  <c r="X252" i="10"/>
  <c r="Y252" i="10"/>
  <c r="X68" i="10"/>
  <c r="Y68" i="10"/>
  <c r="X39" i="10"/>
  <c r="Y39" i="10"/>
  <c r="Y62" i="10"/>
  <c r="X62" i="10"/>
  <c r="Y45" i="10"/>
  <c r="X45" i="10"/>
  <c r="X534" i="10"/>
  <c r="Y534" i="10"/>
  <c r="Y482" i="10"/>
  <c r="X482" i="10"/>
  <c r="Y502" i="10"/>
  <c r="X502" i="10"/>
  <c r="Y428" i="10"/>
  <c r="X428" i="10"/>
  <c r="X303" i="10"/>
  <c r="Y303" i="10"/>
  <c r="X354" i="10"/>
  <c r="Y354" i="10"/>
  <c r="Y103" i="10"/>
  <c r="X103" i="10"/>
  <c r="S231" i="10"/>
  <c r="R231" i="10"/>
  <c r="Y525" i="10"/>
  <c r="X525" i="10"/>
  <c r="Y478" i="10"/>
  <c r="X478" i="10"/>
  <c r="Y464" i="10"/>
  <c r="X464" i="10"/>
  <c r="Y412" i="10"/>
  <c r="X412" i="10"/>
  <c r="Y339" i="10"/>
  <c r="X339" i="10"/>
  <c r="Y353" i="10"/>
  <c r="X353" i="10"/>
  <c r="Y231" i="10"/>
  <c r="X231" i="10"/>
  <c r="Y85" i="10"/>
  <c r="X85" i="10"/>
  <c r="X136" i="10"/>
  <c r="Y136" i="10"/>
  <c r="X104" i="10"/>
  <c r="Y104" i="10"/>
  <c r="X268" i="10"/>
  <c r="Y268" i="10"/>
  <c r="Y135" i="10"/>
  <c r="X135" i="10"/>
  <c r="X92" i="10"/>
  <c r="Y92" i="10"/>
  <c r="Y51" i="10"/>
  <c r="X51" i="10"/>
  <c r="Y28" i="10"/>
  <c r="X28" i="10"/>
  <c r="X170" i="10"/>
  <c r="Y170" i="10"/>
  <c r="X70" i="10"/>
  <c r="Y70" i="10"/>
  <c r="Y554" i="10"/>
  <c r="X554" i="10"/>
  <c r="Y530" i="10"/>
  <c r="X530" i="10"/>
  <c r="X507" i="10"/>
  <c r="Y507" i="10"/>
  <c r="Y488" i="10"/>
  <c r="X488" i="10"/>
  <c r="Y480" i="10"/>
  <c r="X480" i="10"/>
  <c r="X446" i="10"/>
  <c r="Y446" i="10"/>
  <c r="Y378" i="10"/>
  <c r="X378" i="10"/>
  <c r="X457" i="10"/>
  <c r="Y457" i="10"/>
  <c r="X395" i="10"/>
  <c r="Y395" i="10"/>
  <c r="X271" i="10"/>
  <c r="Y271" i="10"/>
  <c r="X338" i="10"/>
  <c r="Y338" i="10"/>
  <c r="X361" i="10"/>
  <c r="Y361" i="10"/>
  <c r="Y308" i="10"/>
  <c r="X308" i="10"/>
  <c r="Y195" i="10"/>
  <c r="X195" i="10"/>
  <c r="X202" i="10"/>
  <c r="Y202" i="10"/>
  <c r="Y121" i="10"/>
  <c r="X121" i="10"/>
  <c r="Y81" i="10"/>
  <c r="X81" i="10"/>
  <c r="Y127" i="10"/>
  <c r="X127" i="10"/>
  <c r="Y111" i="10"/>
  <c r="X111" i="10"/>
  <c r="Y83" i="10"/>
  <c r="X83" i="10"/>
  <c r="X72" i="10"/>
  <c r="Y72" i="10"/>
  <c r="X19" i="10"/>
  <c r="Y19" i="10"/>
  <c r="X82" i="10"/>
  <c r="Y82" i="10"/>
  <c r="Y517" i="10"/>
  <c r="X517" i="10"/>
  <c r="X477" i="10"/>
  <c r="Y477" i="10"/>
  <c r="Y347" i="10"/>
  <c r="X347" i="10"/>
  <c r="Y360" i="10"/>
  <c r="X360" i="10"/>
  <c r="X304" i="10"/>
  <c r="Y304" i="10"/>
  <c r="Y558" i="10"/>
  <c r="X558" i="10"/>
  <c r="X551" i="10"/>
  <c r="Y551" i="10"/>
  <c r="Y514" i="10"/>
  <c r="X514" i="10"/>
  <c r="Y470" i="10"/>
  <c r="X470" i="10"/>
  <c r="Y468" i="10"/>
  <c r="X468" i="10"/>
  <c r="Y445" i="10"/>
  <c r="X445" i="10"/>
  <c r="Y418" i="10"/>
  <c r="X418" i="10"/>
  <c r="Y386" i="10"/>
  <c r="X386" i="10"/>
  <c r="Y416" i="10"/>
  <c r="X416" i="10"/>
  <c r="Y384" i="10"/>
  <c r="X384" i="10"/>
  <c r="X469" i="10"/>
  <c r="Y469" i="10"/>
  <c r="Y335" i="10"/>
  <c r="X335" i="10"/>
  <c r="X299" i="10"/>
  <c r="Y299" i="10"/>
  <c r="Y435" i="10"/>
  <c r="X435" i="10"/>
  <c r="Y349" i="10"/>
  <c r="X349" i="10"/>
  <c r="Y317" i="10"/>
  <c r="X317" i="10"/>
  <c r="Y336" i="10"/>
  <c r="X336" i="10"/>
  <c r="Y207" i="10"/>
  <c r="X207" i="10"/>
  <c r="Y301" i="10"/>
  <c r="X301" i="10"/>
  <c r="Y285" i="10"/>
  <c r="X285" i="10"/>
  <c r="Y269" i="10"/>
  <c r="X269" i="10"/>
  <c r="Y253" i="10"/>
  <c r="X253" i="10"/>
  <c r="Y145" i="10"/>
  <c r="X145" i="10"/>
  <c r="X148" i="10"/>
  <c r="Y148" i="10"/>
  <c r="X116" i="10"/>
  <c r="Y116" i="10"/>
  <c r="X288" i="10"/>
  <c r="Y288" i="10"/>
  <c r="X256" i="10"/>
  <c r="Y256" i="10"/>
  <c r="Y87" i="10"/>
  <c r="X87" i="10"/>
  <c r="Y36" i="10"/>
  <c r="X36" i="10"/>
  <c r="Y35" i="10"/>
  <c r="X35" i="10"/>
  <c r="X174" i="10"/>
  <c r="Y174" i="10"/>
  <c r="X94" i="10"/>
  <c r="Y94" i="10"/>
  <c r="Y50" i="10"/>
  <c r="X50" i="10"/>
  <c r="Y526" i="10"/>
  <c r="X526" i="10"/>
  <c r="Y456" i="10"/>
  <c r="X456" i="10"/>
  <c r="Y388" i="10"/>
  <c r="X388" i="10"/>
  <c r="X259" i="10"/>
  <c r="Y259" i="10"/>
  <c r="Y368" i="10"/>
  <c r="X368" i="10"/>
  <c r="Y557" i="10"/>
  <c r="X557" i="10"/>
  <c r="Y533" i="10"/>
  <c r="X533" i="10"/>
  <c r="Y527" i="10"/>
  <c r="X527" i="10"/>
  <c r="Y474" i="10"/>
  <c r="X474" i="10"/>
  <c r="Y476" i="10"/>
  <c r="X476" i="10"/>
  <c r="X442" i="10"/>
  <c r="Y442" i="10"/>
  <c r="X403" i="10"/>
  <c r="Y403" i="10"/>
  <c r="X247" i="10"/>
  <c r="Y247" i="10"/>
  <c r="X350" i="10"/>
  <c r="Y350" i="10"/>
  <c r="X318" i="10"/>
  <c r="Y318" i="10"/>
  <c r="Y316" i="10"/>
  <c r="X316" i="10"/>
  <c r="Y187" i="10"/>
  <c r="X187" i="10"/>
  <c r="X198" i="10"/>
  <c r="Y198" i="10"/>
  <c r="Y117" i="10"/>
  <c r="X117" i="10"/>
  <c r="Y73" i="10"/>
  <c r="X73" i="10"/>
  <c r="Y75" i="10"/>
  <c r="X75" i="10"/>
  <c r="X80" i="10"/>
  <c r="Y80" i="10"/>
  <c r="Y22" i="10"/>
  <c r="X22" i="10"/>
  <c r="X31" i="10"/>
  <c r="Y31" i="10"/>
  <c r="X74" i="10"/>
  <c r="Y74" i="10"/>
  <c r="X30" i="10"/>
  <c r="Y30" i="10"/>
  <c r="Y34" i="10"/>
  <c r="X34" i="10"/>
  <c r="Y122" i="10"/>
  <c r="X122" i="10"/>
  <c r="Y150" i="10"/>
  <c r="X150" i="10"/>
  <c r="Y205" i="10"/>
  <c r="X205" i="10"/>
  <c r="X222" i="10"/>
  <c r="Y222" i="10"/>
  <c r="X238" i="10"/>
  <c r="Y238" i="10"/>
  <c r="Y118" i="10"/>
  <c r="X118" i="10"/>
  <c r="Y176" i="10"/>
  <c r="X176" i="10"/>
  <c r="Y192" i="10"/>
  <c r="X192" i="10"/>
  <c r="Y201" i="10"/>
  <c r="X201" i="10"/>
  <c r="Y177" i="10"/>
  <c r="X177" i="10"/>
  <c r="Y193" i="10"/>
  <c r="X193" i="10"/>
  <c r="X224" i="10"/>
  <c r="Y224" i="10"/>
  <c r="X240" i="10"/>
  <c r="Y240" i="10"/>
  <c r="Y217" i="10"/>
  <c r="X217" i="10"/>
  <c r="Y233" i="10"/>
  <c r="X233" i="10"/>
  <c r="X250" i="10"/>
  <c r="Y250" i="10"/>
  <c r="X266" i="10"/>
  <c r="Y266" i="10"/>
  <c r="X282" i="10"/>
  <c r="Y282" i="10"/>
  <c r="X298" i="10"/>
  <c r="Y298" i="10"/>
  <c r="Y367" i="10"/>
  <c r="X367" i="10"/>
  <c r="X397" i="10"/>
  <c r="Y397" i="10"/>
  <c r="X413" i="10"/>
  <c r="Y413" i="10"/>
  <c r="X429" i="10"/>
  <c r="Y429" i="10"/>
  <c r="X383" i="10"/>
  <c r="Y383" i="10"/>
  <c r="Y459" i="10"/>
  <c r="X459" i="10"/>
  <c r="Y440" i="10"/>
  <c r="X440" i="10"/>
  <c r="Y475" i="10"/>
  <c r="X475" i="10"/>
  <c r="Y498" i="10"/>
  <c r="X498" i="10"/>
  <c r="X499" i="10"/>
  <c r="Y499" i="10"/>
  <c r="Y543" i="10"/>
  <c r="X543" i="10"/>
  <c r="Q30" i="5"/>
  <c r="R30" i="5" s="1"/>
  <c r="Q90" i="5"/>
  <c r="S90" i="5" s="1"/>
  <c r="Q147" i="5"/>
  <c r="R147" i="5" s="1"/>
  <c r="Q194" i="5"/>
  <c r="S194" i="5" s="1"/>
  <c r="Q281" i="5"/>
  <c r="S281" i="5" s="1"/>
  <c r="Q411" i="5"/>
  <c r="R411" i="5" s="1"/>
  <c r="Q374" i="5"/>
  <c r="S374" i="5" s="1"/>
  <c r="Q519" i="5"/>
  <c r="R519" i="5" s="1"/>
  <c r="Q530" i="5"/>
  <c r="S530" i="5" s="1"/>
  <c r="Q403" i="5"/>
  <c r="S403" i="5" s="1"/>
  <c r="Q193" i="5"/>
  <c r="R193" i="5" s="1"/>
  <c r="Q252" i="5"/>
  <c r="S252" i="5" s="1"/>
  <c r="Q446" i="5"/>
  <c r="S446" i="5" s="1"/>
  <c r="X528" i="10"/>
  <c r="Y528" i="10"/>
  <c r="X481" i="10"/>
  <c r="Y481" i="10"/>
  <c r="Y414" i="10"/>
  <c r="X414" i="10"/>
  <c r="Y404" i="10"/>
  <c r="X404" i="10"/>
  <c r="Y315" i="10"/>
  <c r="X315" i="10"/>
  <c r="Y329" i="10"/>
  <c r="X329" i="10"/>
  <c r="Y183" i="10"/>
  <c r="X183" i="10"/>
  <c r="X160" i="10"/>
  <c r="Y160" i="10"/>
  <c r="X128" i="10"/>
  <c r="Y128" i="10"/>
  <c r="X292" i="10"/>
  <c r="Y292" i="10"/>
  <c r="X260" i="10"/>
  <c r="Y260" i="10"/>
  <c r="Y95" i="10"/>
  <c r="X95" i="10"/>
  <c r="X76" i="10"/>
  <c r="Y76" i="10"/>
  <c r="Y26" i="10"/>
  <c r="X26" i="10"/>
  <c r="X194" i="10"/>
  <c r="Y194" i="10"/>
  <c r="X71" i="10"/>
  <c r="Y71" i="10"/>
  <c r="Y52" i="10"/>
  <c r="X52" i="10"/>
  <c r="Y547" i="10"/>
  <c r="X547" i="10"/>
  <c r="Y512" i="10"/>
  <c r="X512" i="10"/>
  <c r="X522" i="10"/>
  <c r="Y522" i="10"/>
  <c r="X487" i="10"/>
  <c r="Y487" i="10"/>
  <c r="Y472" i="10"/>
  <c r="X472" i="10"/>
  <c r="X438" i="10"/>
  <c r="Y438" i="10"/>
  <c r="Y362" i="10"/>
  <c r="X362" i="10"/>
  <c r="Y431" i="10"/>
  <c r="X431" i="10"/>
  <c r="X461" i="10"/>
  <c r="Y461" i="10"/>
  <c r="X255" i="10"/>
  <c r="Y255" i="10"/>
  <c r="X330" i="10"/>
  <c r="Y330" i="10"/>
  <c r="Y356" i="10"/>
  <c r="X356" i="10"/>
  <c r="Y243" i="10"/>
  <c r="X243" i="10"/>
  <c r="Y179" i="10"/>
  <c r="X179" i="10"/>
  <c r="Y157" i="10"/>
  <c r="X157" i="10"/>
  <c r="Y113" i="10"/>
  <c r="X113" i="10"/>
  <c r="Y155" i="10"/>
  <c r="X155" i="10"/>
  <c r="Y123" i="10"/>
  <c r="X123" i="10"/>
  <c r="Y107" i="10"/>
  <c r="X107" i="10"/>
  <c r="Y60" i="10"/>
  <c r="X60" i="10"/>
  <c r="X59" i="10"/>
  <c r="Y59" i="10"/>
  <c r="X48" i="10"/>
  <c r="Y48" i="10"/>
  <c r="Y552" i="10"/>
  <c r="X552" i="10"/>
  <c r="Y510" i="10"/>
  <c r="X510" i="10"/>
  <c r="Y422" i="10"/>
  <c r="X422" i="10"/>
  <c r="Y323" i="10"/>
  <c r="X323" i="10"/>
  <c r="Y344" i="10"/>
  <c r="X344" i="10"/>
  <c r="X381" i="10"/>
  <c r="Y381" i="10"/>
  <c r="X541" i="10"/>
  <c r="Y541" i="10"/>
  <c r="X524" i="10"/>
  <c r="Y524" i="10"/>
  <c r="Y506" i="10"/>
  <c r="X506" i="10"/>
  <c r="Y454" i="10"/>
  <c r="X454" i="10"/>
  <c r="Y460" i="10"/>
  <c r="X460" i="10"/>
  <c r="Y441" i="10"/>
  <c r="X441" i="10"/>
  <c r="Y410" i="10"/>
  <c r="X410" i="10"/>
  <c r="Y374" i="10"/>
  <c r="X374" i="10"/>
  <c r="Y408" i="10"/>
  <c r="X408" i="10"/>
  <c r="X423" i="10"/>
  <c r="Y423" i="10"/>
  <c r="Y359" i="10"/>
  <c r="X359" i="10"/>
  <c r="Y327" i="10"/>
  <c r="X327" i="10"/>
  <c r="X283" i="10"/>
  <c r="Y283" i="10"/>
  <c r="Y380" i="10"/>
  <c r="X380" i="10"/>
  <c r="Y341" i="10"/>
  <c r="X341" i="10"/>
  <c r="Y309" i="10"/>
  <c r="X309" i="10"/>
  <c r="Y320" i="10"/>
  <c r="X320" i="10"/>
  <c r="Y191" i="10"/>
  <c r="X191" i="10"/>
  <c r="Y297" i="10"/>
  <c r="X297" i="10"/>
  <c r="Y281" i="10"/>
  <c r="X281" i="10"/>
  <c r="Y265" i="10"/>
  <c r="X265" i="10"/>
  <c r="Y249" i="10"/>
  <c r="X249" i="10"/>
  <c r="Y93" i="10"/>
  <c r="X93" i="10"/>
  <c r="X140" i="10"/>
  <c r="Y140" i="10"/>
  <c r="X108" i="10"/>
  <c r="Y108" i="10"/>
  <c r="X280" i="10"/>
  <c r="Y280" i="10"/>
  <c r="X248" i="10"/>
  <c r="Y248" i="10"/>
  <c r="Y67" i="10"/>
  <c r="X67" i="10"/>
  <c r="Y29" i="10"/>
  <c r="X29" i="10"/>
  <c r="Y25" i="10"/>
  <c r="X25" i="10"/>
  <c r="X166" i="10"/>
  <c r="Y166" i="10"/>
  <c r="X78" i="10"/>
  <c r="Y78" i="10"/>
  <c r="Y208" i="10"/>
  <c r="X208" i="10"/>
  <c r="Y508" i="10"/>
  <c r="X508" i="10"/>
  <c r="Y406" i="10"/>
  <c r="X406" i="10"/>
  <c r="X399" i="10"/>
  <c r="Y399" i="10"/>
  <c r="X369" i="10"/>
  <c r="Y369" i="10"/>
  <c r="Y199" i="10"/>
  <c r="X199" i="10"/>
  <c r="X548" i="10"/>
  <c r="Y548" i="10"/>
  <c r="Y535" i="10"/>
  <c r="X535" i="10"/>
  <c r="Y500" i="10"/>
  <c r="X500" i="10"/>
  <c r="Y466" i="10"/>
  <c r="X466" i="10"/>
  <c r="Y483" i="10"/>
  <c r="X483" i="10"/>
  <c r="X433" i="10"/>
  <c r="Y433" i="10"/>
  <c r="X295" i="10"/>
  <c r="Y295" i="10"/>
  <c r="X465" i="10"/>
  <c r="Y465" i="10"/>
  <c r="X342" i="10"/>
  <c r="Y342" i="10"/>
  <c r="X310" i="10"/>
  <c r="Y310" i="10"/>
  <c r="Y235" i="10"/>
  <c r="X235" i="10"/>
  <c r="Y171" i="10"/>
  <c r="X171" i="10"/>
  <c r="Y149" i="10"/>
  <c r="X149" i="10"/>
  <c r="Y109" i="10"/>
  <c r="X109" i="10"/>
  <c r="Y163" i="10"/>
  <c r="X163" i="10"/>
  <c r="Y65" i="10"/>
  <c r="X65" i="10"/>
  <c r="X46" i="10"/>
  <c r="Y46" i="10"/>
  <c r="Y49" i="10"/>
  <c r="X49" i="10"/>
  <c r="X23" i="10"/>
  <c r="Y23" i="10"/>
  <c r="X69" i="10"/>
  <c r="Y69" i="10"/>
  <c r="Y32" i="10"/>
  <c r="X32" i="10"/>
  <c r="Y37" i="10"/>
  <c r="X37" i="10"/>
  <c r="Y130" i="10"/>
  <c r="X130" i="10"/>
  <c r="Y158" i="10"/>
  <c r="X158" i="10"/>
  <c r="X210" i="10"/>
  <c r="Y210" i="10"/>
  <c r="X226" i="10"/>
  <c r="Y226" i="10"/>
  <c r="X242" i="10"/>
  <c r="Y242" i="10"/>
  <c r="Y126" i="10"/>
  <c r="X126" i="10"/>
  <c r="Y164" i="10"/>
  <c r="X164" i="10"/>
  <c r="Y180" i="10"/>
  <c r="X180" i="10"/>
  <c r="Y102" i="10"/>
  <c r="X102" i="10"/>
  <c r="Y165" i="10"/>
  <c r="X165" i="10"/>
  <c r="Y181" i="10"/>
  <c r="X181" i="10"/>
  <c r="X212" i="10"/>
  <c r="Y212" i="10"/>
  <c r="X228" i="10"/>
  <c r="Y228" i="10"/>
  <c r="X244" i="10"/>
  <c r="Y244" i="10"/>
  <c r="Y221" i="10"/>
  <c r="X221" i="10"/>
  <c r="Y237" i="10"/>
  <c r="X237" i="10"/>
  <c r="X254" i="10"/>
  <c r="Y254" i="10"/>
  <c r="X270" i="10"/>
  <c r="Y270" i="10"/>
  <c r="X286" i="10"/>
  <c r="Y286" i="10"/>
  <c r="X302" i="10"/>
  <c r="Y302" i="10"/>
  <c r="X387" i="10"/>
  <c r="Y387" i="10"/>
  <c r="X401" i="10"/>
  <c r="Y401" i="10"/>
  <c r="X417" i="10"/>
  <c r="Y417" i="10"/>
  <c r="X371" i="10"/>
  <c r="Y371" i="10"/>
  <c r="X385" i="10"/>
  <c r="Y385" i="10"/>
  <c r="Y467" i="10"/>
  <c r="X467" i="10"/>
  <c r="Y444" i="10"/>
  <c r="X444" i="10"/>
  <c r="Y479" i="10"/>
  <c r="X479" i="10"/>
  <c r="Y518" i="10"/>
  <c r="X518" i="10"/>
  <c r="X503" i="10"/>
  <c r="Y503" i="10"/>
  <c r="Y539" i="10"/>
  <c r="X539" i="10"/>
  <c r="Q207" i="5"/>
  <c r="R207" i="5" s="1"/>
  <c r="Q203" i="5"/>
  <c r="R203" i="5" s="1"/>
  <c r="Q305" i="5"/>
  <c r="S305" i="5" s="1"/>
  <c r="Q355" i="5"/>
  <c r="S355" i="5" s="1"/>
  <c r="Q388" i="5"/>
  <c r="S388" i="5" s="1"/>
  <c r="Q366" i="5"/>
  <c r="R366" i="5" s="1"/>
  <c r="Q434" i="5"/>
  <c r="S434" i="5" s="1"/>
  <c r="Q509" i="5"/>
  <c r="S509" i="5" s="1"/>
  <c r="Q400" i="5"/>
  <c r="S400" i="5" s="1"/>
  <c r="Q37" i="5"/>
  <c r="S37" i="5" s="1"/>
  <c r="Q189" i="5"/>
  <c r="S189" i="5" s="1"/>
  <c r="Q399" i="5"/>
  <c r="S399" i="5" s="1"/>
  <c r="Q100" i="5"/>
  <c r="R100" i="5" s="1"/>
  <c r="Q498" i="5"/>
  <c r="R498" i="5" s="1"/>
  <c r="Q190" i="5"/>
  <c r="R190" i="5" s="1"/>
  <c r="Q421" i="5"/>
  <c r="R421" i="5" s="1"/>
  <c r="Q522" i="5"/>
  <c r="R522" i="5" s="1"/>
  <c r="Q107" i="5"/>
  <c r="S107" i="5" s="1"/>
  <c r="Q60" i="5"/>
  <c r="R60" i="5" s="1"/>
  <c r="Q94" i="5"/>
  <c r="R94" i="5" s="1"/>
  <c r="Q83" i="5"/>
  <c r="R83" i="5" s="1"/>
  <c r="Q170" i="5"/>
  <c r="S170" i="5" s="1"/>
  <c r="Q240" i="5"/>
  <c r="R240" i="5" s="1"/>
  <c r="Q292" i="5"/>
  <c r="R292" i="5" s="1"/>
  <c r="Q239" i="5"/>
  <c r="S239" i="5" s="1"/>
  <c r="Q257" i="5"/>
  <c r="S257" i="5" s="1"/>
  <c r="Q279" i="5"/>
  <c r="R279" i="5" s="1"/>
  <c r="Q351" i="5"/>
  <c r="R351" i="5" s="1"/>
  <c r="Q393" i="5"/>
  <c r="S393" i="5" s="1"/>
  <c r="Q410" i="5"/>
  <c r="S410" i="5" s="1"/>
  <c r="Q342" i="5"/>
  <c r="S342" i="5" s="1"/>
  <c r="Q541" i="5"/>
  <c r="S541" i="5" s="1"/>
  <c r="Q549" i="5"/>
  <c r="S549" i="5" s="1"/>
  <c r="Q47" i="5"/>
  <c r="S47" i="5" s="1"/>
  <c r="Q146" i="5"/>
  <c r="S146" i="5" s="1"/>
  <c r="Q296" i="5"/>
  <c r="S296" i="5" s="1"/>
  <c r="Q394" i="5"/>
  <c r="R394" i="5" s="1"/>
  <c r="Q520" i="5"/>
  <c r="R520" i="5" s="1"/>
  <c r="Q70" i="5"/>
  <c r="R70" i="5" s="1"/>
  <c r="Q337" i="5"/>
  <c r="S337" i="5" s="1"/>
  <c r="Q126" i="5"/>
  <c r="S126" i="5" s="1"/>
  <c r="Q447" i="5"/>
  <c r="R447" i="5" s="1"/>
  <c r="Q42" i="5"/>
  <c r="S42" i="5" s="1"/>
  <c r="Q86" i="5"/>
  <c r="R86" i="5" s="1"/>
  <c r="Q148" i="5"/>
  <c r="R148" i="5" s="1"/>
  <c r="Q311" i="5"/>
  <c r="R311" i="5" s="1"/>
  <c r="Q347" i="5"/>
  <c r="S347" i="5" s="1"/>
  <c r="Q536" i="5"/>
  <c r="S536" i="5" s="1"/>
  <c r="Q36" i="5"/>
  <c r="S36" i="5" s="1"/>
  <c r="Q109" i="5"/>
  <c r="R109" i="5" s="1"/>
  <c r="Q176" i="5"/>
  <c r="S176" i="5" s="1"/>
  <c r="Q350" i="5"/>
  <c r="R350" i="5" s="1"/>
  <c r="Q383" i="5"/>
  <c r="R383" i="5" s="1"/>
  <c r="Q373" i="5"/>
  <c r="S373" i="5" s="1"/>
  <c r="Q19" i="5"/>
  <c r="R19" i="5" s="1"/>
  <c r="Q201" i="5"/>
  <c r="R201" i="5" s="1"/>
  <c r="B263" i="2"/>
  <c r="B223" i="2"/>
  <c r="B225" i="2" s="1"/>
  <c r="Q213" i="5"/>
  <c r="S213" i="5" s="1"/>
  <c r="Q496" i="5"/>
  <c r="R496" i="5" s="1"/>
  <c r="Q246" i="5"/>
  <c r="S246" i="5" s="1"/>
  <c r="Q227" i="5"/>
  <c r="R227" i="5" s="1"/>
  <c r="Q461" i="5"/>
  <c r="S461" i="5" s="1"/>
  <c r="Q335" i="5"/>
  <c r="S335" i="5" s="1"/>
  <c r="Q487" i="5"/>
  <c r="R487" i="5" s="1"/>
  <c r="Q450" i="5"/>
  <c r="R450" i="5" s="1"/>
  <c r="Q268" i="5"/>
  <c r="S268" i="5" s="1"/>
  <c r="Q460" i="5"/>
  <c r="R460" i="5" s="1"/>
  <c r="Q458" i="5"/>
  <c r="R458" i="5" s="1"/>
  <c r="Q81" i="5"/>
  <c r="R81" i="5" s="1"/>
  <c r="Q169" i="5"/>
  <c r="R169" i="5" s="1"/>
  <c r="Q196" i="5"/>
  <c r="S196" i="5" s="1"/>
  <c r="Q245" i="5"/>
  <c r="R245" i="5" s="1"/>
  <c r="Q512" i="5"/>
  <c r="S512" i="5" s="1"/>
  <c r="Q445" i="5"/>
  <c r="S445" i="5" s="1"/>
  <c r="Q466" i="5"/>
  <c r="R466" i="5" s="1"/>
  <c r="Q66" i="5"/>
  <c r="R66" i="5" s="1"/>
  <c r="Q144" i="5"/>
  <c r="S144" i="5" s="1"/>
  <c r="Q152" i="5"/>
  <c r="R152" i="5" s="1"/>
  <c r="Q97" i="5"/>
  <c r="S97" i="5" s="1"/>
  <c r="Q423" i="5"/>
  <c r="S423" i="5" s="1"/>
  <c r="Q362" i="5"/>
  <c r="R362" i="5" s="1"/>
  <c r="Q500" i="5"/>
  <c r="S500" i="5" s="1"/>
  <c r="Q58" i="5"/>
  <c r="R58" i="5" s="1"/>
  <c r="Q183" i="5"/>
  <c r="S183" i="5" s="1"/>
  <c r="Q482" i="5"/>
  <c r="R482" i="5" s="1"/>
  <c r="Q300" i="5"/>
  <c r="S300" i="5" s="1"/>
  <c r="Q29" i="5"/>
  <c r="R29" i="5" s="1"/>
  <c r="Q120" i="5"/>
  <c r="S120" i="5" s="1"/>
  <c r="Q200" i="5"/>
  <c r="S200" i="5" s="1"/>
  <c r="Q432" i="5"/>
  <c r="S432" i="5" s="1"/>
  <c r="Q230" i="5"/>
  <c r="R230" i="5" s="1"/>
  <c r="Q336" i="5"/>
  <c r="R336" i="5" s="1"/>
  <c r="Q265" i="5"/>
  <c r="R265" i="5" s="1"/>
  <c r="Q341" i="5"/>
  <c r="R341" i="5" s="1"/>
  <c r="Q116" i="5"/>
  <c r="S116" i="5" s="1"/>
  <c r="Q277" i="5"/>
  <c r="R277" i="5" s="1"/>
  <c r="Q64" i="5"/>
  <c r="S64" i="5" s="1"/>
  <c r="Q533" i="5"/>
  <c r="R533" i="5" s="1"/>
  <c r="Q262" i="5"/>
  <c r="S262" i="5" s="1"/>
  <c r="Q456" i="5"/>
  <c r="R456" i="5" s="1"/>
  <c r="Q272" i="5"/>
  <c r="S272" i="5" s="1"/>
  <c r="Q136" i="5"/>
  <c r="S136" i="5" s="1"/>
  <c r="Q334" i="5"/>
  <c r="R334" i="5" s="1"/>
  <c r="Q192" i="5"/>
  <c r="R192" i="5" s="1"/>
  <c r="Q202" i="5"/>
  <c r="S202" i="5" s="1"/>
  <c r="Q54" i="5"/>
  <c r="S54" i="5" s="1"/>
  <c r="Q486" i="5"/>
  <c r="R486" i="5" s="1"/>
  <c r="Q316" i="5"/>
  <c r="S316" i="5" s="1"/>
  <c r="Q118" i="5"/>
  <c r="S118" i="5" s="1"/>
  <c r="Q35" i="5"/>
  <c r="R35" i="5" s="1"/>
  <c r="Q554" i="5"/>
  <c r="S554" i="5" s="1"/>
  <c r="Q129" i="5"/>
  <c r="S129" i="5" s="1"/>
  <c r="Q165" i="5"/>
  <c r="R165" i="5" s="1"/>
  <c r="Q278" i="5"/>
  <c r="S278" i="5" s="1"/>
  <c r="Q354" i="5"/>
  <c r="R354" i="5" s="1"/>
  <c r="Q454" i="5"/>
  <c r="S454" i="5" s="1"/>
  <c r="Q489" i="5"/>
  <c r="R489" i="5" s="1"/>
  <c r="Q553" i="5"/>
  <c r="S553" i="5" s="1"/>
  <c r="Q429" i="5"/>
  <c r="R429" i="5" s="1"/>
  <c r="Q72" i="5"/>
  <c r="R72" i="5" s="1"/>
  <c r="Q104" i="5"/>
  <c r="R104" i="5" s="1"/>
  <c r="Q143" i="5"/>
  <c r="S143" i="5" s="1"/>
  <c r="Q180" i="5"/>
  <c r="S180" i="5" s="1"/>
  <c r="Q219" i="5"/>
  <c r="S219" i="5" s="1"/>
  <c r="Q247" i="5"/>
  <c r="R247" i="5" s="1"/>
  <c r="Q378" i="5"/>
  <c r="S378" i="5" s="1"/>
  <c r="Q518" i="5"/>
  <c r="S518" i="5" s="1"/>
  <c r="Q57" i="5"/>
  <c r="S57" i="5" s="1"/>
  <c r="Q367" i="5"/>
  <c r="R367" i="5" s="1"/>
  <c r="Q503" i="5"/>
  <c r="R503" i="5" s="1"/>
  <c r="Q270" i="5"/>
  <c r="S270" i="5" s="1"/>
  <c r="Q187" i="5"/>
  <c r="S187" i="5" s="1"/>
  <c r="Q128" i="5"/>
  <c r="S128" i="5" s="1"/>
  <c r="Q8" i="5"/>
  <c r="R8" i="5" s="1"/>
  <c r="Q271" i="5"/>
  <c r="S271" i="5" s="1"/>
  <c r="Q198" i="5"/>
  <c r="S198" i="5" s="1"/>
  <c r="Q123" i="5"/>
  <c r="R123" i="5" s="1"/>
  <c r="Q69" i="5"/>
  <c r="R69" i="5" s="1"/>
  <c r="Q443" i="5"/>
  <c r="R443" i="5" s="1"/>
  <c r="Q113" i="5"/>
  <c r="S113" i="5" s="1"/>
  <c r="Q469" i="5"/>
  <c r="R469" i="5" s="1"/>
  <c r="Q395" i="5"/>
  <c r="S395" i="5" s="1"/>
  <c r="Q32" i="5"/>
  <c r="S32" i="5" s="1"/>
  <c r="Q59" i="5"/>
  <c r="R59" i="5" s="1"/>
  <c r="Q80" i="5"/>
  <c r="Q142" i="5"/>
  <c r="S142" i="5" s="1"/>
  <c r="Q121" i="5"/>
  <c r="S121" i="5" s="1"/>
  <c r="Q179" i="5"/>
  <c r="R179" i="5" s="1"/>
  <c r="Q251" i="5"/>
  <c r="S251" i="5" s="1"/>
  <c r="Q226" i="5"/>
  <c r="R226" i="5" s="1"/>
  <c r="Q328" i="5"/>
  <c r="Q330" i="5"/>
  <c r="S330" i="5" s="1"/>
  <c r="Q315" i="5"/>
  <c r="R315" i="5" s="1"/>
  <c r="Q386" i="5"/>
  <c r="R386" i="5" s="1"/>
  <c r="Q343" i="5"/>
  <c r="S343" i="5" s="1"/>
  <c r="Q263" i="5"/>
  <c r="S263" i="5" s="1"/>
  <c r="Q415" i="5"/>
  <c r="R415" i="5" s="1"/>
  <c r="Q471" i="5"/>
  <c r="R471" i="5" s="1"/>
  <c r="Q526" i="5"/>
  <c r="Q452" i="5"/>
  <c r="R452" i="5" s="1"/>
  <c r="Q510" i="5"/>
  <c r="Q484" i="5"/>
  <c r="S484" i="5" s="1"/>
  <c r="Q546" i="5"/>
  <c r="S546" i="5" s="1"/>
  <c r="Q552" i="5"/>
  <c r="R552" i="5" s="1"/>
  <c r="Q557" i="5"/>
  <c r="S557" i="5" s="1"/>
  <c r="Q516" i="5"/>
  <c r="R516" i="5" s="1"/>
  <c r="Q38" i="5"/>
  <c r="Q154" i="5"/>
  <c r="S154" i="5" s="1"/>
  <c r="Q185" i="5"/>
  <c r="Q242" i="5"/>
  <c r="R242" i="5" s="1"/>
  <c r="Q211" i="5"/>
  <c r="S211" i="5" s="1"/>
  <c r="Q391" i="5"/>
  <c r="S391" i="5" s="1"/>
  <c r="Q338" i="5"/>
  <c r="S338" i="5" s="1"/>
  <c r="Q475" i="5"/>
  <c r="R475" i="5" s="1"/>
  <c r="Q467" i="5"/>
  <c r="S467" i="5" s="1"/>
  <c r="Q497" i="5"/>
  <c r="S497" i="5" s="1"/>
  <c r="Q550" i="5"/>
  <c r="R550" i="5" s="1"/>
  <c r="Q534" i="5"/>
  <c r="S534" i="5" s="1"/>
  <c r="Q24" i="5"/>
  <c r="Q75" i="5"/>
  <c r="R75" i="5" s="1"/>
  <c r="Q119" i="5"/>
  <c r="R119" i="5" s="1"/>
  <c r="Q96" i="5"/>
  <c r="R96" i="5" s="1"/>
  <c r="Q161" i="5"/>
  <c r="S161" i="5" s="1"/>
  <c r="Q235" i="5"/>
  <c r="S235" i="5" s="1"/>
  <c r="Q209" i="5"/>
  <c r="S209" i="5" s="1"/>
  <c r="Q260" i="5"/>
  <c r="S260" i="5" s="1"/>
  <c r="Q358" i="5"/>
  <c r="R358" i="5" s="1"/>
  <c r="Q477" i="5"/>
  <c r="S477" i="5" s="1"/>
  <c r="Q430" i="5"/>
  <c r="S430" i="5" s="1"/>
  <c r="Q114" i="5"/>
  <c r="R114" i="5" s="1"/>
  <c r="Q431" i="5"/>
  <c r="R431" i="5" s="1"/>
  <c r="Q528" i="5"/>
  <c r="R528" i="5" s="1"/>
  <c r="Q412" i="5"/>
  <c r="R412" i="5" s="1"/>
  <c r="Q380" i="5"/>
  <c r="S380" i="5" s="1"/>
  <c r="Q325" i="5"/>
  <c r="R325" i="5" s="1"/>
  <c r="Q175" i="5"/>
  <c r="S175" i="5" s="1"/>
  <c r="Q91" i="5"/>
  <c r="R91" i="5" s="1"/>
  <c r="Q418" i="5"/>
  <c r="R418" i="5" s="1"/>
  <c r="Q141" i="5"/>
  <c r="R141" i="5" s="1"/>
  <c r="Q206" i="5"/>
  <c r="R206" i="5" s="1"/>
  <c r="Q122" i="5"/>
  <c r="Q93" i="5"/>
  <c r="R93" i="5" s="1"/>
  <c r="Q39" i="5"/>
  <c r="S39" i="5" s="1"/>
  <c r="Q370" i="5"/>
  <c r="R370" i="5" s="1"/>
  <c r="Q340" i="5"/>
  <c r="Q43" i="5"/>
  <c r="Q502" i="5"/>
  <c r="S502" i="5" s="1"/>
  <c r="Q166" i="5"/>
  <c r="R166" i="5" s="1"/>
  <c r="Q449" i="5"/>
  <c r="S449" i="5" s="1"/>
  <c r="Q404" i="5"/>
  <c r="S404" i="5" s="1"/>
  <c r="Q184" i="5"/>
  <c r="R184" i="5" s="1"/>
  <c r="Q545" i="5"/>
  <c r="R545" i="5" s="1"/>
  <c r="Q312" i="5"/>
  <c r="R312" i="5" s="1"/>
  <c r="Q84" i="5"/>
  <c r="R84" i="5" s="1"/>
  <c r="Q478" i="5"/>
  <c r="S478" i="5" s="1"/>
  <c r="Q369" i="5"/>
  <c r="S369" i="5" s="1"/>
  <c r="Q382" i="5"/>
  <c r="S382" i="5" s="1"/>
  <c r="Q261" i="5"/>
  <c r="S261" i="5" s="1"/>
  <c r="Q92" i="5"/>
  <c r="R92" i="5" s="1"/>
  <c r="O11" i="5"/>
  <c r="Q49" i="5"/>
  <c r="Q50" i="5"/>
  <c r="R50" i="5" s="1"/>
  <c r="Q63" i="5"/>
  <c r="S63" i="5" s="1"/>
  <c r="Q77" i="5"/>
  <c r="S77" i="5" s="1"/>
  <c r="Q44" i="5"/>
  <c r="S44" i="5" s="1"/>
  <c r="Q137" i="5"/>
  <c r="R137" i="5" s="1"/>
  <c r="Q140" i="5"/>
  <c r="R140" i="5" s="1"/>
  <c r="Q127" i="5"/>
  <c r="R127" i="5" s="1"/>
  <c r="Q174" i="5"/>
  <c r="R174" i="5" s="1"/>
  <c r="Q168" i="5"/>
  <c r="S168" i="5" s="1"/>
  <c r="Q232" i="5"/>
  <c r="S232" i="5" s="1"/>
  <c r="Q221" i="5"/>
  <c r="S221" i="5" s="1"/>
  <c r="Q222" i="5"/>
  <c r="S222" i="5" s="1"/>
  <c r="Q264" i="5"/>
  <c r="S264" i="5" s="1"/>
  <c r="Q331" i="5"/>
  <c r="Q293" i="5"/>
  <c r="R293" i="5" s="1"/>
  <c r="Q220" i="5"/>
  <c r="Q286" i="5"/>
  <c r="S286" i="5" s="1"/>
  <c r="Q348" i="5"/>
  <c r="S348" i="5" s="1"/>
  <c r="Q372" i="5"/>
  <c r="S372" i="5" s="1"/>
  <c r="Q438" i="5"/>
  <c r="Q26" i="5"/>
  <c r="S26" i="5" s="1"/>
  <c r="Q41" i="5"/>
  <c r="S41" i="5" s="1"/>
  <c r="Q61" i="5"/>
  <c r="R61" i="5" s="1"/>
  <c r="Q87" i="5"/>
  <c r="S87" i="5" s="1"/>
  <c r="Q133" i="5"/>
  <c r="S133" i="5" s="1"/>
  <c r="Q149" i="5"/>
  <c r="R149" i="5" s="1"/>
  <c r="Q156" i="5"/>
  <c r="S156" i="5" s="1"/>
  <c r="Q132" i="5"/>
  <c r="R132" i="5" s="1"/>
  <c r="Q238" i="5"/>
  <c r="S238" i="5" s="1"/>
  <c r="Q195" i="5"/>
  <c r="R195" i="5" s="1"/>
  <c r="Q256" i="5"/>
  <c r="R256" i="5" s="1"/>
  <c r="Q212" i="5"/>
  <c r="Q321" i="5"/>
  <c r="R321" i="5" s="1"/>
  <c r="Q280" i="5"/>
  <c r="R280" i="5" s="1"/>
  <c r="Q357" i="5"/>
  <c r="R357" i="5" s="1"/>
  <c r="Q407" i="5"/>
  <c r="S407" i="5" s="1"/>
  <c r="Q314" i="5"/>
  <c r="S314" i="5" s="1"/>
  <c r="Q402" i="5"/>
  <c r="S402" i="5" s="1"/>
  <c r="Q368" i="5"/>
  <c r="R368" i="5" s="1"/>
  <c r="Q318" i="5"/>
  <c r="S318" i="5" s="1"/>
  <c r="Q464" i="5"/>
  <c r="S464" i="5" s="1"/>
  <c r="Q499" i="5"/>
  <c r="S499" i="5" s="1"/>
  <c r="Q547" i="5"/>
  <c r="S547" i="5" s="1"/>
  <c r="Q476" i="5"/>
  <c r="S476" i="5" s="1"/>
  <c r="Q436" i="5"/>
  <c r="R436" i="5" s="1"/>
  <c r="Q463" i="5"/>
  <c r="S463" i="5" s="1"/>
  <c r="Q417" i="5"/>
  <c r="R417" i="5" s="1"/>
  <c r="Q375" i="5"/>
  <c r="S375" i="5" s="1"/>
  <c r="Q310" i="5"/>
  <c r="S310" i="5" s="1"/>
  <c r="Q217" i="5"/>
  <c r="Q162" i="5"/>
  <c r="R162" i="5" s="1"/>
  <c r="Q131" i="5"/>
  <c r="S131" i="5" s="1"/>
  <c r="Q51" i="5"/>
  <c r="R51" i="5" s="1"/>
  <c r="Q531" i="5"/>
  <c r="Q459" i="5"/>
  <c r="S459" i="5" s="1"/>
  <c r="Q555" i="5"/>
  <c r="S555" i="5" s="1"/>
  <c r="Q548" i="5"/>
  <c r="R548" i="5" s="1"/>
  <c r="Q494" i="5"/>
  <c r="R494" i="5" s="1"/>
  <c r="Q514" i="5"/>
  <c r="S514" i="5" s="1"/>
  <c r="Q457" i="5"/>
  <c r="R457" i="5" s="1"/>
  <c r="Q527" i="5"/>
  <c r="S527" i="5" s="1"/>
  <c r="Q473" i="5"/>
  <c r="S473" i="5" s="1"/>
  <c r="Q416" i="5"/>
  <c r="S416" i="5" s="1"/>
  <c r="Q327" i="5"/>
  <c r="R327" i="5" s="1"/>
  <c r="Q349" i="5"/>
  <c r="S349" i="5" s="1"/>
  <c r="Q389" i="5"/>
  <c r="S389" i="5" s="1"/>
  <c r="Q324" i="5"/>
  <c r="S324" i="5" s="1"/>
  <c r="Q167" i="5"/>
  <c r="Q333" i="5"/>
  <c r="S333" i="5" s="1"/>
  <c r="Q237" i="5"/>
  <c r="R237" i="5" s="1"/>
  <c r="Q244" i="5"/>
  <c r="S244" i="5" s="1"/>
  <c r="Q135" i="5"/>
  <c r="R135" i="5" s="1"/>
  <c r="Q490" i="5"/>
  <c r="S490" i="5" s="1"/>
  <c r="Q283" i="5"/>
  <c r="S283" i="5" s="1"/>
  <c r="Q99" i="5"/>
  <c r="R99" i="5" s="1"/>
  <c r="Q506" i="5"/>
  <c r="Q323" i="5"/>
  <c r="R323" i="5" s="1"/>
  <c r="Q31" i="5"/>
  <c r="R31" i="5" s="1"/>
  <c r="Q529" i="5"/>
  <c r="S529" i="5" s="1"/>
  <c r="Q501" i="5"/>
  <c r="R501" i="5" s="1"/>
  <c r="Q439" i="5"/>
  <c r="R439" i="5" s="1"/>
  <c r="Q258" i="5"/>
  <c r="S258" i="5" s="1"/>
  <c r="Q125" i="5"/>
  <c r="R125" i="5" s="1"/>
  <c r="Q34" i="5"/>
  <c r="S34" i="5" s="1"/>
  <c r="Q48" i="5"/>
  <c r="Q68" i="5"/>
  <c r="R68" i="5" s="1"/>
  <c r="Q76" i="5"/>
  <c r="R76" i="5" s="1"/>
  <c r="Q106" i="5"/>
  <c r="R106" i="5" s="1"/>
  <c r="Q153" i="5"/>
  <c r="S153" i="5" s="1"/>
  <c r="Q157" i="5"/>
  <c r="S157" i="5" s="1"/>
  <c r="Q139" i="5"/>
  <c r="S139" i="5" s="1"/>
  <c r="Q145" i="5"/>
  <c r="S145" i="5" s="1"/>
  <c r="Q182" i="5"/>
  <c r="R182" i="5" s="1"/>
  <c r="Q241" i="5"/>
  <c r="S241" i="5" s="1"/>
  <c r="Q233" i="5"/>
  <c r="R233" i="5" s="1"/>
  <c r="Q234" i="5"/>
  <c r="S234" i="5" s="1"/>
  <c r="Q284" i="5"/>
  <c r="Q215" i="5"/>
  <c r="S215" i="5" s="1"/>
  <c r="Q303" i="5"/>
  <c r="R303" i="5" s="1"/>
  <c r="Q248" i="5"/>
  <c r="R248" i="5" s="1"/>
  <c r="Q304" i="5"/>
  <c r="S304" i="5" s="1"/>
  <c r="Q360" i="5"/>
  <c r="R360" i="5" s="1"/>
  <c r="Q385" i="5"/>
  <c r="B43" i="5"/>
  <c r="Q45" i="5"/>
  <c r="S45" i="5" s="1"/>
  <c r="Q27" i="5"/>
  <c r="S27" i="5" s="1"/>
  <c r="Q78" i="5"/>
  <c r="R78" i="5" s="1"/>
  <c r="Q110" i="5"/>
  <c r="R110" i="5" s="1"/>
  <c r="Q151" i="5"/>
  <c r="S151" i="5" s="1"/>
  <c r="Q105" i="5"/>
  <c r="S105" i="5" s="1"/>
  <c r="Q163" i="5"/>
  <c r="S163" i="5" s="1"/>
  <c r="Q178" i="5"/>
  <c r="S178" i="5" s="1"/>
  <c r="Q186" i="5"/>
  <c r="Q214" i="5"/>
  <c r="R214" i="5" s="1"/>
  <c r="Q276" i="5"/>
  <c r="Q255" i="5"/>
  <c r="R255" i="5" s="1"/>
  <c r="Q173" i="5"/>
  <c r="Q297" i="5"/>
  <c r="S297" i="5" s="1"/>
  <c r="Q295" i="5"/>
  <c r="S295" i="5" s="1"/>
  <c r="Q428" i="5"/>
  <c r="R428" i="5" s="1"/>
  <c r="Q353" i="5"/>
  <c r="R353" i="5" s="1"/>
  <c r="Q414" i="5"/>
  <c r="S414" i="5" s="1"/>
  <c r="Q384" i="5"/>
  <c r="Q381" i="5"/>
  <c r="S381" i="5" s="1"/>
  <c r="Q474" i="5"/>
  <c r="S474" i="5" s="1"/>
  <c r="Q544" i="5"/>
  <c r="S544" i="5" s="1"/>
  <c r="Q451" i="5"/>
  <c r="S451" i="5" s="1"/>
  <c r="Q424" i="5"/>
  <c r="Q345" i="5"/>
  <c r="R345" i="5" s="1"/>
  <c r="Q387" i="5"/>
  <c r="S387" i="5" s="1"/>
  <c r="Q379" i="5"/>
  <c r="R379" i="5" s="1"/>
  <c r="Q352" i="5"/>
  <c r="S352" i="5" s="1"/>
  <c r="Q259" i="5"/>
  <c r="S259" i="5" s="1"/>
  <c r="Q225" i="5"/>
  <c r="S225" i="5" s="1"/>
  <c r="Q150" i="5"/>
  <c r="S150" i="5" s="1"/>
  <c r="Q111" i="5"/>
  <c r="R111" i="5" s="1"/>
  <c r="Q40" i="5"/>
  <c r="R40" i="5" s="1"/>
  <c r="Q472" i="5"/>
  <c r="R472" i="5" s="1"/>
  <c r="Q558" i="5"/>
  <c r="R558" i="5" s="1"/>
  <c r="Q532" i="5"/>
  <c r="S532" i="5" s="1"/>
  <c r="Q542" i="5"/>
  <c r="S542" i="5" s="1"/>
  <c r="Q465" i="5"/>
  <c r="R465" i="5" s="1"/>
  <c r="Q493" i="5"/>
  <c r="S493" i="5" s="1"/>
  <c r="Q435" i="5"/>
  <c r="R435" i="5" s="1"/>
  <c r="Q521" i="5"/>
  <c r="Q462" i="5"/>
  <c r="S462" i="5" s="1"/>
  <c r="Q401" i="5"/>
  <c r="S401" i="5" s="1"/>
  <c r="Q413" i="5"/>
  <c r="S413" i="5" s="1"/>
  <c r="Q282" i="5"/>
  <c r="S282" i="5" s="1"/>
  <c r="Q371" i="5"/>
  <c r="R371" i="5" s="1"/>
  <c r="Q294" i="5"/>
  <c r="R294" i="5" s="1"/>
  <c r="Q307" i="5"/>
  <c r="S307" i="5" s="1"/>
  <c r="Q223" i="5"/>
  <c r="R223" i="5" s="1"/>
  <c r="Q339" i="5"/>
  <c r="R339" i="5" s="1"/>
  <c r="Q448" i="5"/>
  <c r="R448" i="5" s="1"/>
  <c r="Q455" i="5"/>
  <c r="S455" i="5" s="1"/>
  <c r="Q298" i="5"/>
  <c r="S298" i="5" s="1"/>
  <c r="Q28" i="5"/>
  <c r="S28" i="5" s="1"/>
  <c r="Q406" i="5"/>
  <c r="S406" i="5" s="1"/>
  <c r="Q250" i="5"/>
  <c r="S250" i="5" s="1"/>
  <c r="Q556" i="5"/>
  <c r="S556" i="5" s="1"/>
  <c r="Q426" i="5"/>
  <c r="S426" i="5" s="1"/>
  <c r="Q390" i="5"/>
  <c r="S390" i="5" s="1"/>
  <c r="Q254" i="5"/>
  <c r="S254" i="5" s="1"/>
  <c r="Q228" i="5"/>
  <c r="R228" i="5" s="1"/>
  <c r="Q82" i="5"/>
  <c r="S82" i="5" s="1"/>
  <c r="Q21" i="5"/>
  <c r="S21" i="5" s="1"/>
  <c r="Q25" i="5"/>
  <c r="S25" i="5" s="1"/>
  <c r="Q62" i="5"/>
  <c r="R62" i="5" s="1"/>
  <c r="Q74" i="5"/>
  <c r="S74" i="5" s="1"/>
  <c r="Q85" i="5"/>
  <c r="S85" i="5" s="1"/>
  <c r="Q108" i="5"/>
  <c r="R108" i="5" s="1"/>
  <c r="Q53" i="5"/>
  <c r="Q102" i="5"/>
  <c r="R102" i="5" s="1"/>
  <c r="Q155" i="5"/>
  <c r="R155" i="5" s="1"/>
  <c r="Q172" i="5"/>
  <c r="S172" i="5" s="1"/>
  <c r="Q208" i="5"/>
  <c r="R208" i="5" s="1"/>
  <c r="Q177" i="5"/>
  <c r="R177" i="5" s="1"/>
  <c r="Q171" i="5"/>
  <c r="R171" i="5" s="1"/>
  <c r="Q101" i="5"/>
  <c r="R101" i="5" s="1"/>
  <c r="Q299" i="5"/>
  <c r="Q253" i="5"/>
  <c r="R253" i="5" s="1"/>
  <c r="Q320" i="5"/>
  <c r="S320" i="5" s="1"/>
  <c r="Q267" i="5"/>
  <c r="R267" i="5" s="1"/>
  <c r="Q317" i="5"/>
  <c r="R317" i="5" s="1"/>
  <c r="Q289" i="5"/>
  <c r="S289" i="5" s="1"/>
  <c r="Q396" i="5"/>
  <c r="S396" i="5" s="1"/>
  <c r="Q23" i="5"/>
  <c r="R23" i="5" s="1"/>
  <c r="Q67" i="5"/>
  <c r="R67" i="5" s="1"/>
  <c r="Q71" i="5"/>
  <c r="R71" i="5" s="1"/>
  <c r="Q103" i="5"/>
  <c r="S103" i="5" s="1"/>
  <c r="Q98" i="5"/>
  <c r="R98" i="5" s="1"/>
  <c r="Q124" i="5"/>
  <c r="S124" i="5" s="1"/>
  <c r="Q130" i="5"/>
  <c r="S130" i="5" s="1"/>
  <c r="Q181" i="5"/>
  <c r="S181" i="5" s="1"/>
  <c r="Q210" i="5"/>
  <c r="R210" i="5" s="1"/>
  <c r="Q231" i="5"/>
  <c r="R231" i="5" s="1"/>
  <c r="Q302" i="5"/>
  <c r="R302" i="5" s="1"/>
  <c r="Q285" i="5"/>
  <c r="R285" i="5" s="1"/>
  <c r="Q243" i="5"/>
  <c r="S243" i="5" s="1"/>
  <c r="Q319" i="5"/>
  <c r="R319" i="5" s="1"/>
  <c r="Q356" i="5"/>
  <c r="S356" i="5" s="1"/>
  <c r="Q441" i="5"/>
  <c r="R441" i="5" s="1"/>
  <c r="Q365" i="5"/>
  <c r="S365" i="5" s="1"/>
  <c r="Q322" i="5"/>
  <c r="S322" i="5" s="1"/>
  <c r="Q398" i="5"/>
  <c r="R398" i="5" s="1"/>
  <c r="Q433" i="5"/>
  <c r="S433" i="5" s="1"/>
  <c r="Q485" i="5"/>
  <c r="R485" i="5" s="1"/>
  <c r="Q560" i="5"/>
  <c r="S560" i="5" s="1"/>
  <c r="Q543" i="5"/>
  <c r="R543" i="5" s="1"/>
  <c r="Q495" i="5"/>
  <c r="S495" i="5" s="1"/>
  <c r="Q523" i="5"/>
  <c r="S523" i="5" s="1"/>
  <c r="Q405" i="5"/>
  <c r="R405" i="5" s="1"/>
  <c r="Q308" i="5"/>
  <c r="S308" i="5" s="1"/>
  <c r="Q309" i="5"/>
  <c r="S309" i="5" s="1"/>
  <c r="Q313" i="5"/>
  <c r="S313" i="5" s="1"/>
  <c r="Q236" i="5"/>
  <c r="R236" i="5" s="1"/>
  <c r="Q112" i="5"/>
  <c r="R112" i="5" s="1"/>
  <c r="Q79" i="5"/>
  <c r="S79" i="5" s="1"/>
  <c r="Q10" i="5"/>
  <c r="R10" i="5" s="1"/>
  <c r="Q427" i="5"/>
  <c r="R427" i="5" s="1"/>
  <c r="Q507" i="5"/>
  <c r="S507" i="5" s="1"/>
  <c r="Q491" i="5"/>
  <c r="R491" i="5" s="1"/>
  <c r="Q535" i="5"/>
  <c r="R535" i="5" s="1"/>
  <c r="Q444" i="5"/>
  <c r="R444" i="5" s="1"/>
  <c r="Q488" i="5"/>
  <c r="R488" i="5" s="1"/>
  <c r="Q420" i="5"/>
  <c r="R420" i="5" s="1"/>
  <c r="Q511" i="5"/>
  <c r="R511" i="5" s="1"/>
  <c r="Q453" i="5"/>
  <c r="R453" i="5" s="1"/>
  <c r="Q377" i="5"/>
  <c r="Q392" i="5"/>
  <c r="R392" i="5" s="1"/>
  <c r="Q442" i="5"/>
  <c r="R442" i="5" s="1"/>
  <c r="Q273" i="5"/>
  <c r="R273" i="5" s="1"/>
  <c r="Q275" i="5"/>
  <c r="R275" i="5" s="1"/>
  <c r="Q290" i="5"/>
  <c r="S290" i="5" s="1"/>
  <c r="Q269" i="5"/>
  <c r="S269" i="5" s="1"/>
  <c r="Q479" i="5"/>
  <c r="R479" i="5" s="1"/>
  <c r="Q361" i="5"/>
  <c r="Q524" i="5"/>
  <c r="R524" i="5" s="1"/>
  <c r="Q46" i="5"/>
  <c r="S46" i="5" s="1"/>
  <c r="Q199" i="5"/>
  <c r="R199" i="5" s="1"/>
  <c r="Q332" i="5"/>
  <c r="R332" i="5" s="1"/>
  <c r="Q425" i="5"/>
  <c r="S425" i="5" s="1"/>
  <c r="Q538" i="5"/>
  <c r="R538" i="5" s="1"/>
  <c r="Q326" i="5"/>
  <c r="S326" i="5" s="1"/>
  <c r="Q359" i="5"/>
  <c r="S359" i="5" s="1"/>
  <c r="Q559" i="5"/>
  <c r="R559" i="5" s="1"/>
  <c r="Q505" i="5"/>
  <c r="S505" i="5" s="1"/>
  <c r="Q159" i="5"/>
  <c r="S159" i="5" s="1"/>
  <c r="Q291" i="5"/>
  <c r="S291" i="5" s="1"/>
  <c r="Q249" i="5"/>
  <c r="R249" i="5" s="1"/>
  <c r="Q517" i="5"/>
  <c r="R517" i="5" s="1"/>
  <c r="Q537" i="5"/>
  <c r="R537" i="5" s="1"/>
  <c r="Q56" i="5"/>
  <c r="S56" i="5" s="1"/>
  <c r="Q376" i="5"/>
  <c r="S376" i="5" s="1"/>
  <c r="Q551" i="5"/>
  <c r="R551" i="5" s="1"/>
  <c r="Q513" i="5"/>
  <c r="S513" i="5" s="1"/>
  <c r="Q539" i="5"/>
  <c r="R539" i="5" s="1"/>
  <c r="Q344" i="5"/>
  <c r="R344" i="5" s="1"/>
  <c r="Q419" i="5"/>
  <c r="R419" i="5" s="1"/>
  <c r="Q191" i="5"/>
  <c r="R191" i="5" s="1"/>
  <c r="Q158" i="5"/>
  <c r="R158" i="5" s="1"/>
  <c r="Q134" i="5"/>
  <c r="S134" i="5" s="1"/>
  <c r="Q55" i="5"/>
  <c r="R55" i="5" s="1"/>
  <c r="Q480" i="5"/>
  <c r="S480" i="5" s="1"/>
  <c r="Q218" i="5"/>
  <c r="R218" i="5" s="1"/>
  <c r="Q164" i="5"/>
  <c r="S164" i="5" s="1"/>
  <c r="Q224" i="5"/>
  <c r="S224" i="5" s="1"/>
  <c r="Q468" i="5"/>
  <c r="S468" i="5" s="1"/>
  <c r="Q88" i="5"/>
  <c r="R88" i="5" s="1"/>
  <c r="Q197" i="5"/>
  <c r="S197" i="5" s="1"/>
  <c r="Q409" i="5"/>
  <c r="S409" i="5" s="1"/>
  <c r="Q20" i="5"/>
  <c r="R20" i="5" s="1"/>
  <c r="Q301" i="5"/>
  <c r="S301" i="5" s="1"/>
  <c r="Q364" i="5"/>
  <c r="S364" i="5" s="1"/>
  <c r="B94" i="2"/>
  <c r="B102" i="2" s="1"/>
  <c r="B103" i="2" s="1"/>
  <c r="B189" i="2"/>
  <c r="B252" i="2" s="1"/>
  <c r="S508" i="5"/>
  <c r="Y59" i="5"/>
  <c r="X7" i="5"/>
  <c r="Y7" i="5"/>
  <c r="Z134" i="4"/>
  <c r="Z71" i="4"/>
  <c r="Z125" i="4"/>
  <c r="Z103" i="4"/>
  <c r="Z93" i="4"/>
  <c r="Z51" i="4"/>
  <c r="Z119" i="4"/>
  <c r="Z115" i="4"/>
  <c r="Z80" i="4"/>
  <c r="Z63" i="4"/>
  <c r="Z28" i="4"/>
  <c r="Z121" i="4"/>
  <c r="Z12" i="4"/>
  <c r="Z27" i="4"/>
  <c r="Z43" i="4"/>
  <c r="Z151" i="4"/>
  <c r="Z127" i="4"/>
  <c r="Z14" i="4"/>
  <c r="Z144" i="4"/>
  <c r="Z11" i="4"/>
  <c r="Z23" i="4"/>
  <c r="Z70" i="4"/>
  <c r="Z36" i="4"/>
  <c r="Z53" i="4"/>
  <c r="Z35" i="4"/>
  <c r="Z22" i="4"/>
  <c r="Z38" i="4"/>
  <c r="Z78" i="4"/>
  <c r="Z148" i="4"/>
  <c r="Z44" i="4"/>
  <c r="Z141" i="4"/>
  <c r="Z48" i="4"/>
  <c r="Z42" i="4"/>
  <c r="Z101" i="4"/>
  <c r="Z73" i="4"/>
  <c r="Z138" i="4"/>
  <c r="Z86" i="4"/>
  <c r="Z77" i="4"/>
  <c r="X434" i="5"/>
  <c r="X223" i="5"/>
  <c r="X64" i="5"/>
  <c r="X551" i="5"/>
  <c r="Y486" i="5"/>
  <c r="X525" i="5"/>
  <c r="Y154" i="5"/>
  <c r="X515" i="5"/>
  <c r="Y206" i="5"/>
  <c r="Y514" i="5"/>
  <c r="Y266" i="5"/>
  <c r="Y29" i="5"/>
  <c r="Y87" i="5"/>
  <c r="Y252" i="5"/>
  <c r="Y415" i="5"/>
  <c r="X427" i="5"/>
  <c r="Y373" i="5"/>
  <c r="Y216" i="5"/>
  <c r="Y281" i="5"/>
  <c r="X475" i="5"/>
  <c r="X448" i="5"/>
  <c r="Y380" i="5"/>
  <c r="Y396" i="5"/>
  <c r="X560" i="5"/>
  <c r="X557" i="5"/>
  <c r="Y555" i="5"/>
  <c r="Y45" i="5"/>
  <c r="X58" i="5"/>
  <c r="X310" i="5"/>
  <c r="Y337" i="5"/>
  <c r="Y200" i="5"/>
  <c r="X455" i="5"/>
  <c r="X552" i="5"/>
  <c r="Y235" i="5"/>
  <c r="X548" i="5"/>
  <c r="X152" i="5"/>
  <c r="X44" i="5"/>
  <c r="X202" i="5"/>
  <c r="Y410" i="5"/>
  <c r="X540" i="5"/>
  <c r="X125" i="5"/>
  <c r="X160" i="5"/>
  <c r="Y255" i="5"/>
  <c r="Y307" i="5"/>
  <c r="Y318" i="5"/>
  <c r="X528" i="5"/>
  <c r="X547" i="5"/>
  <c r="Y143" i="5"/>
  <c r="X315" i="5"/>
  <c r="Y268" i="5"/>
  <c r="Y343" i="5"/>
  <c r="Y376" i="5"/>
  <c r="Y353" i="5"/>
  <c r="Y365" i="5"/>
  <c r="Y72" i="5"/>
  <c r="Y134" i="5"/>
  <c r="X329" i="5"/>
  <c r="X335" i="5"/>
  <c r="Y186" i="5"/>
  <c r="X546" i="5"/>
  <c r="X27" i="5"/>
  <c r="X508" i="5"/>
  <c r="X472" i="5"/>
  <c r="Y379" i="5"/>
  <c r="Y239" i="5"/>
  <c r="Y467" i="5"/>
  <c r="Y253" i="5"/>
  <c r="Y444" i="5"/>
  <c r="X541" i="5"/>
  <c r="X488" i="5"/>
  <c r="Y440" i="5"/>
  <c r="Y531" i="5"/>
  <c r="X320" i="5"/>
  <c r="Y107" i="5"/>
  <c r="X498" i="5"/>
  <c r="X484" i="5"/>
  <c r="X115" i="5"/>
  <c r="X301" i="5"/>
  <c r="Y190" i="5"/>
  <c r="X214" i="5"/>
  <c r="X375" i="5"/>
  <c r="X559" i="5"/>
  <c r="X398" i="5"/>
  <c r="Y339" i="5"/>
  <c r="X536" i="5"/>
  <c r="Y524" i="5"/>
  <c r="Y554" i="5"/>
  <c r="Y99" i="5"/>
  <c r="Y332" i="5"/>
  <c r="Y446" i="5"/>
  <c r="X132" i="5"/>
  <c r="X243" i="5"/>
  <c r="Y346" i="5"/>
  <c r="Y236" i="5"/>
  <c r="X462" i="5"/>
  <c r="Y181" i="5"/>
  <c r="X378" i="5"/>
  <c r="Y402" i="5"/>
  <c r="X102" i="5"/>
  <c r="Y158" i="5"/>
  <c r="Y97" i="5"/>
  <c r="X194" i="5"/>
  <c r="X231" i="5"/>
  <c r="Y251" i="5"/>
  <c r="X259" i="5"/>
  <c r="Y361" i="5"/>
  <c r="Y411" i="5"/>
  <c r="X438" i="5"/>
  <c r="Y523" i="5"/>
  <c r="Y500" i="5"/>
  <c r="Y530" i="5"/>
  <c r="Y70" i="5"/>
  <c r="X305" i="5"/>
  <c r="Y407" i="5"/>
  <c r="Y430" i="5"/>
  <c r="X491" i="5"/>
  <c r="X453" i="5"/>
  <c r="Y544" i="5"/>
  <c r="X533" i="5"/>
  <c r="X128" i="5"/>
  <c r="X248" i="5"/>
  <c r="X238" i="5"/>
  <c r="Y308" i="5"/>
  <c r="X328" i="5"/>
  <c r="Y357" i="5"/>
  <c r="Y217" i="5"/>
  <c r="Y456" i="5"/>
  <c r="Y492" i="5"/>
  <c r="Y421" i="5"/>
  <c r="Y503" i="5"/>
  <c r="X451" i="5"/>
  <c r="X537" i="5"/>
  <c r="X273" i="5"/>
  <c r="X404" i="5"/>
  <c r="Y558" i="5"/>
  <c r="Y385" i="5"/>
  <c r="Y126" i="5"/>
  <c r="Y277" i="5"/>
  <c r="Y284" i="5"/>
  <c r="Y485" i="5"/>
  <c r="X35" i="5"/>
  <c r="X177" i="5"/>
  <c r="X351" i="5"/>
  <c r="X285" i="5"/>
  <c r="X535" i="5"/>
  <c r="Y502" i="5"/>
  <c r="X534" i="5"/>
  <c r="X136" i="5"/>
  <c r="Y369" i="5"/>
  <c r="Y545" i="5"/>
  <c r="X474" i="5"/>
  <c r="Y41" i="5"/>
  <c r="Y196" i="5"/>
  <c r="X370" i="5"/>
  <c r="Y371" i="5"/>
  <c r="Y487" i="5"/>
  <c r="X441" i="5"/>
  <c r="X468" i="5"/>
  <c r="X549" i="5"/>
  <c r="Y386" i="5"/>
  <c r="X481" i="5"/>
  <c r="X123" i="5"/>
  <c r="Y429" i="5"/>
  <c r="X275" i="5"/>
  <c r="X499" i="5"/>
  <c r="X43" i="5"/>
  <c r="X40" i="5"/>
  <c r="X86" i="5"/>
  <c r="X137" i="5"/>
  <c r="Y246" i="5"/>
  <c r="Y211" i="5"/>
  <c r="Y213" i="5"/>
  <c r="Y345" i="5"/>
  <c r="Y395" i="5"/>
  <c r="X364" i="5"/>
  <c r="Y490" i="5"/>
  <c r="X447" i="5"/>
  <c r="X296" i="5"/>
  <c r="X387" i="5"/>
  <c r="X470" i="5"/>
  <c r="X509" i="5"/>
  <c r="X414" i="5"/>
  <c r="Y464" i="5"/>
  <c r="Y425" i="5"/>
  <c r="X96" i="5"/>
  <c r="X227" i="5"/>
  <c r="Y265" i="5"/>
  <c r="X292" i="5"/>
  <c r="Y450" i="5"/>
  <c r="X471" i="5"/>
  <c r="X261" i="5"/>
  <c r="Y418" i="5"/>
  <c r="Y518" i="5"/>
  <c r="X428" i="5"/>
  <c r="Y389" i="5"/>
  <c r="Y454" i="5"/>
  <c r="Y556" i="5"/>
  <c r="X360" i="5"/>
  <c r="X479" i="5"/>
  <c r="Y391" i="5"/>
  <c r="X495" i="5"/>
  <c r="Y76" i="5"/>
  <c r="X31" i="5"/>
  <c r="Y119" i="5"/>
  <c r="Y229" i="5"/>
  <c r="Y354" i="5"/>
  <c r="Y460" i="5"/>
  <c r="Y439" i="5"/>
  <c r="X195" i="5"/>
  <c r="X422" i="5"/>
  <c r="X226" i="5"/>
  <c r="X313" i="5"/>
  <c r="Y416" i="5"/>
  <c r="X420" i="5"/>
  <c r="Y423" i="5"/>
  <c r="Y527" i="5"/>
  <c r="X538" i="5"/>
  <c r="X19" i="5"/>
  <c r="X349" i="5"/>
  <c r="X449" i="5"/>
  <c r="Y436" i="5"/>
  <c r="Y493" i="5"/>
  <c r="Y452" i="5"/>
  <c r="X103" i="5"/>
  <c r="X496" i="5"/>
  <c r="Y417" i="5"/>
  <c r="X507" i="5"/>
  <c r="Y176" i="5"/>
  <c r="Y169" i="5"/>
  <c r="Y180" i="5"/>
  <c r="Y366" i="5"/>
  <c r="Y469" i="5"/>
  <c r="Y480" i="5"/>
  <c r="Y150" i="5"/>
  <c r="X207" i="5"/>
  <c r="X340" i="5"/>
  <c r="Y394" i="5"/>
  <c r="X553" i="5"/>
  <c r="Y397" i="5"/>
  <c r="X465" i="5"/>
  <c r="Y443" i="5"/>
  <c r="Y513" i="5"/>
  <c r="X532" i="5"/>
  <c r="Y147" i="5"/>
  <c r="Y267" i="5"/>
  <c r="Y506" i="5"/>
  <c r="X431" i="5"/>
  <c r="X435" i="5"/>
  <c r="X85" i="5"/>
  <c r="Y297" i="5"/>
  <c r="X69" i="5"/>
  <c r="X184" i="5"/>
  <c r="Y288" i="5"/>
  <c r="X390" i="5"/>
  <c r="Y466" i="5"/>
  <c r="Y388" i="5"/>
  <c r="X23" i="5"/>
  <c r="Y218" i="5"/>
  <c r="Y287" i="5"/>
  <c r="X289" i="5"/>
  <c r="Y298" i="5"/>
  <c r="X504" i="5"/>
  <c r="Y437" i="5"/>
  <c r="Y458" i="5"/>
  <c r="X458" i="5"/>
  <c r="Y476" i="5"/>
  <c r="X476" i="5"/>
  <c r="Y300" i="5"/>
  <c r="X300" i="5"/>
  <c r="X463" i="5"/>
  <c r="Y463" i="5"/>
  <c r="Y110" i="5"/>
  <c r="X110" i="5"/>
  <c r="X34" i="5"/>
  <c r="X401" i="5"/>
  <c r="Y401" i="5"/>
  <c r="X73" i="5"/>
  <c r="Y66" i="5"/>
  <c r="Y148" i="5"/>
  <c r="Y209" i="5"/>
  <c r="Y323" i="5"/>
  <c r="Y381" i="5"/>
  <c r="X512" i="5"/>
  <c r="X400" i="5"/>
  <c r="X516" i="5"/>
  <c r="X324" i="5"/>
  <c r="X49" i="5"/>
  <c r="Y92" i="5"/>
  <c r="X164" i="5"/>
  <c r="Y279" i="5"/>
  <c r="X333" i="5"/>
  <c r="Y412" i="5"/>
  <c r="Y459" i="5"/>
  <c r="Y526" i="5"/>
  <c r="X482" i="5"/>
  <c r="X355" i="5"/>
  <c r="Y494" i="5"/>
  <c r="X442" i="5"/>
  <c r="X543" i="5"/>
  <c r="Y543" i="5"/>
  <c r="X290" i="5"/>
  <c r="Y290" i="5"/>
  <c r="Y426" i="5"/>
  <c r="X426" i="5"/>
  <c r="X356" i="5"/>
  <c r="Y356" i="5"/>
  <c r="Y240" i="5"/>
  <c r="X240" i="5"/>
  <c r="Y517" i="5"/>
  <c r="X517" i="5"/>
  <c r="Y473" i="5"/>
  <c r="Y403" i="5"/>
  <c r="X403" i="5"/>
  <c r="Y139" i="5"/>
  <c r="X139" i="5"/>
  <c r="X519" i="5"/>
  <c r="Y519" i="5"/>
  <c r="Y529" i="5"/>
  <c r="X529" i="5"/>
  <c r="Y406" i="5"/>
  <c r="X406" i="5"/>
  <c r="Y319" i="5"/>
  <c r="X319" i="5"/>
  <c r="Y167" i="5"/>
  <c r="X167" i="5"/>
  <c r="Y522" i="5"/>
  <c r="X522" i="5"/>
  <c r="Y511" i="5"/>
  <c r="X511" i="5"/>
  <c r="X510" i="5"/>
  <c r="Y510" i="5"/>
  <c r="X409" i="5"/>
  <c r="Y409" i="5"/>
  <c r="X10" i="5"/>
  <c r="Y10" i="5"/>
  <c r="X283" i="5"/>
  <c r="Y405" i="5"/>
  <c r="Y520" i="5"/>
  <c r="X94" i="5"/>
  <c r="X203" i="5"/>
  <c r="X309" i="5"/>
  <c r="X501" i="5"/>
  <c r="Y201" i="5"/>
  <c r="X201" i="5"/>
  <c r="X149" i="5"/>
  <c r="Y149" i="5"/>
  <c r="Y489" i="5"/>
  <c r="X457" i="5"/>
  <c r="X325" i="5"/>
  <c r="Y269" i="5"/>
  <c r="Y461" i="5"/>
  <c r="Y539" i="5"/>
  <c r="Y521" i="5"/>
  <c r="Y22" i="5"/>
  <c r="Y189" i="5"/>
  <c r="X341" i="5"/>
  <c r="Y433" i="5"/>
  <c r="X372" i="5"/>
  <c r="Y293" i="5"/>
  <c r="X505" i="5"/>
  <c r="X542" i="5"/>
  <c r="X257" i="5"/>
  <c r="Y257" i="5"/>
  <c r="X80" i="5"/>
  <c r="Y80" i="5"/>
  <c r="Y322" i="5"/>
  <c r="X322" i="5"/>
  <c r="Y57" i="5"/>
  <c r="X57" i="5"/>
  <c r="Y230" i="5"/>
  <c r="X311" i="5"/>
  <c r="Y98" i="5"/>
  <c r="Y233" i="5"/>
  <c r="Y175" i="5"/>
  <c r="X263" i="5"/>
  <c r="X271" i="5"/>
  <c r="X210" i="5"/>
  <c r="X8" i="5"/>
  <c r="Y8" i="5"/>
  <c r="X306" i="5"/>
  <c r="Y347" i="5"/>
  <c r="X21" i="5"/>
  <c r="X256" i="5"/>
  <c r="X445" i="5"/>
  <c r="X363" i="5"/>
  <c r="Y383" i="5"/>
  <c r="X550" i="5"/>
  <c r="Y477" i="5"/>
  <c r="W9" i="5"/>
  <c r="T9" i="5"/>
  <c r="X74" i="5"/>
  <c r="Y116" i="5"/>
  <c r="Y172" i="5"/>
  <c r="X225" i="5"/>
  <c r="X260" i="5"/>
  <c r="X302" i="5"/>
  <c r="X377" i="5"/>
  <c r="Y51" i="5"/>
  <c r="Y65" i="5"/>
  <c r="Y171" i="5"/>
  <c r="X367" i="5"/>
  <c r="X393" i="5"/>
  <c r="X497" i="5"/>
  <c r="X478" i="5"/>
  <c r="X483" i="5"/>
  <c r="Y424" i="5"/>
  <c r="X295" i="5"/>
  <c r="Y384" i="5"/>
  <c r="X104" i="5"/>
  <c r="Y26" i="5"/>
  <c r="Y142" i="5"/>
  <c r="Y314" i="5"/>
  <c r="X122" i="5"/>
  <c r="X166" i="5"/>
  <c r="X108" i="5"/>
  <c r="Y28" i="5"/>
  <c r="X133" i="5"/>
  <c r="X312" i="5"/>
  <c r="Y299" i="5"/>
  <c r="X135" i="5"/>
  <c r="X151" i="5"/>
  <c r="Y245" i="5"/>
  <c r="Y264" i="5"/>
  <c r="X161" i="5"/>
  <c r="Y374" i="5"/>
  <c r="X222" i="5"/>
  <c r="X348" i="5"/>
  <c r="X304" i="5"/>
  <c r="Y37" i="5"/>
  <c r="Y68" i="5"/>
  <c r="Y82" i="5"/>
  <c r="Y205" i="5"/>
  <c r="X368" i="5"/>
  <c r="Y197" i="5"/>
  <c r="X25" i="5"/>
  <c r="Y55" i="5"/>
  <c r="X124" i="5"/>
  <c r="X156" i="5"/>
  <c r="X254" i="5"/>
  <c r="X291" i="5"/>
  <c r="Y131" i="5"/>
  <c r="X145" i="5"/>
  <c r="Y145" i="5"/>
  <c r="Y109" i="5"/>
  <c r="X109" i="5"/>
  <c r="X334" i="5"/>
  <c r="Y334" i="5"/>
  <c r="Y219" i="5"/>
  <c r="X219" i="5"/>
  <c r="X163" i="5"/>
  <c r="Y163" i="5"/>
  <c r="X146" i="5"/>
  <c r="X101" i="5"/>
  <c r="Y274" i="5"/>
  <c r="Y185" i="5"/>
  <c r="Y399" i="5"/>
  <c r="X60" i="5"/>
  <c r="X140" i="5"/>
  <c r="Y61" i="5"/>
  <c r="X316" i="5"/>
  <c r="Y392" i="5"/>
  <c r="X392" i="5"/>
  <c r="Y270" i="5"/>
  <c r="X270" i="5"/>
  <c r="Y262" i="5"/>
  <c r="X262" i="5"/>
  <c r="Y204" i="5"/>
  <c r="X204" i="5"/>
  <c r="Y174" i="5"/>
  <c r="X174" i="5"/>
  <c r="X144" i="5"/>
  <c r="Y144" i="5"/>
  <c r="X138" i="5"/>
  <c r="Y138" i="5"/>
  <c r="X56" i="5"/>
  <c r="Y56" i="5"/>
  <c r="Y338" i="5"/>
  <c r="X338" i="5"/>
  <c r="Y62" i="5"/>
  <c r="X62" i="5"/>
  <c r="X71" i="5"/>
  <c r="X130" i="5"/>
  <c r="Y130" i="5"/>
  <c r="Y71" i="5"/>
  <c r="Y84" i="5"/>
  <c r="X272" i="5"/>
  <c r="Y330" i="5"/>
  <c r="X46" i="5"/>
  <c r="Y90" i="5"/>
  <c r="X170" i="5"/>
  <c r="X212" i="5"/>
  <c r="X165" i="5"/>
  <c r="X342" i="5"/>
  <c r="Y342" i="5"/>
  <c r="X250" i="5"/>
  <c r="Y250" i="5"/>
  <c r="Y192" i="5"/>
  <c r="X192" i="5"/>
  <c r="Y228" i="5"/>
  <c r="X228" i="5"/>
  <c r="X173" i="5"/>
  <c r="Y173" i="5"/>
  <c r="Y153" i="5"/>
  <c r="X153" i="5"/>
  <c r="Y78" i="5"/>
  <c r="X78" i="5"/>
  <c r="Y413" i="5"/>
  <c r="X413" i="5"/>
  <c r="X336" i="5"/>
  <c r="Y336" i="5"/>
  <c r="X232" i="5"/>
  <c r="Y215" i="5"/>
  <c r="X215" i="5"/>
  <c r="X188" i="5"/>
  <c r="Y188" i="5"/>
  <c r="X155" i="5"/>
  <c r="Y155" i="5"/>
  <c r="X159" i="5"/>
  <c r="Y159" i="5"/>
  <c r="Y88" i="5"/>
  <c r="X88" i="5"/>
  <c r="Y52" i="5"/>
  <c r="X52" i="5"/>
  <c r="X20" i="5"/>
  <c r="Y20" i="5"/>
  <c r="Y39" i="5"/>
  <c r="Y95" i="5"/>
  <c r="X95" i="5"/>
  <c r="X179" i="5"/>
  <c r="Y179" i="5"/>
  <c r="X32" i="5"/>
  <c r="X117" i="5"/>
  <c r="Y237" i="5"/>
  <c r="Y232" i="5"/>
  <c r="Y221" i="5"/>
  <c r="Y258" i="5"/>
  <c r="X350" i="5"/>
  <c r="X36" i="5"/>
  <c r="Y157" i="5"/>
  <c r="X408" i="5"/>
  <c r="Y331" i="5"/>
  <c r="X331" i="5"/>
  <c r="Y278" i="5"/>
  <c r="X278" i="5"/>
  <c r="Y208" i="5"/>
  <c r="X208" i="5"/>
  <c r="X182" i="5"/>
  <c r="Y182" i="5"/>
  <c r="Y111" i="5"/>
  <c r="X111" i="5"/>
  <c r="Y89" i="5"/>
  <c r="X89" i="5"/>
  <c r="X67" i="5"/>
  <c r="Y67" i="5"/>
  <c r="Y282" i="5"/>
  <c r="X282" i="5"/>
  <c r="X286" i="5"/>
  <c r="Y286" i="5"/>
  <c r="X178" i="5"/>
  <c r="Y79" i="5"/>
  <c r="X79" i="5"/>
  <c r="X118" i="5"/>
  <c r="X241" i="5"/>
  <c r="Y241" i="5"/>
  <c r="Y75" i="5"/>
  <c r="Y93" i="5"/>
  <c r="Y352" i="5"/>
  <c r="X39" i="5"/>
  <c r="X24" i="5"/>
  <c r="X280" i="5"/>
  <c r="Y321" i="5"/>
  <c r="X327" i="5"/>
  <c r="Y193" i="5"/>
  <c r="X193" i="5"/>
  <c r="Y198" i="5"/>
  <c r="X198" i="5"/>
  <c r="X83" i="5"/>
  <c r="Y83" i="5"/>
  <c r="Y38" i="5"/>
  <c r="X38" i="5"/>
  <c r="Y46" i="5"/>
  <c r="Y81" i="5"/>
  <c r="Y326" i="5"/>
  <c r="X303" i="5"/>
  <c r="Y162" i="5"/>
  <c r="Y47" i="5"/>
  <c r="X317" i="5"/>
  <c r="Y48" i="5"/>
  <c r="Y112" i="5"/>
  <c r="Y53" i="5"/>
  <c r="X191" i="5"/>
  <c r="Y127" i="5"/>
  <c r="Y359" i="5"/>
  <c r="Y30" i="5"/>
  <c r="Y77" i="5"/>
  <c r="X382" i="5"/>
  <c r="X91" i="5"/>
  <c r="X112" i="5"/>
  <c r="X114" i="5"/>
  <c r="Y187" i="5"/>
  <c r="Y234" i="5"/>
  <c r="X362" i="5"/>
  <c r="Y362" i="5"/>
  <c r="Y358" i="5"/>
  <c r="X276" i="5"/>
  <c r="Y276" i="5"/>
  <c r="X242" i="5"/>
  <c r="Y242" i="5"/>
  <c r="Y244" i="5"/>
  <c r="Y183" i="5"/>
  <c r="X183" i="5"/>
  <c r="X100" i="5"/>
  <c r="Y100" i="5"/>
  <c r="X42" i="5"/>
  <c r="Y42" i="5"/>
  <c r="X50" i="5"/>
  <c r="Y168" i="5"/>
  <c r="Y33" i="5"/>
  <c r="Y249" i="5"/>
  <c r="Y344" i="5"/>
  <c r="X344" i="5"/>
  <c r="X294" i="5"/>
  <c r="Y294" i="5"/>
  <c r="X199" i="5"/>
  <c r="Y199" i="5"/>
  <c r="Y113" i="5"/>
  <c r="X113" i="5"/>
  <c r="X54" i="5"/>
  <c r="Y54" i="5"/>
  <c r="Y106" i="5"/>
  <c r="X168" i="5"/>
  <c r="X120" i="5"/>
  <c r="Y105" i="5"/>
  <c r="Y121" i="5"/>
  <c r="X247" i="5"/>
  <c r="X224" i="5"/>
  <c r="X129" i="5"/>
  <c r="X432" i="5"/>
  <c r="Y141" i="5"/>
  <c r="Y63" i="5"/>
  <c r="Y220" i="5"/>
  <c r="Y419" i="5"/>
  <c r="Z8" i="4" l="1"/>
  <c r="W8" i="4"/>
  <c r="X116" i="4"/>
  <c r="X154" i="4"/>
  <c r="X113" i="4"/>
  <c r="X130" i="4"/>
  <c r="X97" i="4"/>
  <c r="X102" i="4"/>
  <c r="X110" i="4"/>
  <c r="X54" i="4"/>
  <c r="X81" i="4"/>
  <c r="X69" i="4"/>
  <c r="X62" i="4"/>
  <c r="X52" i="4"/>
  <c r="X112" i="4"/>
  <c r="X152" i="4"/>
  <c r="X91" i="4"/>
  <c r="X126" i="4"/>
  <c r="X145" i="4"/>
  <c r="X150" i="4"/>
  <c r="X64" i="4"/>
  <c r="X146" i="4"/>
  <c r="X67" i="4"/>
  <c r="X142" i="4"/>
  <c r="X123" i="4"/>
  <c r="X111" i="4"/>
  <c r="X137" i="4"/>
  <c r="X106" i="4"/>
  <c r="X65" i="4"/>
  <c r="X90" i="4"/>
  <c r="X104" i="4"/>
  <c r="X79" i="4"/>
  <c r="BN20" i="4"/>
  <c r="AI20" i="4"/>
  <c r="AI134" i="4"/>
  <c r="AI96" i="4"/>
  <c r="BN72" i="4"/>
  <c r="AI72" i="4"/>
  <c r="BN29" i="4"/>
  <c r="AI29" i="4"/>
  <c r="AI135" i="4"/>
  <c r="BN43" i="4"/>
  <c r="AI43" i="4"/>
  <c r="BN33" i="4"/>
  <c r="AI33" i="4"/>
  <c r="BN38" i="4"/>
  <c r="AI38" i="4"/>
  <c r="AI153" i="4"/>
  <c r="BN45" i="4"/>
  <c r="AI45" i="4"/>
  <c r="AI119" i="4"/>
  <c r="BN70" i="4"/>
  <c r="AI70" i="4"/>
  <c r="AI144" i="4"/>
  <c r="AI87" i="4"/>
  <c r="AI83" i="4"/>
  <c r="BN22" i="4"/>
  <c r="AI22" i="4"/>
  <c r="AI101" i="4"/>
  <c r="BN28" i="4"/>
  <c r="AI28" i="4"/>
  <c r="BN60" i="4"/>
  <c r="AI60" i="4"/>
  <c r="AI114" i="4"/>
  <c r="BN50" i="4"/>
  <c r="AI50" i="4"/>
  <c r="AI147" i="4"/>
  <c r="BN12" i="4"/>
  <c r="AI12" i="4"/>
  <c r="BN9" i="4"/>
  <c r="AI9" i="4"/>
  <c r="AI151" i="4"/>
  <c r="AI98" i="4"/>
  <c r="BN14" i="4"/>
  <c r="AI14" i="4"/>
  <c r="AI139" i="4"/>
  <c r="AI85" i="4"/>
  <c r="AI128" i="4"/>
  <c r="BN23" i="4"/>
  <c r="AI23" i="4"/>
  <c r="AI109" i="4"/>
  <c r="BN17" i="4"/>
  <c r="AI17" i="4"/>
  <c r="AI127" i="4"/>
  <c r="BN44" i="4"/>
  <c r="AI44" i="4"/>
  <c r="BN18" i="4"/>
  <c r="AI18" i="4"/>
  <c r="BN25" i="4"/>
  <c r="AI25" i="4"/>
  <c r="BN58" i="4"/>
  <c r="AI58" i="4"/>
  <c r="AI103" i="4"/>
  <c r="AI138" i="4"/>
  <c r="BN11" i="4"/>
  <c r="AI11" i="4"/>
  <c r="AI132" i="4"/>
  <c r="AI131" i="4"/>
  <c r="BN40" i="4"/>
  <c r="AI40" i="4"/>
  <c r="AI89" i="4"/>
  <c r="BN57" i="4"/>
  <c r="AI57" i="4"/>
  <c r="AI100" i="4"/>
  <c r="BN13" i="4"/>
  <c r="AI13" i="4"/>
  <c r="AI86" i="4"/>
  <c r="BN55" i="4"/>
  <c r="AI55" i="4"/>
  <c r="BN27" i="4"/>
  <c r="AI27" i="4"/>
  <c r="AI92" i="4"/>
  <c r="BN74" i="4"/>
  <c r="AI74" i="4"/>
  <c r="AI84" i="4"/>
  <c r="AI105" i="4"/>
  <c r="BN15" i="4"/>
  <c r="AI15" i="4"/>
  <c r="BN53" i="4"/>
  <c r="AI53" i="4"/>
  <c r="BN77" i="4"/>
  <c r="AI77" i="4"/>
  <c r="BN73" i="4"/>
  <c r="AI73" i="4"/>
  <c r="BN16" i="4"/>
  <c r="AI16" i="4"/>
  <c r="AI99" i="4"/>
  <c r="AI93" i="4"/>
  <c r="BN68" i="4"/>
  <c r="AI68" i="4"/>
  <c r="AI129" i="4"/>
  <c r="BN42" i="4"/>
  <c r="AI42" i="4"/>
  <c r="BN10" i="4"/>
  <c r="AI10" i="4"/>
  <c r="BN66" i="4"/>
  <c r="AI66" i="4"/>
  <c r="BN30" i="4"/>
  <c r="AI30" i="4"/>
  <c r="BN31" i="4"/>
  <c r="AI31" i="4"/>
  <c r="BN34" i="4"/>
  <c r="AI34" i="4"/>
  <c r="BN36" i="4"/>
  <c r="AI36" i="4"/>
  <c r="BN78" i="4"/>
  <c r="AI78" i="4"/>
  <c r="AI141" i="4"/>
  <c r="AI80" i="4"/>
  <c r="BN51" i="4"/>
  <c r="AI51" i="4"/>
  <c r="AI115" i="4"/>
  <c r="AI125" i="4"/>
  <c r="BN71" i="4"/>
  <c r="AI71" i="4"/>
  <c r="AI95" i="4"/>
  <c r="BN63" i="4"/>
  <c r="AI63" i="4"/>
  <c r="AI121" i="4"/>
  <c r="BN35" i="4"/>
  <c r="AI35" i="4"/>
  <c r="BN61" i="4"/>
  <c r="AI61" i="4"/>
  <c r="AI155" i="4"/>
  <c r="BN76" i="4"/>
  <c r="AI76" i="4"/>
  <c r="AI88" i="4"/>
  <c r="AI120" i="4"/>
  <c r="X47" i="4"/>
  <c r="Y62" i="4"/>
  <c r="X46" i="4"/>
  <c r="X37" i="4"/>
  <c r="Z102" i="4"/>
  <c r="Y112" i="4"/>
  <c r="Z112" i="4"/>
  <c r="AD7" i="4"/>
  <c r="AH7" i="4"/>
  <c r="W156" i="4"/>
  <c r="X156" i="4" s="1"/>
  <c r="AP107" i="4"/>
  <c r="AO107" i="4" s="1"/>
  <c r="AN107" i="4" s="1"/>
  <c r="W92" i="4"/>
  <c r="X92" i="4" s="1"/>
  <c r="BN8" i="4"/>
  <c r="W107" i="4"/>
  <c r="X107" i="4" s="1"/>
  <c r="Y67" i="4"/>
  <c r="W40" i="4"/>
  <c r="X40" i="4" s="1"/>
  <c r="Z153" i="4"/>
  <c r="AA153" i="4" s="1"/>
  <c r="Y37" i="4"/>
  <c r="AI37" i="4" s="1"/>
  <c r="Y133" i="4"/>
  <c r="W108" i="4"/>
  <c r="X108" i="4" s="1"/>
  <c r="Z92" i="4"/>
  <c r="AA92" i="4" s="1"/>
  <c r="Y59" i="4"/>
  <c r="AI59" i="4" s="1"/>
  <c r="W59" i="4"/>
  <c r="X59" i="4" s="1"/>
  <c r="Z111" i="4"/>
  <c r="Y152" i="4"/>
  <c r="AI152" i="4" s="1"/>
  <c r="W122" i="4"/>
  <c r="X122" i="4" s="1"/>
  <c r="Y111" i="4"/>
  <c r="BI51" i="4"/>
  <c r="BI50" i="4"/>
  <c r="BI12" i="4"/>
  <c r="BI9" i="4"/>
  <c r="BI55" i="4"/>
  <c r="BI96" i="4"/>
  <c r="BI72" i="4"/>
  <c r="BI23" i="4"/>
  <c r="BI127" i="4"/>
  <c r="BI71" i="4"/>
  <c r="W74" i="4"/>
  <c r="X74" i="4" s="1"/>
  <c r="BI35" i="4"/>
  <c r="BI68" i="4"/>
  <c r="BI147" i="4"/>
  <c r="BI151" i="4"/>
  <c r="BI115" i="4"/>
  <c r="BI63" i="4"/>
  <c r="BI61" i="4"/>
  <c r="BI86" i="4"/>
  <c r="BI98" i="4"/>
  <c r="BI139" i="4"/>
  <c r="BI85" i="4"/>
  <c r="BI135" i="4"/>
  <c r="BI101" i="4"/>
  <c r="BI58" i="4"/>
  <c r="BI28" i="4"/>
  <c r="BI45" i="4"/>
  <c r="BI92" i="4"/>
  <c r="BI10" i="4"/>
  <c r="BI77" i="4"/>
  <c r="BI95" i="4"/>
  <c r="BI74" i="4"/>
  <c r="Z74" i="4"/>
  <c r="AA74" i="4" s="1"/>
  <c r="BI31" i="4"/>
  <c r="BI34" i="4"/>
  <c r="BI78" i="4"/>
  <c r="BI128" i="4"/>
  <c r="BI16" i="4"/>
  <c r="BI18" i="4"/>
  <c r="BI25" i="4"/>
  <c r="BI11" i="4"/>
  <c r="BI60" i="4"/>
  <c r="BI114" i="4"/>
  <c r="BI57" i="4"/>
  <c r="BI100" i="4"/>
  <c r="BI129" i="4"/>
  <c r="BI84" i="4"/>
  <c r="Y91" i="4"/>
  <c r="Y122" i="4"/>
  <c r="AI122" i="4" s="1"/>
  <c r="Y140" i="4"/>
  <c r="Y150" i="4"/>
  <c r="Y126" i="4"/>
  <c r="W57" i="4"/>
  <c r="X57" i="4" s="1"/>
  <c r="W100" i="4"/>
  <c r="X100" i="4" s="1"/>
  <c r="W56" i="4"/>
  <c r="X56" i="4" s="1"/>
  <c r="W114" i="4"/>
  <c r="X114" i="4" s="1"/>
  <c r="Z100" i="4"/>
  <c r="AA100" i="4" s="1"/>
  <c r="Y97" i="4"/>
  <c r="Y142" i="4"/>
  <c r="W84" i="4"/>
  <c r="X84" i="4" s="1"/>
  <c r="W157" i="4"/>
  <c r="X157" i="4" s="1"/>
  <c r="W68" i="4"/>
  <c r="X68" i="4" s="1"/>
  <c r="Y41" i="4"/>
  <c r="Y102" i="4"/>
  <c r="AI102" i="4" s="1"/>
  <c r="Y56" i="4"/>
  <c r="W143" i="4"/>
  <c r="X143" i="4" s="1"/>
  <c r="W94" i="4"/>
  <c r="X94" i="4" s="1"/>
  <c r="W41" i="4"/>
  <c r="X41" i="4" s="1"/>
  <c r="Y94" i="4"/>
  <c r="W124" i="4"/>
  <c r="X124" i="4" s="1"/>
  <c r="W129" i="4"/>
  <c r="X129" i="4" s="1"/>
  <c r="W82" i="4"/>
  <c r="X82" i="4" s="1"/>
  <c r="W75" i="4"/>
  <c r="X75" i="4" s="1"/>
  <c r="Z129" i="4"/>
  <c r="AA129" i="4" s="1"/>
  <c r="Z126" i="4"/>
  <c r="Y154" i="4"/>
  <c r="Y75" i="4"/>
  <c r="W60" i="4"/>
  <c r="X60" i="4" s="1"/>
  <c r="W140" i="4"/>
  <c r="X140" i="4" s="1"/>
  <c r="W147" i="4"/>
  <c r="X147" i="4" s="1"/>
  <c r="Z147" i="4"/>
  <c r="AA147" i="4" s="1"/>
  <c r="Z60" i="4"/>
  <c r="AA60" i="4" s="1"/>
  <c r="Y69" i="4"/>
  <c r="Z88" i="4"/>
  <c r="AA88" i="4" s="1"/>
  <c r="Y108" i="4"/>
  <c r="Y39" i="4"/>
  <c r="W88" i="4"/>
  <c r="X88" i="4" s="1"/>
  <c r="W76" i="4"/>
  <c r="X76" i="4" s="1"/>
  <c r="W39" i="4"/>
  <c r="X39" i="4" s="1"/>
  <c r="AP120" i="4"/>
  <c r="AO120" i="4" s="1"/>
  <c r="Y123" i="4"/>
  <c r="W120" i="4"/>
  <c r="X120" i="4" s="1"/>
  <c r="W45" i="4"/>
  <c r="X45" i="4" s="1"/>
  <c r="W153" i="4"/>
  <c r="X153" i="4" s="1"/>
  <c r="W89" i="4"/>
  <c r="X89" i="4" s="1"/>
  <c r="W133" i="4"/>
  <c r="X133" i="4" s="1"/>
  <c r="Z132" i="4"/>
  <c r="AA132" i="4" s="1"/>
  <c r="Z50" i="4"/>
  <c r="AA50" i="4" s="1"/>
  <c r="Z61" i="4"/>
  <c r="AA61" i="4" s="1"/>
  <c r="Y52" i="4"/>
  <c r="W132" i="4"/>
  <c r="X132" i="4" s="1"/>
  <c r="W131" i="4"/>
  <c r="X131" i="4" s="1"/>
  <c r="W50" i="4"/>
  <c r="X50" i="4" s="1"/>
  <c r="Z52" i="4"/>
  <c r="Z131" i="4"/>
  <c r="AA131" i="4" s="1"/>
  <c r="Z145" i="4"/>
  <c r="Y116" i="4"/>
  <c r="Y145" i="4"/>
  <c r="W61" i="4"/>
  <c r="X61" i="4" s="1"/>
  <c r="Y130" i="4"/>
  <c r="W155" i="4"/>
  <c r="X155" i="4" s="1"/>
  <c r="Z90" i="4"/>
  <c r="Y90" i="4"/>
  <c r="AA11" i="4"/>
  <c r="AA38" i="4"/>
  <c r="AA35" i="4"/>
  <c r="X30" i="4"/>
  <c r="X20" i="4"/>
  <c r="X10" i="4"/>
  <c r="X15" i="4"/>
  <c r="X26" i="4"/>
  <c r="X18" i="4"/>
  <c r="X24" i="4"/>
  <c r="X22" i="4"/>
  <c r="AP70" i="4"/>
  <c r="AP151" i="4"/>
  <c r="AP98" i="4"/>
  <c r="AO98" i="4" s="1"/>
  <c r="AP77" i="4"/>
  <c r="AP60" i="4"/>
  <c r="AO60" i="4" s="1"/>
  <c r="AP45" i="4"/>
  <c r="AP109" i="4"/>
  <c r="AP115" i="4"/>
  <c r="AP71" i="4"/>
  <c r="AO71" i="4" s="1"/>
  <c r="AP103" i="4"/>
  <c r="AP28" i="4"/>
  <c r="AO28" i="4" s="1"/>
  <c r="AP12" i="4"/>
  <c r="AP86" i="4"/>
  <c r="AO86" i="4" s="1"/>
  <c r="AP134" i="4"/>
  <c r="AP34" i="4"/>
  <c r="AP131" i="4"/>
  <c r="AP141" i="4"/>
  <c r="AP88" i="4"/>
  <c r="AP68" i="4"/>
  <c r="AO68" i="4" s="1"/>
  <c r="AP125" i="4"/>
  <c r="AP63" i="4"/>
  <c r="AP119" i="4"/>
  <c r="AP13" i="4"/>
  <c r="AP10" i="4"/>
  <c r="AO10" i="4" s="1"/>
  <c r="AP15" i="4"/>
  <c r="AP74" i="4"/>
  <c r="AO74" i="4" s="1"/>
  <c r="AP57" i="4"/>
  <c r="AP55" i="4"/>
  <c r="AP96" i="4"/>
  <c r="AP114" i="4"/>
  <c r="AP155" i="4"/>
  <c r="AP85" i="4"/>
  <c r="AP72" i="4"/>
  <c r="AP83" i="4"/>
  <c r="AO83" i="4" s="1"/>
  <c r="AP135" i="4"/>
  <c r="AP132" i="4"/>
  <c r="AP17" i="4"/>
  <c r="AP93" i="4"/>
  <c r="AP33" i="4"/>
  <c r="AP25" i="4"/>
  <c r="AP38" i="4"/>
  <c r="AP11" i="4"/>
  <c r="AP105" i="4"/>
  <c r="AP66" i="4"/>
  <c r="AP84" i="4"/>
  <c r="AP14" i="4"/>
  <c r="AO14" i="4" s="1"/>
  <c r="AP36" i="4"/>
  <c r="AO36" i="4" s="1"/>
  <c r="AP89" i="4"/>
  <c r="AP127" i="4"/>
  <c r="AP44" i="4"/>
  <c r="AP76" i="4"/>
  <c r="AP42" i="4"/>
  <c r="AP50" i="4"/>
  <c r="AP30" i="4"/>
  <c r="AP31" i="4"/>
  <c r="AP153" i="4"/>
  <c r="AP87" i="4"/>
  <c r="AO87" i="4" s="1"/>
  <c r="AP73" i="4"/>
  <c r="AP92" i="4"/>
  <c r="AP80" i="4"/>
  <c r="AP22" i="4"/>
  <c r="AO22" i="4" s="1"/>
  <c r="AP100" i="4"/>
  <c r="AP95" i="4"/>
  <c r="AO95" i="4" s="1"/>
  <c r="AP138" i="4"/>
  <c r="AP40" i="4"/>
  <c r="AO40" i="4" s="1"/>
  <c r="AP20" i="4"/>
  <c r="AP9" i="4"/>
  <c r="AP144" i="4"/>
  <c r="AP53" i="4"/>
  <c r="AP139" i="4"/>
  <c r="AP27" i="4"/>
  <c r="AP78" i="4"/>
  <c r="AO78" i="4" s="1"/>
  <c r="AP128" i="4"/>
  <c r="AP29" i="4"/>
  <c r="AP23" i="4"/>
  <c r="AP16" i="4"/>
  <c r="AP51" i="4"/>
  <c r="AP129" i="4"/>
  <c r="AP99" i="4"/>
  <c r="AO99" i="4" s="1"/>
  <c r="AP43" i="4"/>
  <c r="AP61" i="4"/>
  <c r="AP147" i="4"/>
  <c r="AP18" i="4"/>
  <c r="AO18" i="4" s="1"/>
  <c r="AP101" i="4"/>
  <c r="AP58" i="4"/>
  <c r="AP35" i="4"/>
  <c r="X21" i="4"/>
  <c r="X12" i="4"/>
  <c r="X9" i="4"/>
  <c r="X33" i="4"/>
  <c r="AA28" i="4"/>
  <c r="X17" i="4"/>
  <c r="X19" i="4"/>
  <c r="X32" i="4"/>
  <c r="X31" i="4"/>
  <c r="X34" i="4"/>
  <c r="X27" i="4"/>
  <c r="AP8" i="4"/>
  <c r="AA103" i="4"/>
  <c r="AA138" i="4"/>
  <c r="X8" i="4"/>
  <c r="X16" i="4"/>
  <c r="X35" i="4"/>
  <c r="X28" i="4"/>
  <c r="X11" i="4"/>
  <c r="AA121" i="4"/>
  <c r="AA63" i="4"/>
  <c r="AA23" i="4"/>
  <c r="AA93" i="4"/>
  <c r="AA115" i="4"/>
  <c r="AA18" i="4"/>
  <c r="AA101" i="4"/>
  <c r="AA125" i="4"/>
  <c r="AA22" i="4"/>
  <c r="AA71" i="4"/>
  <c r="AA44" i="4"/>
  <c r="AA127" i="4"/>
  <c r="AA80" i="4"/>
  <c r="AA43" i="4"/>
  <c r="AA51" i="4"/>
  <c r="Z114" i="4"/>
  <c r="AA114" i="4" s="1"/>
  <c r="Z15" i="4"/>
  <c r="AA15" i="4" s="1"/>
  <c r="Z96" i="4"/>
  <c r="AA96" i="4" s="1"/>
  <c r="Z20" i="4"/>
  <c r="AA20" i="4" s="1"/>
  <c r="Z40" i="4"/>
  <c r="AA40" i="4" s="1"/>
  <c r="Z128" i="4"/>
  <c r="AA128" i="4" s="1"/>
  <c r="Z84" i="4"/>
  <c r="AA84" i="4" s="1"/>
  <c r="Z98" i="4"/>
  <c r="AA98" i="4" s="1"/>
  <c r="Z13" i="4"/>
  <c r="AA13" i="4" s="1"/>
  <c r="Z85" i="4"/>
  <c r="AA85" i="4" s="1"/>
  <c r="Z30" i="4"/>
  <c r="AA30" i="4" s="1"/>
  <c r="Z67" i="4"/>
  <c r="Z66" i="4"/>
  <c r="AA66" i="4" s="1"/>
  <c r="Z97" i="4"/>
  <c r="Y146" i="4"/>
  <c r="Z146" i="4"/>
  <c r="AA12" i="4"/>
  <c r="Y149" i="4"/>
  <c r="Y143" i="4"/>
  <c r="Z9" i="4"/>
  <c r="AA9" i="4" s="1"/>
  <c r="Z149" i="4"/>
  <c r="Z19" i="4"/>
  <c r="Y19" i="4"/>
  <c r="Z65" i="4"/>
  <c r="Y65" i="4"/>
  <c r="Y124" i="4"/>
  <c r="Y156" i="4"/>
  <c r="Y148" i="4"/>
  <c r="Y104" i="4"/>
  <c r="Y157" i="4"/>
  <c r="Y54" i="4"/>
  <c r="Y82" i="4"/>
  <c r="Y117" i="4"/>
  <c r="AA134" i="4"/>
  <c r="Z137" i="4"/>
  <c r="Y137" i="4"/>
  <c r="Z118" i="4"/>
  <c r="Y118" i="4"/>
  <c r="Z113" i="4"/>
  <c r="Y113" i="4"/>
  <c r="Z26" i="4"/>
  <c r="Y26" i="4"/>
  <c r="Z24" i="4"/>
  <c r="Y24" i="4"/>
  <c r="Y48" i="4"/>
  <c r="Y110" i="4"/>
  <c r="Z110" i="4"/>
  <c r="Y49" i="4"/>
  <c r="Y79" i="4"/>
  <c r="Y81" i="4"/>
  <c r="Z81" i="4"/>
  <c r="Z123" i="4"/>
  <c r="AA8" i="4"/>
  <c r="AB8" i="4" s="1"/>
  <c r="AH8" i="4" s="1"/>
  <c r="AA119" i="4"/>
  <c r="AA42" i="4"/>
  <c r="AA70" i="4"/>
  <c r="AA86" i="4"/>
  <c r="AA151" i="4"/>
  <c r="AA144" i="4"/>
  <c r="AA14" i="4"/>
  <c r="AA36" i="4"/>
  <c r="Z136" i="4"/>
  <c r="Y136" i="4"/>
  <c r="Z21" i="4"/>
  <c r="Y21" i="4"/>
  <c r="Z64" i="4"/>
  <c r="Y64" i="4"/>
  <c r="Z106" i="4"/>
  <c r="Y106" i="4"/>
  <c r="Y46" i="4"/>
  <c r="Z32" i="4"/>
  <c r="Y32" i="4"/>
  <c r="Z47" i="4"/>
  <c r="Y47" i="4"/>
  <c r="AA53" i="4"/>
  <c r="AA77" i="4"/>
  <c r="AA27" i="4"/>
  <c r="AA78" i="4"/>
  <c r="AA73" i="4"/>
  <c r="AA141" i="4"/>
  <c r="R116" i="10"/>
  <c r="S403" i="10"/>
  <c r="S185" i="10"/>
  <c r="S300" i="10"/>
  <c r="S92" i="10"/>
  <c r="S486" i="10"/>
  <c r="S174" i="10"/>
  <c r="S365" i="10"/>
  <c r="R462" i="10"/>
  <c r="R353" i="10"/>
  <c r="S377" i="10"/>
  <c r="R82" i="10"/>
  <c r="R535" i="10"/>
  <c r="R490" i="10"/>
  <c r="R422" i="10"/>
  <c r="R164" i="10"/>
  <c r="S165" i="10"/>
  <c r="R251" i="10"/>
  <c r="R73" i="10"/>
  <c r="S113" i="10"/>
  <c r="S297" i="10"/>
  <c r="S222" i="10"/>
  <c r="S478" i="10"/>
  <c r="R548" i="10"/>
  <c r="R127" i="10"/>
  <c r="S180" i="10"/>
  <c r="R413" i="10"/>
  <c r="R20" i="10"/>
  <c r="W11" i="10"/>
  <c r="X11" i="10" s="1"/>
  <c r="S250" i="10"/>
  <c r="S77" i="10"/>
  <c r="R437" i="10"/>
  <c r="S556" i="10"/>
  <c r="S475" i="10"/>
  <c r="S215" i="10"/>
  <c r="R157" i="10"/>
  <c r="S471" i="10"/>
  <c r="S393" i="10"/>
  <c r="S259" i="10"/>
  <c r="R68" i="10"/>
  <c r="R197" i="10"/>
  <c r="R432" i="10"/>
  <c r="S382" i="10"/>
  <c r="R361" i="10"/>
  <c r="S56" i="10"/>
  <c r="R129" i="10"/>
  <c r="R543" i="10"/>
  <c r="S444" i="10"/>
  <c r="R54" i="10"/>
  <c r="S69" i="10"/>
  <c r="S93" i="10"/>
  <c r="S299" i="10"/>
  <c r="S244" i="10"/>
  <c r="R56" i="10"/>
  <c r="R202" i="10"/>
  <c r="S544" i="10"/>
  <c r="S326" i="10"/>
  <c r="S100" i="10"/>
  <c r="S440" i="10"/>
  <c r="S33" i="10"/>
  <c r="R301" i="10"/>
  <c r="S348" i="10"/>
  <c r="R122" i="10"/>
  <c r="R272" i="10"/>
  <c r="S465" i="10"/>
  <c r="R85" i="10"/>
  <c r="S522" i="10"/>
  <c r="R325" i="10"/>
  <c r="R556" i="10"/>
  <c r="R358" i="10"/>
  <c r="S358" i="10"/>
  <c r="R388" i="10"/>
  <c r="S206" i="10"/>
  <c r="R206" i="10"/>
  <c r="R501" i="10"/>
  <c r="S173" i="10"/>
  <c r="R173" i="10"/>
  <c r="S38" i="10"/>
  <c r="S405" i="10"/>
  <c r="R90" i="10"/>
  <c r="S416" i="10"/>
  <c r="R416" i="10"/>
  <c r="S337" i="10"/>
  <c r="R337" i="10"/>
  <c r="S139" i="10"/>
  <c r="R139" i="10"/>
  <c r="R47" i="10"/>
  <c r="R96" i="10"/>
  <c r="S96" i="10"/>
  <c r="R295" i="10"/>
  <c r="R463" i="10"/>
  <c r="S463" i="10"/>
  <c r="R8" i="10"/>
  <c r="R43" i="10"/>
  <c r="R153" i="10"/>
  <c r="R258" i="10"/>
  <c r="S290" i="10"/>
  <c r="R290" i="10"/>
  <c r="R399" i="10"/>
  <c r="S512" i="10"/>
  <c r="R512" i="10"/>
  <c r="S469" i="10"/>
  <c r="R469" i="10"/>
  <c r="S452" i="10"/>
  <c r="R452" i="10"/>
  <c r="R387" i="10"/>
  <c r="S387" i="10"/>
  <c r="S39" i="10"/>
  <c r="R39" i="10"/>
  <c r="S168" i="10"/>
  <c r="R72" i="10"/>
  <c r="S72" i="10"/>
  <c r="R115" i="10"/>
  <c r="R286" i="10"/>
  <c r="S286" i="10"/>
  <c r="R330" i="10"/>
  <c r="S323" i="10"/>
  <c r="R323" i="10"/>
  <c r="R391" i="10"/>
  <c r="S391" i="10"/>
  <c r="S436" i="10"/>
  <c r="S492" i="10"/>
  <c r="R492" i="10"/>
  <c r="R466" i="10"/>
  <c r="S466" i="10"/>
  <c r="S507" i="10"/>
  <c r="R507" i="10"/>
  <c r="S500" i="10"/>
  <c r="R500" i="10"/>
  <c r="S225" i="10"/>
  <c r="R225" i="10"/>
  <c r="S37" i="10"/>
  <c r="R37" i="10"/>
  <c r="R312" i="10"/>
  <c r="S312" i="10"/>
  <c r="S430" i="10"/>
  <c r="R430" i="10"/>
  <c r="S219" i="10"/>
  <c r="S47" i="10"/>
  <c r="S501" i="10"/>
  <c r="R425" i="10"/>
  <c r="S533" i="10"/>
  <c r="R167" i="10"/>
  <c r="S8" i="10"/>
  <c r="S115" i="10"/>
  <c r="S560" i="10"/>
  <c r="S90" i="10"/>
  <c r="S399" i="10"/>
  <c r="R356" i="10"/>
  <c r="R502" i="10"/>
  <c r="S455" i="10"/>
  <c r="R319" i="10"/>
  <c r="S291" i="10"/>
  <c r="S50" i="10"/>
  <c r="R366" i="10"/>
  <c r="S126" i="10"/>
  <c r="S380" i="10"/>
  <c r="S502" i="10"/>
  <c r="R509" i="10"/>
  <c r="S110" i="10"/>
  <c r="S513" i="10"/>
  <c r="S510" i="10"/>
  <c r="R182" i="10"/>
  <c r="S372" i="10"/>
  <c r="S88" i="10"/>
  <c r="R503" i="10"/>
  <c r="S503" i="10"/>
  <c r="S364" i="10"/>
  <c r="S304" i="10"/>
  <c r="S335" i="10"/>
  <c r="R335" i="10"/>
  <c r="S426" i="10"/>
  <c r="R426" i="10"/>
  <c r="R278" i="10"/>
  <c r="R364" i="10"/>
  <c r="R497" i="10"/>
  <c r="S497" i="10"/>
  <c r="R487" i="10"/>
  <c r="S487" i="10"/>
  <c r="S124" i="10"/>
  <c r="R124" i="10"/>
  <c r="S26" i="10"/>
  <c r="R411" i="10"/>
  <c r="S411" i="10"/>
  <c r="R305" i="10"/>
  <c r="S305" i="10"/>
  <c r="R176" i="10"/>
  <c r="S338" i="10"/>
  <c r="R338" i="10"/>
  <c r="S331" i="10"/>
  <c r="R331" i="10"/>
  <c r="S433" i="10"/>
  <c r="R433" i="10"/>
  <c r="S474" i="10"/>
  <c r="R474" i="10"/>
  <c r="S549" i="10"/>
  <c r="R549" i="10"/>
  <c r="S494" i="10"/>
  <c r="R494" i="10"/>
  <c r="S170" i="10"/>
  <c r="R170" i="10"/>
  <c r="R491" i="10"/>
  <c r="S35" i="10"/>
  <c r="R35" i="10"/>
  <c r="S443" i="10"/>
  <c r="R443" i="10"/>
  <c r="S253" i="10"/>
  <c r="R253" i="10"/>
  <c r="S552" i="10"/>
  <c r="R552" i="10"/>
  <c r="S58" i="10"/>
  <c r="R58" i="10"/>
  <c r="S306" i="10"/>
  <c r="S330" i="10"/>
  <c r="R254" i="10"/>
  <c r="R145" i="10"/>
  <c r="R104" i="10"/>
  <c r="R41" i="10"/>
  <c r="R293" i="10"/>
  <c r="S316" i="10"/>
  <c r="R151" i="10"/>
  <c r="R405" i="10"/>
  <c r="R447" i="10"/>
  <c r="S162" i="10"/>
  <c r="S547" i="10"/>
  <c r="S367" i="10"/>
  <c r="R283" i="10"/>
  <c r="S111" i="10"/>
  <c r="R141" i="10"/>
  <c r="R36" i="10"/>
  <c r="R125" i="10"/>
  <c r="R385" i="10"/>
  <c r="S209" i="10"/>
  <c r="R551" i="10"/>
  <c r="R343" i="10"/>
  <c r="S295" i="10"/>
  <c r="S43" i="10"/>
  <c r="R420" i="10"/>
  <c r="S434" i="10"/>
  <c r="R227" i="10"/>
  <c r="S153" i="10"/>
  <c r="R304" i="10"/>
  <c r="S401" i="10"/>
  <c r="S317" i="10"/>
  <c r="R526" i="10"/>
  <c r="R521" i="10"/>
  <c r="R78" i="10"/>
  <c r="R558" i="10"/>
  <c r="R280" i="10"/>
  <c r="S371" i="10"/>
  <c r="R76" i="10"/>
  <c r="S76" i="10"/>
  <c r="S223" i="10"/>
  <c r="R223" i="10"/>
  <c r="S508" i="10"/>
  <c r="R508" i="10"/>
  <c r="R340" i="10"/>
  <c r="S340" i="10"/>
  <c r="S390" i="10"/>
  <c r="R390" i="10"/>
  <c r="S79" i="10"/>
  <c r="S186" i="10"/>
  <c r="R186" i="10"/>
  <c r="R208" i="10"/>
  <c r="S208" i="10"/>
  <c r="R188" i="10"/>
  <c r="S188" i="10"/>
  <c r="S263" i="10"/>
  <c r="R263" i="10"/>
  <c r="S485" i="10"/>
  <c r="R485" i="10"/>
  <c r="S181" i="10"/>
  <c r="R181" i="10"/>
  <c r="S117" i="10"/>
  <c r="R117" i="10"/>
  <c r="R112" i="10"/>
  <c r="R80" i="10"/>
  <c r="S80" i="10"/>
  <c r="S123" i="10"/>
  <c r="R123" i="10"/>
  <c r="R229" i="10"/>
  <c r="S249" i="10"/>
  <c r="R249" i="10"/>
  <c r="R102" i="10"/>
  <c r="S102" i="10"/>
  <c r="S342" i="10"/>
  <c r="R342" i="10"/>
  <c r="R534" i="10"/>
  <c r="S534" i="10"/>
  <c r="R412" i="10"/>
  <c r="S514" i="10"/>
  <c r="R514" i="10"/>
  <c r="R370" i="10"/>
  <c r="S232" i="10"/>
  <c r="S105" i="10"/>
  <c r="R435" i="10"/>
  <c r="R468" i="10"/>
  <c r="R38" i="10"/>
  <c r="S369" i="10"/>
  <c r="R190" i="10"/>
  <c r="S275" i="10"/>
  <c r="R79" i="10"/>
  <c r="R228" i="10"/>
  <c r="S491" i="10"/>
  <c r="R209" i="10"/>
  <c r="S218" i="10"/>
  <c r="R204" i="10"/>
  <c r="R545" i="10"/>
  <c r="R239" i="10"/>
  <c r="R67" i="10"/>
  <c r="R257" i="10"/>
  <c r="S248" i="10"/>
  <c r="S258" i="10"/>
  <c r="R240" i="10"/>
  <c r="S118" i="10"/>
  <c r="S285" i="10"/>
  <c r="R320" i="10"/>
  <c r="R210" i="10"/>
  <c r="S138" i="10"/>
  <c r="R516" i="10"/>
  <c r="R62" i="10"/>
  <c r="R524" i="10"/>
  <c r="R446" i="10"/>
  <c r="R314" i="10"/>
  <c r="R99" i="10"/>
  <c r="R55" i="10"/>
  <c r="R245" i="10"/>
  <c r="S213" i="10"/>
  <c r="R175" i="10"/>
  <c r="S541" i="10"/>
  <c r="S418" i="10"/>
  <c r="S322" i="10"/>
  <c r="R108" i="10"/>
  <c r="S439" i="10"/>
  <c r="R537" i="10"/>
  <c r="R410" i="10"/>
  <c r="R203" i="10"/>
  <c r="R152" i="10"/>
  <c r="R121" i="10"/>
  <c r="S154" i="10"/>
  <c r="R296" i="10"/>
  <c r="S318" i="10"/>
  <c r="S458" i="10"/>
  <c r="S378" i="10"/>
  <c r="S107" i="10"/>
  <c r="R408" i="10"/>
  <c r="S554" i="10"/>
  <c r="R419" i="10"/>
  <c r="S419" i="10"/>
  <c r="R60" i="10"/>
  <c r="S321" i="10"/>
  <c r="R321" i="10"/>
  <c r="R135" i="10"/>
  <c r="S135" i="10"/>
  <c r="R163" i="10"/>
  <c r="R193" i="10"/>
  <c r="S193" i="10"/>
  <c r="S238" i="10"/>
  <c r="R479" i="10"/>
  <c r="S479" i="10"/>
  <c r="S288" i="10"/>
  <c r="R288" i="10"/>
  <c r="R515" i="10"/>
  <c r="S515" i="10"/>
  <c r="S527" i="10"/>
  <c r="R352" i="10"/>
  <c r="S268" i="10"/>
  <c r="R268" i="10"/>
  <c r="R21" i="10"/>
  <c r="S140" i="10"/>
  <c r="R140" i="10"/>
  <c r="S65" i="10"/>
  <c r="R65" i="10"/>
  <c r="S183" i="10"/>
  <c r="R183" i="10"/>
  <c r="S303" i="10"/>
  <c r="R303" i="10"/>
  <c r="R379" i="10"/>
  <c r="S379" i="10"/>
  <c r="R427" i="10"/>
  <c r="S427" i="10"/>
  <c r="R441" i="10"/>
  <c r="S441" i="10"/>
  <c r="S289" i="10"/>
  <c r="R101" i="10"/>
  <c r="R29" i="10"/>
  <c r="S192" i="10"/>
  <c r="R192" i="10"/>
  <c r="S75" i="10"/>
  <c r="R75" i="10"/>
  <c r="S266" i="10"/>
  <c r="R354" i="10"/>
  <c r="R347" i="10"/>
  <c r="S347" i="10"/>
  <c r="S386" i="10"/>
  <c r="R386" i="10"/>
  <c r="R489" i="10"/>
  <c r="S166" i="10"/>
  <c r="R166" i="10"/>
  <c r="S189" i="10"/>
  <c r="R189" i="10"/>
  <c r="S198" i="10"/>
  <c r="S169" i="10"/>
  <c r="R332" i="10"/>
  <c r="R109" i="10"/>
  <c r="R184" i="10"/>
  <c r="R161" i="10"/>
  <c r="S161" i="10"/>
  <c r="S346" i="10"/>
  <c r="R346" i="10"/>
  <c r="S339" i="10"/>
  <c r="R339" i="10"/>
  <c r="S477" i="10"/>
  <c r="R482" i="10"/>
  <c r="S482" i="10"/>
  <c r="R559" i="10"/>
  <c r="S481" i="10"/>
  <c r="R148" i="10"/>
  <c r="S400" i="10"/>
  <c r="R400" i="10"/>
  <c r="R200" i="10"/>
  <c r="S200" i="10"/>
  <c r="R196" i="10"/>
  <c r="S196" i="10"/>
  <c r="R130" i="10"/>
  <c r="S130" i="10"/>
  <c r="R553" i="10"/>
  <c r="S553" i="10"/>
  <c r="S489" i="10"/>
  <c r="S354" i="10"/>
  <c r="S163" i="10"/>
  <c r="S184" i="10"/>
  <c r="R527" i="10"/>
  <c r="S60" i="10"/>
  <c r="S109" i="10"/>
  <c r="S376" i="10"/>
  <c r="S531" i="10"/>
  <c r="S529" i="10"/>
  <c r="R529" i="10"/>
  <c r="R34" i="10"/>
  <c r="S34" i="10"/>
  <c r="R233" i="10"/>
  <c r="S233" i="10"/>
  <c r="R546" i="10"/>
  <c r="S546" i="10"/>
  <c r="S498" i="10"/>
  <c r="R498" i="10"/>
  <c r="R550" i="10"/>
  <c r="S550" i="10"/>
  <c r="S333" i="10"/>
  <c r="R333" i="10"/>
  <c r="R142" i="10"/>
  <c r="S142" i="10"/>
  <c r="S360" i="10"/>
  <c r="S32" i="10"/>
  <c r="S384" i="10"/>
  <c r="R384" i="10"/>
  <c r="R57" i="10"/>
  <c r="S57" i="10"/>
  <c r="R46" i="10"/>
  <c r="R220" i="10"/>
  <c r="S220" i="10"/>
  <c r="S87" i="10"/>
  <c r="R87" i="10"/>
  <c r="R271" i="10"/>
  <c r="S398" i="10"/>
  <c r="R398" i="10"/>
  <c r="S496" i="10"/>
  <c r="R496" i="10"/>
  <c r="R329" i="10"/>
  <c r="S329" i="10"/>
  <c r="S292" i="10"/>
  <c r="R292" i="10"/>
  <c r="R66" i="10"/>
  <c r="S66" i="10"/>
  <c r="R128" i="10"/>
  <c r="S128" i="10"/>
  <c r="S48" i="10"/>
  <c r="R48" i="10"/>
  <c r="S171" i="10"/>
  <c r="R171" i="10"/>
  <c r="S298" i="10"/>
  <c r="R243" i="10"/>
  <c r="S243" i="10"/>
  <c r="R415" i="10"/>
  <c r="S415" i="10"/>
  <c r="R467" i="10"/>
  <c r="S467" i="10"/>
  <c r="S525" i="10"/>
  <c r="R217" i="10"/>
  <c r="S217" i="10"/>
  <c r="S506" i="10"/>
  <c r="R506" i="10"/>
  <c r="R421" i="10"/>
  <c r="R106" i="10"/>
  <c r="S424" i="10"/>
  <c r="S345" i="10"/>
  <c r="R155" i="10"/>
  <c r="S49" i="10"/>
  <c r="S120" i="10"/>
  <c r="R120" i="10"/>
  <c r="R24" i="10"/>
  <c r="S131" i="10"/>
  <c r="R131" i="10"/>
  <c r="R294" i="10"/>
  <c r="R235" i="10"/>
  <c r="S235" i="10"/>
  <c r="R407" i="10"/>
  <c r="S407" i="10"/>
  <c r="S459" i="10"/>
  <c r="S517" i="10"/>
  <c r="S449" i="10"/>
  <c r="R449" i="10"/>
  <c r="R191" i="10"/>
  <c r="S191" i="10"/>
  <c r="R252" i="10"/>
  <c r="S349" i="10"/>
  <c r="R349" i="10"/>
  <c r="R459" i="10"/>
  <c r="R477" i="10"/>
  <c r="S294" i="10"/>
  <c r="R262" i="10"/>
  <c r="S277" i="10"/>
  <c r="R32" i="10"/>
  <c r="R133" i="10"/>
  <c r="R98" i="10"/>
  <c r="R238" i="10"/>
  <c r="S148" i="10"/>
  <c r="S155" i="10"/>
  <c r="S332" i="10"/>
  <c r="R198" i="10"/>
  <c r="S559" i="10"/>
  <c r="R517" i="10"/>
  <c r="R49" i="10"/>
  <c r="R345" i="10"/>
  <c r="R169" i="10"/>
  <c r="S252" i="10"/>
  <c r="R359" i="10"/>
  <c r="S101" i="10"/>
  <c r="R114" i="10"/>
  <c r="S30" i="10"/>
  <c r="S7" i="10"/>
  <c r="S178" i="10"/>
  <c r="S557" i="10"/>
  <c r="R207" i="10"/>
  <c r="S256" i="10"/>
  <c r="R95" i="10"/>
  <c r="R221" i="10"/>
  <c r="R484" i="10"/>
  <c r="S313" i="10"/>
  <c r="S536" i="10"/>
  <c r="R394" i="10"/>
  <c r="R351" i="10"/>
  <c r="S456" i="10"/>
  <c r="R44" i="10"/>
  <c r="R241" i="10"/>
  <c r="R453" i="10"/>
  <c r="R423" i="10"/>
  <c r="R362" i="10"/>
  <c r="R246" i="10"/>
  <c r="S63" i="10"/>
  <c r="S94" i="10"/>
  <c r="R381" i="10"/>
  <c r="S397" i="10"/>
  <c r="R373" i="10"/>
  <c r="R89" i="10"/>
  <c r="R519" i="10"/>
  <c r="S429" i="10"/>
  <c r="R518" i="10"/>
  <c r="S53" i="10"/>
  <c r="R276" i="10"/>
  <c r="R538" i="10"/>
  <c r="S450" i="10"/>
  <c r="R334" i="10"/>
  <c r="S279" i="10"/>
  <c r="R236" i="10"/>
  <c r="S511" i="10"/>
  <c r="S431" i="10"/>
  <c r="S211" i="10"/>
  <c r="S274" i="10"/>
  <c r="S84" i="10"/>
  <c r="R61" i="10"/>
  <c r="R234" i="10"/>
  <c r="R555" i="10"/>
  <c r="T11" i="10"/>
  <c r="U11" i="10" s="1"/>
  <c r="S302" i="10"/>
  <c r="S177" i="10"/>
  <c r="R540" i="10"/>
  <c r="R363" i="10"/>
  <c r="R307" i="10"/>
  <c r="R224" i="10"/>
  <c r="S414" i="10"/>
  <c r="R311" i="10"/>
  <c r="R83" i="10"/>
  <c r="S23" i="10"/>
  <c r="R261" i="10"/>
  <c r="R464" i="10"/>
  <c r="S194" i="10"/>
  <c r="S70" i="10"/>
  <c r="S409" i="10"/>
  <c r="S22" i="10"/>
  <c r="R406" i="10"/>
  <c r="R132" i="10"/>
  <c r="R30" i="10"/>
  <c r="S214" i="10"/>
  <c r="S143" i="10"/>
  <c r="R327" i="10"/>
  <c r="R499" i="10"/>
  <c r="S473" i="10"/>
  <c r="S315" i="10"/>
  <c r="S282" i="10"/>
  <c r="S137" i="10"/>
  <c r="S160" i="10"/>
  <c r="R178" i="10"/>
  <c r="S395" i="10"/>
  <c r="S528" i="10"/>
  <c r="S423" i="10"/>
  <c r="S355" i="10"/>
  <c r="R302" i="10"/>
  <c r="S270" i="10"/>
  <c r="R63" i="10"/>
  <c r="R216" i="10"/>
  <c r="R150" i="10"/>
  <c r="S221" i="10"/>
  <c r="S461" i="10"/>
  <c r="R194" i="10"/>
  <c r="R308" i="10"/>
  <c r="R344" i="10"/>
  <c r="S451" i="10"/>
  <c r="S518" i="10"/>
  <c r="R488" i="10"/>
  <c r="S95" i="10"/>
  <c r="R212" i="10"/>
  <c r="R53" i="10"/>
  <c r="S276" i="10"/>
  <c r="R214" i="10"/>
  <c r="S538" i="10"/>
  <c r="S296" i="10"/>
  <c r="R456" i="10"/>
  <c r="R143" i="10"/>
  <c r="S374" i="10"/>
  <c r="R318" i="10"/>
  <c r="R279" i="10"/>
  <c r="S236" i="10"/>
  <c r="S156" i="10"/>
  <c r="R336" i="10"/>
  <c r="S74" i="10"/>
  <c r="S241" i="10"/>
  <c r="S64" i="10"/>
  <c r="R357" i="10"/>
  <c r="S539" i="10"/>
  <c r="S445" i="10"/>
  <c r="S363" i="10"/>
  <c r="R383" i="10"/>
  <c r="R274" i="10"/>
  <c r="S187" i="10"/>
  <c r="S224" i="10"/>
  <c r="S144" i="10"/>
  <c r="S480" i="10"/>
  <c r="R493" i="10"/>
  <c r="R448" i="10"/>
  <c r="S247" i="10"/>
  <c r="R149" i="10"/>
  <c r="S172" i="10"/>
  <c r="R40" i="10"/>
  <c r="S273" i="10"/>
  <c r="R417" i="10"/>
  <c r="R495" i="10"/>
  <c r="S375" i="10"/>
  <c r="S362" i="10"/>
  <c r="R179" i="10"/>
  <c r="R136" i="10"/>
  <c r="R226" i="10"/>
  <c r="R520" i="10"/>
  <c r="S505" i="10"/>
  <c r="R396" i="10"/>
  <c r="R557" i="10"/>
  <c r="S406" i="10"/>
  <c r="S351" i="10"/>
  <c r="R199" i="10"/>
  <c r="R267" i="10"/>
  <c r="R81" i="10"/>
  <c r="R281" i="10"/>
  <c r="R392" i="10"/>
  <c r="S42" i="10"/>
  <c r="R368" i="10"/>
  <c r="S158" i="10"/>
  <c r="R341" i="10"/>
  <c r="S114" i="10"/>
  <c r="S542" i="10"/>
  <c r="R504" i="10"/>
  <c r="R454" i="10"/>
  <c r="R103" i="10"/>
  <c r="R59" i="10"/>
  <c r="R52" i="10"/>
  <c r="S260" i="10"/>
  <c r="S483" i="10"/>
  <c r="S328" i="10"/>
  <c r="S540" i="10"/>
  <c r="R402" i="10"/>
  <c r="R195" i="10"/>
  <c r="R91" i="10"/>
  <c r="R51" i="10"/>
  <c r="R97" i="10"/>
  <c r="R269" i="10"/>
  <c r="R7" i="10"/>
  <c r="S136" i="10"/>
  <c r="S520" i="10"/>
  <c r="S59" i="10"/>
  <c r="S51" i="10"/>
  <c r="S442" i="10"/>
  <c r="S310" i="10"/>
  <c r="R88" i="10"/>
  <c r="S19" i="10"/>
  <c r="S28" i="10"/>
  <c r="S242" i="10"/>
  <c r="S265" i="10"/>
  <c r="R237" i="10"/>
  <c r="S457" i="10"/>
  <c r="R530" i="10"/>
  <c r="R532" i="10"/>
  <c r="R71" i="10"/>
  <c r="R324" i="10"/>
  <c r="S476" i="10"/>
  <c r="R86" i="10"/>
  <c r="R264" i="10"/>
  <c r="S309" i="10"/>
  <c r="S404" i="10"/>
  <c r="R27" i="10"/>
  <c r="S45" i="10"/>
  <c r="S460" i="10"/>
  <c r="S428" i="10"/>
  <c r="S438" i="10"/>
  <c r="S255" i="10"/>
  <c r="S119" i="10"/>
  <c r="S31" i="10"/>
  <c r="R134" i="10"/>
  <c r="R146" i="10"/>
  <c r="R541" i="10"/>
  <c r="S499" i="10"/>
  <c r="R458" i="10"/>
  <c r="R473" i="10"/>
  <c r="R378" i="10"/>
  <c r="R315" i="10"/>
  <c r="R211" i="10"/>
  <c r="R250" i="10"/>
  <c r="R137" i="10"/>
  <c r="R160" i="10"/>
  <c r="S320" i="10"/>
  <c r="S470" i="10"/>
  <c r="S350" i="10"/>
  <c r="S287" i="10"/>
  <c r="S205" i="10"/>
  <c r="R389" i="10"/>
  <c r="S25" i="10"/>
  <c r="S388" i="10"/>
  <c r="AG11" i="10"/>
  <c r="AH11" i="10" s="1"/>
  <c r="S203" i="10"/>
  <c r="S314" i="10"/>
  <c r="S278" i="10"/>
  <c r="S55" i="10"/>
  <c r="S41" i="10"/>
  <c r="S121" i="10"/>
  <c r="S245" i="10"/>
  <c r="S464" i="10"/>
  <c r="S373" i="10"/>
  <c r="S468" i="10"/>
  <c r="S89" i="10"/>
  <c r="S488" i="10"/>
  <c r="R371" i="10"/>
  <c r="S132" i="10"/>
  <c r="S257" i="10"/>
  <c r="S284" i="10"/>
  <c r="R201" i="10"/>
  <c r="R230" i="10"/>
  <c r="R523" i="10"/>
  <c r="R147" i="10"/>
  <c r="R472" i="10"/>
  <c r="R159" i="10"/>
  <c r="R395" i="10"/>
  <c r="R172" i="10"/>
  <c r="S108" i="10"/>
  <c r="S10" i="10"/>
  <c r="R28" i="10"/>
  <c r="R242" i="10"/>
  <c r="R428" i="10"/>
  <c r="S146" i="10"/>
  <c r="H82" i="1"/>
  <c r="S274" i="5"/>
  <c r="S205" i="5"/>
  <c r="R481" i="5"/>
  <c r="S422" i="5"/>
  <c r="S52" i="5"/>
  <c r="S287" i="5"/>
  <c r="R115" i="5"/>
  <c r="S288" i="5"/>
  <c r="R374" i="5"/>
  <c r="R33" i="5"/>
  <c r="R470" i="5"/>
  <c r="S397" i="5"/>
  <c r="S366" i="5"/>
  <c r="R306" i="5"/>
  <c r="S229" i="5"/>
  <c r="S479" i="5"/>
  <c r="S214" i="5"/>
  <c r="R509" i="5"/>
  <c r="S408" i="5"/>
  <c r="R434" i="5"/>
  <c r="S19" i="5"/>
  <c r="S216" i="5"/>
  <c r="S204" i="5"/>
  <c r="R347" i="5"/>
  <c r="S504" i="5"/>
  <c r="R416" i="5"/>
  <c r="R461" i="5"/>
  <c r="S515" i="5"/>
  <c r="R363" i="5"/>
  <c r="S160" i="5"/>
  <c r="S240" i="5"/>
  <c r="R117" i="5"/>
  <c r="S273" i="5"/>
  <c r="R305" i="5"/>
  <c r="R194" i="5"/>
  <c r="S437" i="5"/>
  <c r="R22" i="5"/>
  <c r="R189" i="5"/>
  <c r="R9" i="10"/>
  <c r="S9" i="10"/>
  <c r="AH9" i="10"/>
  <c r="AI9" i="10"/>
  <c r="R188" i="5"/>
  <c r="R446" i="5"/>
  <c r="R540" i="5"/>
  <c r="U9" i="10"/>
  <c r="V9" i="10"/>
  <c r="S11" i="10"/>
  <c r="R11" i="10"/>
  <c r="S440" i="5"/>
  <c r="Y9" i="10"/>
  <c r="X9" i="10"/>
  <c r="S95" i="5"/>
  <c r="S30" i="5"/>
  <c r="S498" i="5"/>
  <c r="S203" i="5"/>
  <c r="R107" i="5"/>
  <c r="R89" i="5"/>
  <c r="R73" i="5"/>
  <c r="S147" i="5"/>
  <c r="R37" i="5"/>
  <c r="R281" i="5"/>
  <c r="R530" i="5"/>
  <c r="S492" i="5"/>
  <c r="R355" i="5"/>
  <c r="S266" i="5"/>
  <c r="S193" i="5"/>
  <c r="R65" i="5"/>
  <c r="R346" i="5"/>
  <c r="R483" i="5"/>
  <c r="R146" i="5"/>
  <c r="S519" i="5"/>
  <c r="S190" i="5"/>
  <c r="T11" i="5"/>
  <c r="U11" i="5" s="1"/>
  <c r="R175" i="5"/>
  <c r="S169" i="5"/>
  <c r="R252" i="5"/>
  <c r="R138" i="5"/>
  <c r="R432" i="5"/>
  <c r="S525" i="5"/>
  <c r="S329" i="5"/>
  <c r="R42" i="5"/>
  <c r="R403" i="5"/>
  <c r="R90" i="5"/>
  <c r="R388" i="5"/>
  <c r="S411" i="5"/>
  <c r="S162" i="5"/>
  <c r="S319" i="5"/>
  <c r="R157" i="5"/>
  <c r="S70" i="5"/>
  <c r="S394" i="5"/>
  <c r="S100" i="5"/>
  <c r="R399" i="5"/>
  <c r="S207" i="5"/>
  <c r="R400" i="5"/>
  <c r="S421" i="5"/>
  <c r="R541" i="5"/>
  <c r="R296" i="5"/>
  <c r="R477" i="5"/>
  <c r="S86" i="5"/>
  <c r="S61" i="5"/>
  <c r="S279" i="5"/>
  <c r="R445" i="5"/>
  <c r="R300" i="5"/>
  <c r="R369" i="5"/>
  <c r="S60" i="5"/>
  <c r="R213" i="5"/>
  <c r="R176" i="5"/>
  <c r="R113" i="5"/>
  <c r="S236" i="5"/>
  <c r="R342" i="5"/>
  <c r="S522" i="5"/>
  <c r="R126" i="5"/>
  <c r="S383" i="5"/>
  <c r="S148" i="5"/>
  <c r="R170" i="5"/>
  <c r="S83" i="5"/>
  <c r="R549" i="5"/>
  <c r="R239" i="5"/>
  <c r="R257" i="5"/>
  <c r="S447" i="5"/>
  <c r="R410" i="5"/>
  <c r="R393" i="5"/>
  <c r="R36" i="5"/>
  <c r="R337" i="5"/>
  <c r="R47" i="5"/>
  <c r="S520" i="5"/>
  <c r="S350" i="5"/>
  <c r="S496" i="5"/>
  <c r="S351" i="5"/>
  <c r="S292" i="5"/>
  <c r="R373" i="5"/>
  <c r="S94" i="5"/>
  <c r="S201" i="5"/>
  <c r="R536" i="5"/>
  <c r="S109" i="5"/>
  <c r="S227" i="5"/>
  <c r="S311" i="5"/>
  <c r="R246" i="5"/>
  <c r="S265" i="5"/>
  <c r="R512" i="5"/>
  <c r="R423" i="5"/>
  <c r="S66" i="5"/>
  <c r="R183" i="5"/>
  <c r="S277" i="5"/>
  <c r="S487" i="5"/>
  <c r="S245" i="5"/>
  <c r="S458" i="5"/>
  <c r="R500" i="5"/>
  <c r="S368" i="5"/>
  <c r="R560" i="5"/>
  <c r="R268" i="5"/>
  <c r="R154" i="5"/>
  <c r="R28" i="5"/>
  <c r="S152" i="5"/>
  <c r="S465" i="5"/>
  <c r="S452" i="5"/>
  <c r="R468" i="5"/>
  <c r="S102" i="5"/>
  <c r="S127" i="5"/>
  <c r="S166" i="5"/>
  <c r="S99" i="5"/>
  <c r="R156" i="5"/>
  <c r="S427" i="5"/>
  <c r="S405" i="5"/>
  <c r="R324" i="5"/>
  <c r="S545" i="5"/>
  <c r="R77" i="5"/>
  <c r="R241" i="5"/>
  <c r="S69" i="5"/>
  <c r="R414" i="5"/>
  <c r="S552" i="5"/>
  <c r="R330" i="5"/>
  <c r="S68" i="5"/>
  <c r="R225" i="5"/>
  <c r="R426" i="5"/>
  <c r="S67" i="5"/>
  <c r="S453" i="5"/>
  <c r="R514" i="5"/>
  <c r="S417" i="5"/>
  <c r="R529" i="5"/>
  <c r="S35" i="5"/>
  <c r="R27" i="5"/>
  <c r="R235" i="5"/>
  <c r="R105" i="5"/>
  <c r="S360" i="5"/>
  <c r="R244" i="5"/>
  <c r="R395" i="5"/>
  <c r="S58" i="5"/>
  <c r="R97" i="5"/>
  <c r="S460" i="5"/>
  <c r="R144" i="5"/>
  <c r="S450" i="5"/>
  <c r="S466" i="5"/>
  <c r="R335" i="5"/>
  <c r="S362" i="5"/>
  <c r="S81" i="5"/>
  <c r="R196" i="5"/>
  <c r="S29" i="5"/>
  <c r="R180" i="5"/>
  <c r="S482" i="5"/>
  <c r="S354" i="5"/>
  <c r="R200" i="5"/>
  <c r="S341" i="5"/>
  <c r="S533" i="5"/>
  <c r="S528" i="5"/>
  <c r="S444" i="5"/>
  <c r="W11" i="5"/>
  <c r="X11" i="5" s="1"/>
  <c r="R322" i="5"/>
  <c r="S206" i="5"/>
  <c r="S256" i="5"/>
  <c r="S339" i="5"/>
  <c r="R459" i="5"/>
  <c r="S370" i="5"/>
  <c r="S179" i="5"/>
  <c r="S125" i="5"/>
  <c r="R289" i="5"/>
  <c r="S371" i="5"/>
  <c r="R497" i="5"/>
  <c r="R74" i="5"/>
  <c r="R297" i="5"/>
  <c r="R143" i="5"/>
  <c r="R263" i="5"/>
  <c r="R547" i="5"/>
  <c r="S293" i="5"/>
  <c r="R120" i="5"/>
  <c r="R462" i="5"/>
  <c r="S503" i="5"/>
  <c r="R378" i="5"/>
  <c r="S231" i="5"/>
  <c r="Q11" i="5"/>
  <c r="R11" i="5" s="1"/>
  <c r="R124" i="5"/>
  <c r="R82" i="5"/>
  <c r="R136" i="5"/>
  <c r="R54" i="5"/>
  <c r="S8" i="5"/>
  <c r="R221" i="5"/>
  <c r="R372" i="5"/>
  <c r="R544" i="5"/>
  <c r="R326" i="5"/>
  <c r="S59" i="5"/>
  <c r="S472" i="5"/>
  <c r="R387" i="5"/>
  <c r="S253" i="5"/>
  <c r="S75" i="5"/>
  <c r="R513" i="5"/>
  <c r="S177" i="5"/>
  <c r="R215" i="5"/>
  <c r="R391" i="5"/>
  <c r="S20" i="5"/>
  <c r="R553" i="5"/>
  <c r="R278" i="5"/>
  <c r="S357" i="5"/>
  <c r="R219" i="5"/>
  <c r="R381" i="5"/>
  <c r="S486" i="5"/>
  <c r="R260" i="5"/>
  <c r="R142" i="5"/>
  <c r="S230" i="5"/>
  <c r="R250" i="5"/>
  <c r="S336" i="5"/>
  <c r="S471" i="5"/>
  <c r="R133" i="5"/>
  <c r="R187" i="5"/>
  <c r="R26" i="5"/>
  <c r="S428" i="5"/>
  <c r="S456" i="5"/>
  <c r="R518" i="5"/>
  <c r="S72" i="5"/>
  <c r="S321" i="5"/>
  <c r="R314" i="5"/>
  <c r="S50" i="5"/>
  <c r="R57" i="5"/>
  <c r="R454" i="5"/>
  <c r="R349" i="5"/>
  <c r="S285" i="5"/>
  <c r="R495" i="5"/>
  <c r="S114" i="5"/>
  <c r="R286" i="5"/>
  <c r="R129" i="5"/>
  <c r="S192" i="5"/>
  <c r="R534" i="5"/>
  <c r="R264" i="5"/>
  <c r="R333" i="5"/>
  <c r="R433" i="5"/>
  <c r="R238" i="5"/>
  <c r="R172" i="5"/>
  <c r="S491" i="5"/>
  <c r="R532" i="5"/>
  <c r="R404" i="5"/>
  <c r="R262" i="5"/>
  <c r="S457" i="5"/>
  <c r="S429" i="5"/>
  <c r="R271" i="5"/>
  <c r="R116" i="5"/>
  <c r="R139" i="5"/>
  <c r="R554" i="5"/>
  <c r="R407" i="5"/>
  <c r="R270" i="5"/>
  <c r="S334" i="5"/>
  <c r="R64" i="5"/>
  <c r="R202" i="5"/>
  <c r="R272" i="5"/>
  <c r="S210" i="5"/>
  <c r="R198" i="5"/>
  <c r="R352" i="5"/>
  <c r="R316" i="5"/>
  <c r="S96" i="5"/>
  <c r="S110" i="5"/>
  <c r="R484" i="5"/>
  <c r="S255" i="5"/>
  <c r="S137" i="5"/>
  <c r="S386" i="5"/>
  <c r="R464" i="5"/>
  <c r="R261" i="5"/>
  <c r="S392" i="5"/>
  <c r="R380" i="5"/>
  <c r="S84" i="5"/>
  <c r="S93" i="5"/>
  <c r="S475" i="5"/>
  <c r="R181" i="5"/>
  <c r="S548" i="5"/>
  <c r="S51" i="5"/>
  <c r="R168" i="5"/>
  <c r="S418" i="5"/>
  <c r="S111" i="5"/>
  <c r="S516" i="5"/>
  <c r="S267" i="5"/>
  <c r="S226" i="5"/>
  <c r="S439" i="5"/>
  <c r="S248" i="5"/>
  <c r="R310" i="5"/>
  <c r="S485" i="5"/>
  <c r="R556" i="5"/>
  <c r="S223" i="5"/>
  <c r="S511" i="5"/>
  <c r="S208" i="5"/>
  <c r="S441" i="5"/>
  <c r="S494" i="5"/>
  <c r="R103" i="5"/>
  <c r="R254" i="5"/>
  <c r="S435" i="5"/>
  <c r="R211" i="5"/>
  <c r="R413" i="5"/>
  <c r="S108" i="5"/>
  <c r="S106" i="5"/>
  <c r="R455" i="5"/>
  <c r="R307" i="5"/>
  <c r="R290" i="5"/>
  <c r="R234" i="5"/>
  <c r="R25" i="5"/>
  <c r="R527" i="5"/>
  <c r="R269" i="5"/>
  <c r="R309" i="5"/>
  <c r="R79" i="5"/>
  <c r="R490" i="5"/>
  <c r="S345" i="5"/>
  <c r="R282" i="5"/>
  <c r="R178" i="5"/>
  <c r="R161" i="5"/>
  <c r="R145" i="5"/>
  <c r="S323" i="5"/>
  <c r="S101" i="5"/>
  <c r="S420" i="5"/>
  <c r="R34" i="5"/>
  <c r="S436" i="5"/>
  <c r="S242" i="5"/>
  <c r="S104" i="5"/>
  <c r="S247" i="5"/>
  <c r="R41" i="5"/>
  <c r="R118" i="5"/>
  <c r="S149" i="5"/>
  <c r="R304" i="5"/>
  <c r="S353" i="5"/>
  <c r="R542" i="5"/>
  <c r="R343" i="5"/>
  <c r="R232" i="5"/>
  <c r="S98" i="5"/>
  <c r="R365" i="5"/>
  <c r="R546" i="5"/>
  <c r="S10" i="5"/>
  <c r="R499" i="5"/>
  <c r="R243" i="5"/>
  <c r="S165" i="5"/>
  <c r="S140" i="5"/>
  <c r="R39" i="5"/>
  <c r="R32" i="5"/>
  <c r="S62" i="5"/>
  <c r="R128" i="5"/>
  <c r="R298" i="5"/>
  <c r="S237" i="5"/>
  <c r="S535" i="5"/>
  <c r="R467" i="5"/>
  <c r="R63" i="5"/>
  <c r="R348" i="5"/>
  <c r="S431" i="5"/>
  <c r="S325" i="5"/>
  <c r="S489" i="5"/>
  <c r="S228" i="5"/>
  <c r="S195" i="5"/>
  <c r="R463" i="5"/>
  <c r="S71" i="5"/>
  <c r="R313" i="5"/>
  <c r="R402" i="5"/>
  <c r="S280" i="5"/>
  <c r="R478" i="5"/>
  <c r="R473" i="5"/>
  <c r="R259" i="5"/>
  <c r="S317" i="5"/>
  <c r="R121" i="5"/>
  <c r="R153" i="5"/>
  <c r="R502" i="5"/>
  <c r="R283" i="5"/>
  <c r="R151" i="5"/>
  <c r="R449" i="5"/>
  <c r="S135" i="5"/>
  <c r="R523" i="5"/>
  <c r="S23" i="5"/>
  <c r="R389" i="5"/>
  <c r="S184" i="5"/>
  <c r="S123" i="5"/>
  <c r="S40" i="5"/>
  <c r="S141" i="5"/>
  <c r="S358" i="5"/>
  <c r="S367" i="5"/>
  <c r="S182" i="5"/>
  <c r="R258" i="5"/>
  <c r="R474" i="5"/>
  <c r="S442" i="5"/>
  <c r="R45" i="5"/>
  <c r="S92" i="5"/>
  <c r="S443" i="5"/>
  <c r="S412" i="5"/>
  <c r="R390" i="5"/>
  <c r="S91" i="5"/>
  <c r="R382" i="5"/>
  <c r="R451" i="5"/>
  <c r="S303" i="5"/>
  <c r="R150" i="5"/>
  <c r="S469" i="5"/>
  <c r="R130" i="5"/>
  <c r="S174" i="5"/>
  <c r="R401" i="5"/>
  <c r="S76" i="5"/>
  <c r="R276" i="5"/>
  <c r="S276" i="5"/>
  <c r="R506" i="5"/>
  <c r="S506" i="5"/>
  <c r="R212" i="5"/>
  <c r="S212" i="5"/>
  <c r="S438" i="5"/>
  <c r="R438" i="5"/>
  <c r="R406" i="5"/>
  <c r="S112" i="5"/>
  <c r="S119" i="5"/>
  <c r="R295" i="5"/>
  <c r="S448" i="5"/>
  <c r="S155" i="5"/>
  <c r="S415" i="5"/>
  <c r="R338" i="5"/>
  <c r="S233" i="5"/>
  <c r="S78" i="5"/>
  <c r="R396" i="5"/>
  <c r="S379" i="5"/>
  <c r="R557" i="5"/>
  <c r="S377" i="5"/>
  <c r="R377" i="5"/>
  <c r="S385" i="5"/>
  <c r="R385" i="5"/>
  <c r="R122" i="5"/>
  <c r="S122" i="5"/>
  <c r="R510" i="5"/>
  <c r="S510" i="5"/>
  <c r="R80" i="5"/>
  <c r="S80" i="5"/>
  <c r="S543" i="5"/>
  <c r="R131" i="5"/>
  <c r="S275" i="5"/>
  <c r="R356" i="5"/>
  <c r="R308" i="5"/>
  <c r="R44" i="5"/>
  <c r="S550" i="5"/>
  <c r="S501" i="5"/>
  <c r="R299" i="5"/>
  <c r="S299" i="5"/>
  <c r="R53" i="5"/>
  <c r="S53" i="5"/>
  <c r="S521" i="5"/>
  <c r="R521" i="5"/>
  <c r="R173" i="5"/>
  <c r="S173" i="5"/>
  <c r="R186" i="5"/>
  <c r="S186" i="5"/>
  <c r="R284" i="5"/>
  <c r="S284" i="5"/>
  <c r="S48" i="5"/>
  <c r="R48" i="5"/>
  <c r="R531" i="5"/>
  <c r="S531" i="5"/>
  <c r="S217" i="5"/>
  <c r="R217" i="5"/>
  <c r="R331" i="5"/>
  <c r="S331" i="5"/>
  <c r="S24" i="5"/>
  <c r="R24" i="5"/>
  <c r="S38" i="5"/>
  <c r="R38" i="5"/>
  <c r="S526" i="5"/>
  <c r="R526" i="5"/>
  <c r="R328" i="5"/>
  <c r="S328" i="5"/>
  <c r="R361" i="5"/>
  <c r="S361" i="5"/>
  <c r="R384" i="5"/>
  <c r="S384" i="5"/>
  <c r="R167" i="5"/>
  <c r="S167" i="5"/>
  <c r="R220" i="5"/>
  <c r="S220" i="5"/>
  <c r="R49" i="5"/>
  <c r="S49" i="5"/>
  <c r="S340" i="5"/>
  <c r="R340" i="5"/>
  <c r="R185" i="5"/>
  <c r="S185" i="5"/>
  <c r="R430" i="5"/>
  <c r="S312" i="5"/>
  <c r="S398" i="5"/>
  <c r="R555" i="5"/>
  <c r="S302" i="5"/>
  <c r="S488" i="5"/>
  <c r="R209" i="5"/>
  <c r="R251" i="5"/>
  <c r="R320" i="5"/>
  <c r="R163" i="5"/>
  <c r="S558" i="5"/>
  <c r="R85" i="5"/>
  <c r="R493" i="5"/>
  <c r="R21" i="5"/>
  <c r="R476" i="5"/>
  <c r="R507" i="5"/>
  <c r="S327" i="5"/>
  <c r="R222" i="5"/>
  <c r="R318" i="5"/>
  <c r="S132" i="5"/>
  <c r="R87" i="5"/>
  <c r="R375" i="5"/>
  <c r="S315" i="5"/>
  <c r="S171" i="5"/>
  <c r="S294" i="5"/>
  <c r="S31" i="5"/>
  <c r="S424" i="5"/>
  <c r="R424" i="5"/>
  <c r="R43" i="5"/>
  <c r="S43" i="5"/>
  <c r="R505" i="5"/>
  <c r="S517" i="5"/>
  <c r="S199" i="5"/>
  <c r="S537" i="5"/>
  <c r="R159" i="5"/>
  <c r="S559" i="5"/>
  <c r="R425" i="5"/>
  <c r="S524" i="5"/>
  <c r="S551" i="5"/>
  <c r="R46" i="5"/>
  <c r="S538" i="5"/>
  <c r="S55" i="5"/>
  <c r="S419" i="5"/>
  <c r="S332" i="5"/>
  <c r="R359" i="5"/>
  <c r="R291" i="5"/>
  <c r="R376" i="5"/>
  <c r="S344" i="5"/>
  <c r="R164" i="5"/>
  <c r="S249" i="5"/>
  <c r="R134" i="5"/>
  <c r="R56" i="5"/>
  <c r="S88" i="5"/>
  <c r="S218" i="5"/>
  <c r="S191" i="5"/>
  <c r="S539" i="5"/>
  <c r="S158" i="5"/>
  <c r="R480" i="5"/>
  <c r="R224" i="5"/>
  <c r="R409" i="5"/>
  <c r="R197" i="5"/>
  <c r="R301" i="5"/>
  <c r="R364" i="5"/>
  <c r="B99" i="2"/>
  <c r="B105" i="2" s="1"/>
  <c r="B107" i="2" s="1"/>
  <c r="H33" i="1" s="1"/>
  <c r="B110" i="2" s="1"/>
  <c r="H31" i="1"/>
  <c r="Z17" i="4"/>
  <c r="AA17" i="4" s="1"/>
  <c r="Z130" i="4"/>
  <c r="Z154" i="4"/>
  <c r="Z152" i="4"/>
  <c r="Z120" i="4"/>
  <c r="AA120" i="4" s="1"/>
  <c r="Z155" i="4"/>
  <c r="AA155" i="4" s="1"/>
  <c r="Z46" i="4"/>
  <c r="Z56" i="4"/>
  <c r="Z54" i="4"/>
  <c r="Z139" i="4"/>
  <c r="AA139" i="4" s="1"/>
  <c r="Z16" i="4"/>
  <c r="AA16" i="4" s="1"/>
  <c r="Z62" i="4"/>
  <c r="Z68" i="4"/>
  <c r="AA68" i="4" s="1"/>
  <c r="Z89" i="4"/>
  <c r="AA89" i="4" s="1"/>
  <c r="Z72" i="4"/>
  <c r="AA72" i="4" s="1"/>
  <c r="Z133" i="4"/>
  <c r="Z135" i="4"/>
  <c r="AA135" i="4" s="1"/>
  <c r="Z34" i="4"/>
  <c r="AA34" i="4" s="1"/>
  <c r="Z37" i="4"/>
  <c r="Z150" i="4"/>
  <c r="Z76" i="4"/>
  <c r="AA76" i="4" s="1"/>
  <c r="Z69" i="4"/>
  <c r="Z116" i="4"/>
  <c r="Z10" i="4"/>
  <c r="AA10" i="4" s="1"/>
  <c r="Z41" i="4"/>
  <c r="Z107" i="4"/>
  <c r="AA107" i="4" s="1"/>
  <c r="Z109" i="4"/>
  <c r="AA109" i="4" s="1"/>
  <c r="Z91" i="4"/>
  <c r="Z142" i="4"/>
  <c r="Z87" i="4"/>
  <c r="AA87" i="4" s="1"/>
  <c r="Z29" i="4"/>
  <c r="AA29" i="4" s="1"/>
  <c r="Z95" i="4"/>
  <c r="AA95" i="4" s="1"/>
  <c r="Z99" i="4"/>
  <c r="AA99" i="4" s="1"/>
  <c r="Z55" i="4"/>
  <c r="AA55" i="4" s="1"/>
  <c r="Z57" i="4"/>
  <c r="AA57" i="4" s="1"/>
  <c r="Z25" i="4"/>
  <c r="AA25" i="4" s="1"/>
  <c r="Z105" i="4"/>
  <c r="AA105" i="4" s="1"/>
  <c r="Z104" i="4"/>
  <c r="Z83" i="4"/>
  <c r="AA83" i="4" s="1"/>
  <c r="Z58" i="4"/>
  <c r="AA58" i="4" s="1"/>
  <c r="Z31" i="4"/>
  <c r="AA31" i="4" s="1"/>
  <c r="Z45" i="4"/>
  <c r="AA45" i="4" s="1"/>
  <c r="Z75" i="4"/>
  <c r="Z39" i="4"/>
  <c r="Z79" i="4"/>
  <c r="Z49" i="4"/>
  <c r="Z33" i="4"/>
  <c r="AA33" i="4" s="1"/>
  <c r="X9" i="5"/>
  <c r="Y9" i="5"/>
  <c r="R9" i="5"/>
  <c r="S9" i="5"/>
  <c r="U9" i="5"/>
  <c r="V9" i="5"/>
  <c r="B32" i="5" l="1"/>
  <c r="B32" i="10"/>
  <c r="B191" i="2"/>
  <c r="B51" i="10"/>
  <c r="B51" i="5"/>
  <c r="AO153" i="4"/>
  <c r="AN153" i="4" s="1"/>
  <c r="BN64" i="4"/>
  <c r="AI64" i="4"/>
  <c r="AI156" i="4"/>
  <c r="AI143" i="4"/>
  <c r="AI145" i="4"/>
  <c r="BN52" i="4"/>
  <c r="AI52" i="4"/>
  <c r="AI126" i="4"/>
  <c r="AI91" i="4"/>
  <c r="BN46" i="4"/>
  <c r="AI46" i="4"/>
  <c r="AI81" i="4"/>
  <c r="BN26" i="4"/>
  <c r="AI26" i="4"/>
  <c r="AI124" i="4"/>
  <c r="AI149" i="4"/>
  <c r="AI116" i="4"/>
  <c r="AI123" i="4"/>
  <c r="BN69" i="4"/>
  <c r="AI69" i="4"/>
  <c r="BN41" i="4"/>
  <c r="AI41" i="4"/>
  <c r="AI142" i="4"/>
  <c r="AI150" i="4"/>
  <c r="AI106" i="4"/>
  <c r="BN21" i="4"/>
  <c r="AI21" i="4"/>
  <c r="BN79" i="4"/>
  <c r="AI79" i="4"/>
  <c r="BN48" i="4"/>
  <c r="AI48" i="4"/>
  <c r="AI117" i="4"/>
  <c r="AI104" i="4"/>
  <c r="BN65" i="4"/>
  <c r="AI65" i="4"/>
  <c r="AI130" i="4"/>
  <c r="BN39" i="4"/>
  <c r="AI39" i="4"/>
  <c r="AI97" i="4"/>
  <c r="AI140" i="4"/>
  <c r="AI136" i="4"/>
  <c r="BN54" i="4"/>
  <c r="AI54" i="4"/>
  <c r="BN19" i="4"/>
  <c r="AI19" i="4"/>
  <c r="AI146" i="4"/>
  <c r="AI154" i="4"/>
  <c r="BN47" i="4"/>
  <c r="AI47" i="4"/>
  <c r="AI110" i="4"/>
  <c r="AI118" i="4"/>
  <c r="AI157" i="4"/>
  <c r="BN32" i="4"/>
  <c r="AI32" i="4"/>
  <c r="BN49" i="4"/>
  <c r="AI49" i="4"/>
  <c r="BN24" i="4"/>
  <c r="AI24" i="4"/>
  <c r="AI113" i="4"/>
  <c r="AI137" i="4"/>
  <c r="AI82" i="4"/>
  <c r="AI148" i="4"/>
  <c r="AI90" i="4"/>
  <c r="AI108" i="4"/>
  <c r="BN75" i="4"/>
  <c r="AI75" i="4"/>
  <c r="AI94" i="4"/>
  <c r="BN56" i="4"/>
  <c r="AI56" i="4"/>
  <c r="AI111" i="4"/>
  <c r="BI133" i="4"/>
  <c r="AI133" i="4"/>
  <c r="BN67" i="4"/>
  <c r="AI67" i="4"/>
  <c r="AI112" i="4"/>
  <c r="BN62" i="4"/>
  <c r="AI62" i="4"/>
  <c r="AA62" i="4"/>
  <c r="AB62" i="4" s="1"/>
  <c r="AP62" i="4"/>
  <c r="AO62" i="4" s="1"/>
  <c r="AN62" i="4" s="1"/>
  <c r="BI62" i="4"/>
  <c r="AP112" i="4"/>
  <c r="AO112" i="4" s="1"/>
  <c r="AA112" i="4"/>
  <c r="AB112" i="4" s="1"/>
  <c r="AP67" i="4"/>
  <c r="AO67" i="4" s="1"/>
  <c r="BI8" i="4"/>
  <c r="BI132" i="4"/>
  <c r="BI120" i="4"/>
  <c r="BI30" i="4"/>
  <c r="AA133" i="4"/>
  <c r="AB133" i="4" s="1"/>
  <c r="BI119" i="4"/>
  <c r="BI80" i="4"/>
  <c r="AA67" i="4"/>
  <c r="AB67" i="4" s="1"/>
  <c r="BI42" i="4"/>
  <c r="BI33" i="4"/>
  <c r="BI38" i="4"/>
  <c r="BI107" i="4"/>
  <c r="AP102" i="4"/>
  <c r="AO102" i="4" s="1"/>
  <c r="AN102" i="4" s="1"/>
  <c r="AP133" i="4"/>
  <c r="AP122" i="4"/>
  <c r="AP59" i="4"/>
  <c r="AO59" i="4" s="1"/>
  <c r="AN59" i="4" s="1"/>
  <c r="BN59" i="4"/>
  <c r="AP37" i="4"/>
  <c r="AO37" i="4" s="1"/>
  <c r="AQ37" i="4" s="1"/>
  <c r="AR37" i="4" s="1"/>
  <c r="BN37" i="4"/>
  <c r="BI99" i="4"/>
  <c r="AA37" i="4"/>
  <c r="AB37" i="4" s="1"/>
  <c r="BI67" i="4"/>
  <c r="AA39" i="4"/>
  <c r="BI153" i="4"/>
  <c r="AA59" i="4"/>
  <c r="BI93" i="4"/>
  <c r="BI13" i="4"/>
  <c r="AA41" i="4"/>
  <c r="AB41" i="4" s="1"/>
  <c r="BI43" i="4"/>
  <c r="BI73" i="4"/>
  <c r="BI44" i="4"/>
  <c r="BI138" i="4"/>
  <c r="AA152" i="4"/>
  <c r="AB152" i="4" s="1"/>
  <c r="AP152" i="4"/>
  <c r="BI144" i="4"/>
  <c r="AQ107" i="4"/>
  <c r="AR107" i="4" s="1"/>
  <c r="AS107" i="4" s="1"/>
  <c r="AP56" i="4"/>
  <c r="AO56" i="4" s="1"/>
  <c r="AQ56" i="4" s="1"/>
  <c r="AR56" i="4" s="1"/>
  <c r="AP97" i="4"/>
  <c r="AO97" i="4" s="1"/>
  <c r="BI70" i="4"/>
  <c r="BI29" i="4"/>
  <c r="AA154" i="4"/>
  <c r="AB154" i="4" s="1"/>
  <c r="AP41" i="4"/>
  <c r="AO41" i="4" s="1"/>
  <c r="AP69" i="4"/>
  <c r="AO69" i="4" s="1"/>
  <c r="BI131" i="4"/>
  <c r="BI125" i="4"/>
  <c r="BI40" i="4"/>
  <c r="BI88" i="4"/>
  <c r="BI103" i="4"/>
  <c r="AP150" i="4"/>
  <c r="AP154" i="4"/>
  <c r="AP39" i="4"/>
  <c r="AO39" i="4" s="1"/>
  <c r="AP126" i="4"/>
  <c r="AP91" i="4"/>
  <c r="AO91" i="4" s="1"/>
  <c r="AN91" i="4" s="1"/>
  <c r="AA126" i="4"/>
  <c r="AA150" i="4"/>
  <c r="AB150" i="4" s="1"/>
  <c r="AA56" i="4"/>
  <c r="AB56" i="4" s="1"/>
  <c r="AA97" i="4"/>
  <c r="AB97" i="4" s="1"/>
  <c r="AA111" i="4"/>
  <c r="AP111" i="4"/>
  <c r="AO111" i="4" s="1"/>
  <c r="AQ111" i="4" s="1"/>
  <c r="AR111" i="4" s="1"/>
  <c r="BI14" i="4"/>
  <c r="BI66" i="4"/>
  <c r="BI89" i="4"/>
  <c r="BI76" i="4"/>
  <c r="BI121" i="4"/>
  <c r="BI83" i="4"/>
  <c r="BI22" i="4"/>
  <c r="BI134" i="4"/>
  <c r="BI17" i="4"/>
  <c r="BI155" i="4"/>
  <c r="BI87" i="4"/>
  <c r="BI20" i="4"/>
  <c r="AO61" i="4"/>
  <c r="AO23" i="4"/>
  <c r="AO42" i="4"/>
  <c r="AQ42" i="4" s="1"/>
  <c r="AR42" i="4" s="1"/>
  <c r="BI52" i="4"/>
  <c r="BI108" i="4"/>
  <c r="AA142" i="4"/>
  <c r="AB142" i="4" s="1"/>
  <c r="AA91" i="4"/>
  <c r="AB91" i="4" s="1"/>
  <c r="BI81" i="4"/>
  <c r="BI24" i="4"/>
  <c r="BI113" i="4"/>
  <c r="AO8" i="4"/>
  <c r="AO35" i="4"/>
  <c r="AQ35" i="4" s="1"/>
  <c r="AR35" i="4" s="1"/>
  <c r="AO139" i="4"/>
  <c r="AN139" i="4" s="1"/>
  <c r="AO73" i="4"/>
  <c r="AO30" i="4"/>
  <c r="AO66" i="4"/>
  <c r="AQ66" i="4" s="1"/>
  <c r="AR66" i="4" s="1"/>
  <c r="AO38" i="4"/>
  <c r="AO119" i="4"/>
  <c r="AO125" i="4"/>
  <c r="AQ125" i="4" s="1"/>
  <c r="AR125" i="4" s="1"/>
  <c r="AO131" i="4"/>
  <c r="AO12" i="4"/>
  <c r="AO103" i="4"/>
  <c r="AO115" i="4"/>
  <c r="AQ115" i="4" s="1"/>
  <c r="AR115" i="4" s="1"/>
  <c r="AO70" i="4"/>
  <c r="BI75" i="4"/>
  <c r="BI109" i="4"/>
  <c r="BI141" i="4"/>
  <c r="BI15" i="4"/>
  <c r="BI105" i="4"/>
  <c r="BI36" i="4"/>
  <c r="BI27" i="4"/>
  <c r="BI53" i="4"/>
  <c r="BI106" i="4"/>
  <c r="BI110" i="4"/>
  <c r="BI65" i="4"/>
  <c r="AO121" i="4"/>
  <c r="AO147" i="4"/>
  <c r="AQ147" i="4" s="1"/>
  <c r="AR147" i="4" s="1"/>
  <c r="AO16" i="4"/>
  <c r="AO9" i="4"/>
  <c r="AN9" i="4" s="1"/>
  <c r="AO138" i="4"/>
  <c r="AQ138" i="4" s="1"/>
  <c r="AR138" i="4" s="1"/>
  <c r="AO50" i="4"/>
  <c r="AO127" i="4"/>
  <c r="AO105" i="4"/>
  <c r="AQ105" i="4" s="1"/>
  <c r="AR105" i="4" s="1"/>
  <c r="AO25" i="4"/>
  <c r="AO135" i="4"/>
  <c r="AN135" i="4" s="1"/>
  <c r="AO72" i="4"/>
  <c r="AN72" i="4" s="1"/>
  <c r="AO15" i="4"/>
  <c r="AO34" i="4"/>
  <c r="AO109" i="4"/>
  <c r="AO77" i="4"/>
  <c r="AQ77" i="4" s="1"/>
  <c r="AR77" i="4" s="1"/>
  <c r="AP142" i="4"/>
  <c r="BI39" i="4"/>
  <c r="AO20" i="4"/>
  <c r="AQ20" i="4" s="1"/>
  <c r="AR20" i="4" s="1"/>
  <c r="AO33" i="4"/>
  <c r="AQ33" i="4" s="1"/>
  <c r="AR33" i="4" s="1"/>
  <c r="AO85" i="4"/>
  <c r="AQ85" i="4" s="1"/>
  <c r="AR85" i="4" s="1"/>
  <c r="AO88" i="4"/>
  <c r="BI94" i="4"/>
  <c r="BI102" i="4"/>
  <c r="BI47" i="4"/>
  <c r="BI46" i="4"/>
  <c r="BI146" i="4"/>
  <c r="AO101" i="4"/>
  <c r="AN101" i="4" s="1"/>
  <c r="AO43" i="4"/>
  <c r="AO51" i="4"/>
  <c r="AO29" i="4"/>
  <c r="AO27" i="4"/>
  <c r="AO144" i="4"/>
  <c r="AO31" i="4"/>
  <c r="AO76" i="4"/>
  <c r="AO89" i="4"/>
  <c r="AO84" i="4"/>
  <c r="AN84" i="4" s="1"/>
  <c r="AO11" i="4"/>
  <c r="AQ11" i="4" s="1"/>
  <c r="AR11" i="4" s="1"/>
  <c r="AO93" i="4"/>
  <c r="AO17" i="4"/>
  <c r="AO155" i="4"/>
  <c r="AN155" i="4" s="1"/>
  <c r="AO57" i="4"/>
  <c r="AO13" i="4"/>
  <c r="AQ13" i="4" s="1"/>
  <c r="AR13" i="4" s="1"/>
  <c r="AO141" i="4"/>
  <c r="AO45" i="4"/>
  <c r="AQ45" i="4" s="1"/>
  <c r="AR45" i="4" s="1"/>
  <c r="AO151" i="4"/>
  <c r="BI116" i="4"/>
  <c r="BI56" i="4"/>
  <c r="BI79" i="4"/>
  <c r="BI118" i="4"/>
  <c r="AO58" i="4"/>
  <c r="AO129" i="4"/>
  <c r="AQ129" i="4" s="1"/>
  <c r="AR129" i="4" s="1"/>
  <c r="AO53" i="4"/>
  <c r="AO80" i="4"/>
  <c r="AO55" i="4"/>
  <c r="AN55" i="4" s="1"/>
  <c r="AO63" i="4"/>
  <c r="AA69" i="4"/>
  <c r="AB69" i="4" s="1"/>
  <c r="AA140" i="4"/>
  <c r="AA94" i="4"/>
  <c r="AP140" i="4"/>
  <c r="AP94" i="4"/>
  <c r="AO94" i="4" s="1"/>
  <c r="AA122" i="4"/>
  <c r="AP90" i="4"/>
  <c r="AO90" i="4" s="1"/>
  <c r="AA102" i="4"/>
  <c r="AA130" i="4"/>
  <c r="AB130" i="4" s="1"/>
  <c r="AA108" i="4"/>
  <c r="AB108" i="4" s="1"/>
  <c r="AP75" i="4"/>
  <c r="AO75" i="4" s="1"/>
  <c r="AP130" i="4"/>
  <c r="AP108" i="4"/>
  <c r="AA75" i="4"/>
  <c r="AB75" i="4" s="1"/>
  <c r="AP52" i="4"/>
  <c r="AO52" i="4" s="1"/>
  <c r="AA116" i="4"/>
  <c r="AB116" i="4" s="1"/>
  <c r="AA90" i="4"/>
  <c r="AB90" i="4" s="1"/>
  <c r="AA123" i="4"/>
  <c r="AB123" i="4" s="1"/>
  <c r="AB38" i="4"/>
  <c r="AP123" i="4"/>
  <c r="AP145" i="4"/>
  <c r="AA145" i="4"/>
  <c r="AB145" i="4" s="1"/>
  <c r="AA52" i="4"/>
  <c r="AB52" i="4" s="1"/>
  <c r="AP116" i="4"/>
  <c r="AP124" i="4"/>
  <c r="AP148" i="4"/>
  <c r="AP82" i="4"/>
  <c r="AO82" i="4" s="1"/>
  <c r="AP48" i="4"/>
  <c r="AO48" i="4" s="1"/>
  <c r="AP117" i="4"/>
  <c r="AP156" i="4"/>
  <c r="AP143" i="4"/>
  <c r="AB11" i="4"/>
  <c r="AB35" i="4"/>
  <c r="AB125" i="4"/>
  <c r="AB115" i="4"/>
  <c r="AP32" i="4"/>
  <c r="AO32" i="4" s="1"/>
  <c r="AP157" i="4"/>
  <c r="AP19" i="4"/>
  <c r="AN40" i="4"/>
  <c r="AQ40" i="4"/>
  <c r="AR40" i="4" s="1"/>
  <c r="AO100" i="4"/>
  <c r="AO92" i="4"/>
  <c r="AN36" i="4"/>
  <c r="AQ36" i="4"/>
  <c r="AR36" i="4" s="1"/>
  <c r="AO114" i="4"/>
  <c r="AO134" i="4"/>
  <c r="AQ28" i="4"/>
  <c r="AR28" i="4" s="1"/>
  <c r="AN28" i="4"/>
  <c r="AP81" i="4"/>
  <c r="AP24" i="4"/>
  <c r="AP113" i="4"/>
  <c r="AP137" i="4"/>
  <c r="AP149" i="4"/>
  <c r="AP47" i="4"/>
  <c r="AP46" i="4"/>
  <c r="AP64" i="4"/>
  <c r="AO64" i="4" s="1"/>
  <c r="AP136" i="4"/>
  <c r="AP110" i="4"/>
  <c r="AP104" i="4"/>
  <c r="AP65" i="4"/>
  <c r="AB28" i="4"/>
  <c r="AN18" i="4"/>
  <c r="AQ18" i="4"/>
  <c r="AR18" i="4" s="1"/>
  <c r="AQ99" i="4"/>
  <c r="AR99" i="4" s="1"/>
  <c r="AN99" i="4"/>
  <c r="AO128" i="4"/>
  <c r="AN78" i="4"/>
  <c r="AQ78" i="4"/>
  <c r="AR78" i="4" s="1"/>
  <c r="AN95" i="4"/>
  <c r="AQ95" i="4"/>
  <c r="AR95" i="4" s="1"/>
  <c r="AN14" i="4"/>
  <c r="AQ14" i="4"/>
  <c r="AR14" i="4" s="1"/>
  <c r="AQ120" i="4"/>
  <c r="AR120" i="4" s="1"/>
  <c r="AN120" i="4"/>
  <c r="AO96" i="4"/>
  <c r="AQ10" i="4"/>
  <c r="AR10" i="4" s="1"/>
  <c r="AN10" i="4"/>
  <c r="AQ68" i="4"/>
  <c r="AR68" i="4" s="1"/>
  <c r="AN68" i="4"/>
  <c r="AQ86" i="4"/>
  <c r="AR86" i="4" s="1"/>
  <c r="AN86" i="4"/>
  <c r="AN71" i="4"/>
  <c r="AQ71" i="4"/>
  <c r="AR71" i="4" s="1"/>
  <c r="AQ60" i="4"/>
  <c r="AR60" i="4" s="1"/>
  <c r="AN60" i="4"/>
  <c r="AQ98" i="4"/>
  <c r="AR98" i="4" s="1"/>
  <c r="AN98" i="4"/>
  <c r="AP106" i="4"/>
  <c r="AO106" i="4" s="1"/>
  <c r="AP21" i="4"/>
  <c r="AP49" i="4"/>
  <c r="AP146" i="4"/>
  <c r="AN22" i="4"/>
  <c r="AQ22" i="4"/>
  <c r="AR22" i="4" s="1"/>
  <c r="AN87" i="4"/>
  <c r="AQ87" i="4"/>
  <c r="AR87" i="4" s="1"/>
  <c r="AO44" i="4"/>
  <c r="AO132" i="4"/>
  <c r="AQ83" i="4"/>
  <c r="AR83" i="4" s="1"/>
  <c r="AN83" i="4"/>
  <c r="AN74" i="4"/>
  <c r="AQ74" i="4"/>
  <c r="AR74" i="4" s="1"/>
  <c r="AP79" i="4"/>
  <c r="AO79" i="4" s="1"/>
  <c r="AP26" i="4"/>
  <c r="AO26" i="4" s="1"/>
  <c r="AP118" i="4"/>
  <c r="AP54" i="4"/>
  <c r="AB138" i="4"/>
  <c r="AB103" i="4"/>
  <c r="AB121" i="4"/>
  <c r="AA82" i="4"/>
  <c r="AA124" i="4"/>
  <c r="AA148" i="4"/>
  <c r="AA48" i="4"/>
  <c r="AA117" i="4"/>
  <c r="AA157" i="4"/>
  <c r="AA156" i="4"/>
  <c r="AA143" i="4"/>
  <c r="AB63" i="4"/>
  <c r="AB129" i="4"/>
  <c r="AB18" i="4"/>
  <c r="AB23" i="4"/>
  <c r="AB93" i="4"/>
  <c r="AB101" i="4"/>
  <c r="AB55" i="4"/>
  <c r="AB87" i="4"/>
  <c r="AB45" i="4"/>
  <c r="AB58" i="4"/>
  <c r="AB25" i="4"/>
  <c r="AB95" i="4"/>
  <c r="AB89" i="4"/>
  <c r="AB139" i="4"/>
  <c r="AB155" i="4"/>
  <c r="AB73" i="4"/>
  <c r="AB131" i="4"/>
  <c r="AB36" i="4"/>
  <c r="AB151" i="4"/>
  <c r="AB70" i="4"/>
  <c r="AB12" i="4"/>
  <c r="AB98" i="4"/>
  <c r="AB15" i="4"/>
  <c r="AB100" i="4"/>
  <c r="AB44" i="4"/>
  <c r="AB33" i="4"/>
  <c r="AB31" i="4"/>
  <c r="AB76" i="4"/>
  <c r="AB153" i="4"/>
  <c r="AB14" i="4"/>
  <c r="AB86" i="4"/>
  <c r="AB42" i="4"/>
  <c r="AB85" i="4"/>
  <c r="AB114" i="4"/>
  <c r="AB147" i="4"/>
  <c r="AB80" i="4"/>
  <c r="AB71" i="4"/>
  <c r="AB92" i="4"/>
  <c r="AB105" i="4"/>
  <c r="AB57" i="4"/>
  <c r="AB99" i="4"/>
  <c r="AB29" i="4"/>
  <c r="AB109" i="4"/>
  <c r="AB10" i="4"/>
  <c r="AB135" i="4"/>
  <c r="AB72" i="4"/>
  <c r="AB68" i="4"/>
  <c r="AB16" i="4"/>
  <c r="AB120" i="4"/>
  <c r="AB17" i="4"/>
  <c r="AB78" i="4"/>
  <c r="AB77" i="4"/>
  <c r="AB144" i="4"/>
  <c r="AB119" i="4"/>
  <c r="AB20" i="4"/>
  <c r="AB51" i="4"/>
  <c r="AB61" i="4"/>
  <c r="AB127" i="4"/>
  <c r="AB22" i="4"/>
  <c r="AB83" i="4"/>
  <c r="AB107" i="4"/>
  <c r="AB34" i="4"/>
  <c r="AB27" i="4"/>
  <c r="AB53" i="4"/>
  <c r="AB60" i="4"/>
  <c r="AB74" i="4"/>
  <c r="AB50" i="4"/>
  <c r="AB13" i="4"/>
  <c r="AB84" i="4"/>
  <c r="AB43" i="4"/>
  <c r="AB88" i="4"/>
  <c r="AB132" i="4"/>
  <c r="AB134" i="4"/>
  <c r="AB96" i="4"/>
  <c r="AB40" i="4"/>
  <c r="AB30" i="4"/>
  <c r="AB128" i="4"/>
  <c r="AB66" i="4"/>
  <c r="AA26" i="4"/>
  <c r="AB9" i="4"/>
  <c r="AA32" i="4"/>
  <c r="AA106" i="4"/>
  <c r="AA21" i="4"/>
  <c r="AB141" i="4"/>
  <c r="AA113" i="4"/>
  <c r="AA19" i="4"/>
  <c r="AA54" i="4"/>
  <c r="AA149" i="4"/>
  <c r="AA110" i="4"/>
  <c r="AA49" i="4"/>
  <c r="AA79" i="4"/>
  <c r="AA137" i="4"/>
  <c r="AA104" i="4"/>
  <c r="AA65" i="4"/>
  <c r="AA47" i="4"/>
  <c r="AA46" i="4"/>
  <c r="AA64" i="4"/>
  <c r="AA136" i="4"/>
  <c r="AA81" i="4"/>
  <c r="AA24" i="4"/>
  <c r="AA118" i="4"/>
  <c r="AA146" i="4"/>
  <c r="Y11" i="10"/>
  <c r="AI11" i="10"/>
  <c r="V11" i="10"/>
  <c r="V11" i="5"/>
  <c r="Y11" i="5"/>
  <c r="S11" i="5"/>
  <c r="B106" i="2"/>
  <c r="H32" i="1" s="1"/>
  <c r="B109" i="2" s="1"/>
  <c r="AE7" i="4"/>
  <c r="BX7" i="4" s="1"/>
  <c r="I231" i="2" l="1"/>
  <c r="B31" i="5"/>
  <c r="B31" i="10"/>
  <c r="B192" i="2"/>
  <c r="B195" i="2" s="1"/>
  <c r="Z7" i="5" s="1"/>
  <c r="B52" i="10"/>
  <c r="B178" i="2"/>
  <c r="P7" i="5" s="1"/>
  <c r="B228" i="2"/>
  <c r="B267" i="2"/>
  <c r="B52" i="5"/>
  <c r="B53" i="5" s="1"/>
  <c r="B55" i="5" s="1"/>
  <c r="B41" i="10"/>
  <c r="B41" i="5"/>
  <c r="BU7" i="4"/>
  <c r="BU8" i="4"/>
  <c r="B112" i="2"/>
  <c r="K112" i="2" s="1"/>
  <c r="B114" i="2"/>
  <c r="H36" i="1" s="1"/>
  <c r="B113" i="2"/>
  <c r="K113" i="2" s="1"/>
  <c r="BU50" i="4"/>
  <c r="BU22" i="4"/>
  <c r="BU78" i="4"/>
  <c r="BU147" i="4"/>
  <c r="BU151" i="4"/>
  <c r="BU96" i="4"/>
  <c r="BU121" i="4"/>
  <c r="BU142" i="4"/>
  <c r="BU133" i="4"/>
  <c r="BU134" i="4"/>
  <c r="BU74" i="4"/>
  <c r="BU127" i="4"/>
  <c r="BU114" i="4"/>
  <c r="BU36" i="4"/>
  <c r="BU101" i="4"/>
  <c r="BU103" i="4"/>
  <c r="BU115" i="4"/>
  <c r="BU38" i="4"/>
  <c r="BU9" i="4"/>
  <c r="BU132" i="4"/>
  <c r="BU60" i="4"/>
  <c r="BU61" i="4"/>
  <c r="BU120" i="4"/>
  <c r="BU85" i="4"/>
  <c r="BU44" i="4"/>
  <c r="BU131" i="4"/>
  <c r="BU93" i="4"/>
  <c r="BU138" i="4"/>
  <c r="BU125" i="4"/>
  <c r="BU123" i="4"/>
  <c r="BU108" i="4"/>
  <c r="BU62" i="4"/>
  <c r="BU88" i="4"/>
  <c r="BU53" i="4"/>
  <c r="BU51" i="4"/>
  <c r="BU16" i="4"/>
  <c r="BU42" i="4"/>
  <c r="BU100" i="4"/>
  <c r="BU73" i="4"/>
  <c r="BU23" i="4"/>
  <c r="BU35" i="4"/>
  <c r="BU90" i="4"/>
  <c r="BU69" i="4"/>
  <c r="BU66" i="4"/>
  <c r="BU43" i="4"/>
  <c r="BU27" i="4"/>
  <c r="BU20" i="4"/>
  <c r="BU68" i="4"/>
  <c r="BU86" i="4"/>
  <c r="BU15" i="4"/>
  <c r="BU155" i="4"/>
  <c r="BU18" i="4"/>
  <c r="BU11" i="4"/>
  <c r="BU97" i="4"/>
  <c r="BU154" i="4"/>
  <c r="BU152" i="4"/>
  <c r="B53" i="10"/>
  <c r="B55" i="10" s="1"/>
  <c r="BU128" i="4"/>
  <c r="BU84" i="4"/>
  <c r="BU119" i="4"/>
  <c r="BU72" i="4"/>
  <c r="BU92" i="4"/>
  <c r="BU14" i="4"/>
  <c r="BU98" i="4"/>
  <c r="BU139" i="4"/>
  <c r="BU129" i="4"/>
  <c r="BU52" i="4"/>
  <c r="BU67" i="4"/>
  <c r="BU141" i="4"/>
  <c r="BU30" i="4"/>
  <c r="BU13" i="4"/>
  <c r="BU107" i="4"/>
  <c r="BU144" i="4"/>
  <c r="BU71" i="4"/>
  <c r="BU153" i="4"/>
  <c r="BU12" i="4"/>
  <c r="BU63" i="4"/>
  <c r="BU145" i="4"/>
  <c r="BU75" i="4"/>
  <c r="BU150" i="4"/>
  <c r="BU112" i="4"/>
  <c r="BU40" i="4"/>
  <c r="BU83" i="4"/>
  <c r="BU77" i="4"/>
  <c r="BU80" i="4"/>
  <c r="BU76" i="4"/>
  <c r="BU70" i="4"/>
  <c r="BU28" i="4"/>
  <c r="AQ153" i="4"/>
  <c r="AR153" i="4" s="1"/>
  <c r="AS153" i="4" s="1"/>
  <c r="AO154" i="4"/>
  <c r="AQ154" i="4" s="1"/>
  <c r="AR154" i="4" s="1"/>
  <c r="AO152" i="4"/>
  <c r="AN152" i="4" s="1"/>
  <c r="AO122" i="4"/>
  <c r="AQ122" i="4" s="1"/>
  <c r="AR122" i="4" s="1"/>
  <c r="AO150" i="4"/>
  <c r="AQ150" i="4" s="1"/>
  <c r="AR150" i="4" s="1"/>
  <c r="AO157" i="4"/>
  <c r="AN157" i="4" s="1"/>
  <c r="AO126" i="4"/>
  <c r="AN126" i="4" s="1"/>
  <c r="AO133" i="4"/>
  <c r="AN133" i="4" s="1"/>
  <c r="AN121" i="4"/>
  <c r="BI112" i="4"/>
  <c r="AQ72" i="4"/>
  <c r="AR72" i="4" s="1"/>
  <c r="AS72" i="4" s="1"/>
  <c r="BI154" i="4"/>
  <c r="AH10" i="4"/>
  <c r="AJ10" i="4" s="1"/>
  <c r="BU10" i="4"/>
  <c r="AH135" i="4"/>
  <c r="BU135" i="4"/>
  <c r="AH99" i="4"/>
  <c r="BU99" i="4"/>
  <c r="AH58" i="4"/>
  <c r="BU58" i="4"/>
  <c r="AH56" i="4"/>
  <c r="BU56" i="4"/>
  <c r="AH41" i="4"/>
  <c r="BU41" i="4"/>
  <c r="AH130" i="4"/>
  <c r="BU130" i="4"/>
  <c r="AH109" i="4"/>
  <c r="BU109" i="4"/>
  <c r="AH105" i="4"/>
  <c r="BU105" i="4"/>
  <c r="AH31" i="4"/>
  <c r="BU31" i="4"/>
  <c r="AH95" i="4"/>
  <c r="BU95" i="4"/>
  <c r="AH87" i="4"/>
  <c r="BU87" i="4"/>
  <c r="AH57" i="4"/>
  <c r="BU57" i="4"/>
  <c r="AH89" i="4"/>
  <c r="BU89" i="4"/>
  <c r="AH45" i="4"/>
  <c r="BU45" i="4"/>
  <c r="AH34" i="4"/>
  <c r="AJ34" i="4" s="1"/>
  <c r="BU34" i="4"/>
  <c r="AH17" i="4"/>
  <c r="AJ17" i="4" s="1"/>
  <c r="BU17" i="4"/>
  <c r="AH29" i="4"/>
  <c r="BU29" i="4"/>
  <c r="AH33" i="4"/>
  <c r="BU33" i="4"/>
  <c r="AH25" i="4"/>
  <c r="BU25" i="4"/>
  <c r="AH55" i="4"/>
  <c r="BU55" i="4"/>
  <c r="AH116" i="4"/>
  <c r="BU116" i="4"/>
  <c r="AH91" i="4"/>
  <c r="BU91" i="4"/>
  <c r="AH37" i="4"/>
  <c r="BU37" i="4"/>
  <c r="AN42" i="4"/>
  <c r="AS42" i="4" s="1"/>
  <c r="AD133" i="4"/>
  <c r="AE133" i="4" s="1"/>
  <c r="BX133" i="4" s="1"/>
  <c r="AH133" i="4"/>
  <c r="AD13" i="4"/>
  <c r="AE13" i="4" s="1"/>
  <c r="BX13" i="4" s="1"/>
  <c r="AH13" i="4"/>
  <c r="AJ13" i="4" s="1"/>
  <c r="AD127" i="4"/>
  <c r="AE127" i="4" s="1"/>
  <c r="BX127" i="4" s="1"/>
  <c r="AH127" i="4"/>
  <c r="AJ127" i="4" s="1"/>
  <c r="AD147" i="4"/>
  <c r="AE147" i="4" s="1"/>
  <c r="BX147" i="4" s="1"/>
  <c r="AH147" i="4"/>
  <c r="AJ147" i="4" s="1"/>
  <c r="AD76" i="4"/>
  <c r="AE76" i="4" s="1"/>
  <c r="BX76" i="4" s="1"/>
  <c r="AH76" i="4"/>
  <c r="AD73" i="4"/>
  <c r="AE73" i="4" s="1"/>
  <c r="BX73" i="4" s="1"/>
  <c r="AH73" i="4"/>
  <c r="AJ73" i="4" s="1"/>
  <c r="AD62" i="4"/>
  <c r="AE62" i="4" s="1"/>
  <c r="BX62" i="4" s="1"/>
  <c r="AH62" i="4"/>
  <c r="AD145" i="4"/>
  <c r="AE145" i="4" s="1"/>
  <c r="BX145" i="4" s="1"/>
  <c r="AH145" i="4"/>
  <c r="AJ145" i="4" s="1"/>
  <c r="AD75" i="4"/>
  <c r="AE75" i="4" s="1"/>
  <c r="BX75" i="4" s="1"/>
  <c r="AH75" i="4"/>
  <c r="AD66" i="4"/>
  <c r="AE66" i="4" s="1"/>
  <c r="BX66" i="4" s="1"/>
  <c r="AH66" i="4"/>
  <c r="AJ66" i="4" s="1"/>
  <c r="AD30" i="4"/>
  <c r="AE30" i="4" s="1"/>
  <c r="BX30" i="4" s="1"/>
  <c r="AH30" i="4"/>
  <c r="AJ30" i="4" s="1"/>
  <c r="AD96" i="4"/>
  <c r="AE96" i="4" s="1"/>
  <c r="BX96" i="4" s="1"/>
  <c r="AH96" i="4"/>
  <c r="AJ96" i="4" s="1"/>
  <c r="AD84" i="4"/>
  <c r="AE84" i="4" s="1"/>
  <c r="BX84" i="4" s="1"/>
  <c r="AH84" i="4"/>
  <c r="AJ84" i="4" s="1"/>
  <c r="AD50" i="4"/>
  <c r="AE50" i="4" s="1"/>
  <c r="BX50" i="4" s="1"/>
  <c r="AH50" i="4"/>
  <c r="AJ50" i="4" s="1"/>
  <c r="AD27" i="4"/>
  <c r="AE27" i="4" s="1"/>
  <c r="BX27" i="4" s="1"/>
  <c r="AH27" i="4"/>
  <c r="AJ27" i="4" s="1"/>
  <c r="AD22" i="4"/>
  <c r="AE22" i="4" s="1"/>
  <c r="BX22" i="4" s="1"/>
  <c r="AH22" i="4"/>
  <c r="AJ22" i="4" s="1"/>
  <c r="AD20" i="4"/>
  <c r="AE20" i="4" s="1"/>
  <c r="BX20" i="4" s="1"/>
  <c r="AH20" i="4"/>
  <c r="AJ20" i="4" s="1"/>
  <c r="AD78" i="4"/>
  <c r="AE78" i="4" s="1"/>
  <c r="BX78" i="4" s="1"/>
  <c r="AH78" i="4"/>
  <c r="AJ78" i="4" s="1"/>
  <c r="AD16" i="4"/>
  <c r="AE16" i="4" s="1"/>
  <c r="BX16" i="4" s="1"/>
  <c r="AH16" i="4"/>
  <c r="AD80" i="4"/>
  <c r="AE80" i="4" s="1"/>
  <c r="BX80" i="4" s="1"/>
  <c r="AH80" i="4"/>
  <c r="AJ80" i="4" s="1"/>
  <c r="AD153" i="4"/>
  <c r="AE153" i="4" s="1"/>
  <c r="BX153" i="4" s="1"/>
  <c r="AH153" i="4"/>
  <c r="AJ153" i="4" s="1"/>
  <c r="AD44" i="4"/>
  <c r="AE44" i="4" s="1"/>
  <c r="BX44" i="4" s="1"/>
  <c r="AH44" i="4"/>
  <c r="AJ44" i="4" s="1"/>
  <c r="AD12" i="4"/>
  <c r="AE12" i="4" s="1"/>
  <c r="BX12" i="4" s="1"/>
  <c r="AH12" i="4"/>
  <c r="AJ12" i="4" s="1"/>
  <c r="AD131" i="4"/>
  <c r="AE131" i="4" s="1"/>
  <c r="BX131" i="4" s="1"/>
  <c r="AH131" i="4"/>
  <c r="AJ131" i="4" s="1"/>
  <c r="AD139" i="4"/>
  <c r="AE139" i="4" s="1"/>
  <c r="BX139" i="4" s="1"/>
  <c r="AH139" i="4"/>
  <c r="AJ139" i="4" s="1"/>
  <c r="AD93" i="4"/>
  <c r="AE93" i="4" s="1"/>
  <c r="BX93" i="4" s="1"/>
  <c r="AH93" i="4"/>
  <c r="AJ93" i="4" s="1"/>
  <c r="AD23" i="4"/>
  <c r="AE23" i="4" s="1"/>
  <c r="BX23" i="4" s="1"/>
  <c r="AH23" i="4"/>
  <c r="AJ23" i="4" s="1"/>
  <c r="AD121" i="4"/>
  <c r="AE121" i="4" s="1"/>
  <c r="BX121" i="4" s="1"/>
  <c r="AH121" i="4"/>
  <c r="AJ121" i="4" s="1"/>
  <c r="AD52" i="4"/>
  <c r="AE52" i="4" s="1"/>
  <c r="BX52" i="4" s="1"/>
  <c r="AH52" i="4"/>
  <c r="AD38" i="4"/>
  <c r="AE38" i="4" s="1"/>
  <c r="BX38" i="4" s="1"/>
  <c r="AH38" i="4"/>
  <c r="AJ38" i="4" s="1"/>
  <c r="AD97" i="4"/>
  <c r="AE97" i="4" s="1"/>
  <c r="BX97" i="4" s="1"/>
  <c r="AH97" i="4"/>
  <c r="AD132" i="4"/>
  <c r="AE132" i="4" s="1"/>
  <c r="BX132" i="4" s="1"/>
  <c r="AH132" i="4"/>
  <c r="AJ132" i="4" s="1"/>
  <c r="AD74" i="4"/>
  <c r="AE74" i="4" s="1"/>
  <c r="BX74" i="4" s="1"/>
  <c r="AH74" i="4"/>
  <c r="AJ74" i="4" s="1"/>
  <c r="AD100" i="4"/>
  <c r="AE100" i="4" s="1"/>
  <c r="BX100" i="4" s="1"/>
  <c r="AH100" i="4"/>
  <c r="AJ100" i="4" s="1"/>
  <c r="AD18" i="4"/>
  <c r="AE18" i="4" s="1"/>
  <c r="BX18" i="4" s="1"/>
  <c r="AH18" i="4"/>
  <c r="AJ18" i="4" s="1"/>
  <c r="AD69" i="4"/>
  <c r="AE69" i="4" s="1"/>
  <c r="BX69" i="4" s="1"/>
  <c r="AH69" i="4"/>
  <c r="AD141" i="4"/>
  <c r="AE141" i="4" s="1"/>
  <c r="BX141" i="4" s="1"/>
  <c r="AH141" i="4"/>
  <c r="AJ141" i="4" s="1"/>
  <c r="AD128" i="4"/>
  <c r="AE128" i="4" s="1"/>
  <c r="BX128" i="4" s="1"/>
  <c r="AH128" i="4"/>
  <c r="AJ128" i="4" s="1"/>
  <c r="AD40" i="4"/>
  <c r="AE40" i="4" s="1"/>
  <c r="BX40" i="4" s="1"/>
  <c r="AH40" i="4"/>
  <c r="AJ40" i="4" s="1"/>
  <c r="AD88" i="4"/>
  <c r="AE88" i="4" s="1"/>
  <c r="BX88" i="4" s="1"/>
  <c r="AH88" i="4"/>
  <c r="AJ88" i="4" s="1"/>
  <c r="AD67" i="4"/>
  <c r="AE67" i="4" s="1"/>
  <c r="BX67" i="4" s="1"/>
  <c r="AH67" i="4"/>
  <c r="AJ67" i="4" s="1"/>
  <c r="AD60" i="4"/>
  <c r="AE60" i="4" s="1"/>
  <c r="BX60" i="4" s="1"/>
  <c r="AH60" i="4"/>
  <c r="AJ60" i="4" s="1"/>
  <c r="AD107" i="4"/>
  <c r="AE107" i="4" s="1"/>
  <c r="BX107" i="4" s="1"/>
  <c r="AH107" i="4"/>
  <c r="AD61" i="4"/>
  <c r="AE61" i="4" s="1"/>
  <c r="BX61" i="4" s="1"/>
  <c r="AH61" i="4"/>
  <c r="AJ61" i="4" s="1"/>
  <c r="AD144" i="4"/>
  <c r="AE144" i="4" s="1"/>
  <c r="BX144" i="4" s="1"/>
  <c r="AH144" i="4"/>
  <c r="AJ144" i="4" s="1"/>
  <c r="AD72" i="4"/>
  <c r="AE72" i="4" s="1"/>
  <c r="BX72" i="4" s="1"/>
  <c r="AH72" i="4"/>
  <c r="AD92" i="4"/>
  <c r="AE92" i="4" s="1"/>
  <c r="BX92" i="4" s="1"/>
  <c r="AH92" i="4"/>
  <c r="AJ92" i="4" s="1"/>
  <c r="AD114" i="4"/>
  <c r="AE114" i="4" s="1"/>
  <c r="BX114" i="4" s="1"/>
  <c r="AH114" i="4"/>
  <c r="AJ114" i="4" s="1"/>
  <c r="AD86" i="4"/>
  <c r="AE86" i="4" s="1"/>
  <c r="BX86" i="4" s="1"/>
  <c r="AH86" i="4"/>
  <c r="AJ86" i="4" s="1"/>
  <c r="AD15" i="4"/>
  <c r="AE15" i="4" s="1"/>
  <c r="BX15" i="4" s="1"/>
  <c r="AH15" i="4"/>
  <c r="AJ15" i="4" s="1"/>
  <c r="AD151" i="4"/>
  <c r="AE151" i="4" s="1"/>
  <c r="BX151" i="4" s="1"/>
  <c r="AH151" i="4"/>
  <c r="AJ151" i="4" s="1"/>
  <c r="AD155" i="4"/>
  <c r="AE155" i="4" s="1"/>
  <c r="BX155" i="4" s="1"/>
  <c r="AH155" i="4"/>
  <c r="AD101" i="4"/>
  <c r="AE101" i="4" s="1"/>
  <c r="BX101" i="4" s="1"/>
  <c r="AH101" i="4"/>
  <c r="AJ101" i="4" s="1"/>
  <c r="AD129" i="4"/>
  <c r="AE129" i="4" s="1"/>
  <c r="BX129" i="4" s="1"/>
  <c r="AH129" i="4"/>
  <c r="AJ129" i="4" s="1"/>
  <c r="AD103" i="4"/>
  <c r="AE103" i="4" s="1"/>
  <c r="BX103" i="4" s="1"/>
  <c r="AH103" i="4"/>
  <c r="AJ103" i="4" s="1"/>
  <c r="AD138" i="4"/>
  <c r="AE138" i="4" s="1"/>
  <c r="BX138" i="4" s="1"/>
  <c r="AH138" i="4"/>
  <c r="AJ138" i="4" s="1"/>
  <c r="AQ91" i="4"/>
  <c r="AR91" i="4" s="1"/>
  <c r="AS91" i="4" s="1"/>
  <c r="AD28" i="4"/>
  <c r="AE28" i="4" s="1"/>
  <c r="BX28" i="4" s="1"/>
  <c r="AH28" i="4"/>
  <c r="AJ28" i="4" s="1"/>
  <c r="AQ102" i="4"/>
  <c r="AR102" i="4" s="1"/>
  <c r="AS102" i="4" s="1"/>
  <c r="AD115" i="4"/>
  <c r="AE115" i="4" s="1"/>
  <c r="BX115" i="4" s="1"/>
  <c r="AH115" i="4"/>
  <c r="AJ115" i="4" s="1"/>
  <c r="AD35" i="4"/>
  <c r="AE35" i="4" s="1"/>
  <c r="BX35" i="4" s="1"/>
  <c r="AH35" i="4"/>
  <c r="AJ35" i="4" s="1"/>
  <c r="AD90" i="4"/>
  <c r="AE90" i="4" s="1"/>
  <c r="BX90" i="4" s="1"/>
  <c r="AH90" i="4"/>
  <c r="AD150" i="4"/>
  <c r="AE150" i="4" s="1"/>
  <c r="BX150" i="4" s="1"/>
  <c r="AH150" i="4"/>
  <c r="AD154" i="4"/>
  <c r="AE154" i="4" s="1"/>
  <c r="BX154" i="4" s="1"/>
  <c r="AH154" i="4"/>
  <c r="AJ154" i="4" s="1"/>
  <c r="AD152" i="4"/>
  <c r="AE152" i="4" s="1"/>
  <c r="BX152" i="4" s="1"/>
  <c r="AH152" i="4"/>
  <c r="AD134" i="4"/>
  <c r="AE134" i="4" s="1"/>
  <c r="BX134" i="4" s="1"/>
  <c r="AH134" i="4"/>
  <c r="AJ134" i="4" s="1"/>
  <c r="AD119" i="4"/>
  <c r="AE119" i="4" s="1"/>
  <c r="BX119" i="4" s="1"/>
  <c r="AH119" i="4"/>
  <c r="AJ119" i="4" s="1"/>
  <c r="AD68" i="4"/>
  <c r="AE68" i="4" s="1"/>
  <c r="BX68" i="4" s="1"/>
  <c r="AH68" i="4"/>
  <c r="AJ68" i="4" s="1"/>
  <c r="AD42" i="4"/>
  <c r="AE42" i="4" s="1"/>
  <c r="BX42" i="4" s="1"/>
  <c r="AH42" i="4"/>
  <c r="AJ42" i="4" s="1"/>
  <c r="AD70" i="4"/>
  <c r="AE70" i="4" s="1"/>
  <c r="BX70" i="4" s="1"/>
  <c r="AH70" i="4"/>
  <c r="AJ70" i="4" s="1"/>
  <c r="AD112" i="4"/>
  <c r="AE112" i="4" s="1"/>
  <c r="BX112" i="4" s="1"/>
  <c r="AH112" i="4"/>
  <c r="AJ112" i="4" s="1"/>
  <c r="AD123" i="4"/>
  <c r="AE123" i="4" s="1"/>
  <c r="BX123" i="4" s="1"/>
  <c r="AH123" i="4"/>
  <c r="AD108" i="4"/>
  <c r="AE108" i="4" s="1"/>
  <c r="BX108" i="4" s="1"/>
  <c r="AH108" i="4"/>
  <c r="AD142" i="4"/>
  <c r="AE142" i="4" s="1"/>
  <c r="BX142" i="4" s="1"/>
  <c r="AH142" i="4"/>
  <c r="AD9" i="4"/>
  <c r="AE9" i="4" s="1"/>
  <c r="BX9" i="4" s="1"/>
  <c r="AH9" i="4"/>
  <c r="AJ9" i="4" s="1"/>
  <c r="AD43" i="4"/>
  <c r="AE43" i="4" s="1"/>
  <c r="BX43" i="4" s="1"/>
  <c r="AH43" i="4"/>
  <c r="AJ43" i="4" s="1"/>
  <c r="AD8" i="4"/>
  <c r="AE8" i="4" s="1"/>
  <c r="AJ8" i="4"/>
  <c r="AD53" i="4"/>
  <c r="AE53" i="4" s="1"/>
  <c r="BX53" i="4" s="1"/>
  <c r="AH53" i="4"/>
  <c r="AJ53" i="4" s="1"/>
  <c r="AD83" i="4"/>
  <c r="AE83" i="4" s="1"/>
  <c r="BX83" i="4" s="1"/>
  <c r="AH83" i="4"/>
  <c r="AD51" i="4"/>
  <c r="AE51" i="4" s="1"/>
  <c r="BX51" i="4" s="1"/>
  <c r="AH51" i="4"/>
  <c r="AJ51" i="4" s="1"/>
  <c r="AD77" i="4"/>
  <c r="AE77" i="4" s="1"/>
  <c r="BX77" i="4" s="1"/>
  <c r="AH77" i="4"/>
  <c r="AJ77" i="4" s="1"/>
  <c r="AD120" i="4"/>
  <c r="AE120" i="4" s="1"/>
  <c r="BX120" i="4" s="1"/>
  <c r="AH120" i="4"/>
  <c r="AD71" i="4"/>
  <c r="AE71" i="4" s="1"/>
  <c r="BX71" i="4" s="1"/>
  <c r="AH71" i="4"/>
  <c r="AJ71" i="4" s="1"/>
  <c r="AD85" i="4"/>
  <c r="AE85" i="4" s="1"/>
  <c r="BX85" i="4" s="1"/>
  <c r="AH85" i="4"/>
  <c r="AJ85" i="4" s="1"/>
  <c r="AD14" i="4"/>
  <c r="AE14" i="4" s="1"/>
  <c r="BX14" i="4" s="1"/>
  <c r="AH14" i="4"/>
  <c r="AJ14" i="4" s="1"/>
  <c r="AD98" i="4"/>
  <c r="AE98" i="4" s="1"/>
  <c r="BX98" i="4" s="1"/>
  <c r="AH98" i="4"/>
  <c r="AJ98" i="4" s="1"/>
  <c r="AD36" i="4"/>
  <c r="AE36" i="4" s="1"/>
  <c r="BX36" i="4" s="1"/>
  <c r="AH36" i="4"/>
  <c r="AJ36" i="4" s="1"/>
  <c r="AD63" i="4"/>
  <c r="AE63" i="4" s="1"/>
  <c r="BX63" i="4" s="1"/>
  <c r="AH63" i="4"/>
  <c r="AJ63" i="4" s="1"/>
  <c r="AD125" i="4"/>
  <c r="AE125" i="4" s="1"/>
  <c r="BX125" i="4" s="1"/>
  <c r="AH125" i="4"/>
  <c r="AJ125" i="4" s="1"/>
  <c r="AD11" i="4"/>
  <c r="AE11" i="4" s="1"/>
  <c r="BX11" i="4" s="1"/>
  <c r="AH11" i="4"/>
  <c r="AJ11" i="4" s="1"/>
  <c r="AN105" i="4"/>
  <c r="AS105" i="4" s="1"/>
  <c r="BI130" i="4"/>
  <c r="AN85" i="4"/>
  <c r="AS85" i="4" s="1"/>
  <c r="AQ155" i="4"/>
  <c r="AQ121" i="4"/>
  <c r="AR121" i="4" s="1"/>
  <c r="BI21" i="4"/>
  <c r="BI157" i="4"/>
  <c r="AB140" i="4"/>
  <c r="BU140" i="4" s="1"/>
  <c r="AN56" i="4"/>
  <c r="AS56" i="4" s="1"/>
  <c r="BI145" i="4"/>
  <c r="AQ9" i="4"/>
  <c r="AR9" i="4" s="1"/>
  <c r="AS9" i="4" s="1"/>
  <c r="AN66" i="4"/>
  <c r="AS66" i="4" s="1"/>
  <c r="BI54" i="4"/>
  <c r="AN35" i="4"/>
  <c r="AS35" i="4" s="1"/>
  <c r="BI152" i="4"/>
  <c r="AB39" i="4"/>
  <c r="BU39" i="4" s="1"/>
  <c r="BI19" i="4"/>
  <c r="AQ17" i="4"/>
  <c r="AR17" i="4" s="1"/>
  <c r="AQ50" i="4"/>
  <c r="AR50" i="4" s="1"/>
  <c r="AQ89" i="4"/>
  <c r="AR89" i="4" s="1"/>
  <c r="BI149" i="4"/>
  <c r="AN27" i="4"/>
  <c r="AN109" i="4"/>
  <c r="AB59" i="4"/>
  <c r="BU59" i="4" s="1"/>
  <c r="AN89" i="4"/>
  <c r="AN141" i="4"/>
  <c r="AQ94" i="4"/>
  <c r="AR94" i="4" s="1"/>
  <c r="BI49" i="4"/>
  <c r="BQ8" i="4"/>
  <c r="AN50" i="4"/>
  <c r="AN16" i="4"/>
  <c r="AN20" i="4"/>
  <c r="AS20" i="4" s="1"/>
  <c r="AQ93" i="4"/>
  <c r="AR93" i="4" s="1"/>
  <c r="BI41" i="4"/>
  <c r="BI37" i="4"/>
  <c r="BI59" i="4"/>
  <c r="AN12" i="4"/>
  <c r="AN13" i="4"/>
  <c r="AS13" i="4" s="1"/>
  <c r="AQ101" i="4"/>
  <c r="AR101" i="4" s="1"/>
  <c r="AS101" i="4" s="1"/>
  <c r="AQ62" i="4"/>
  <c r="AR62" i="4" s="1"/>
  <c r="AS62" i="4" s="1"/>
  <c r="AQ76" i="4"/>
  <c r="AR76" i="4" s="1"/>
  <c r="AN30" i="4"/>
  <c r="AN80" i="4"/>
  <c r="AN61" i="4"/>
  <c r="AN151" i="4"/>
  <c r="AQ141" i="4"/>
  <c r="AR141" i="4" s="1"/>
  <c r="AQ27" i="4"/>
  <c r="AR27" i="4" s="1"/>
  <c r="BI69" i="4"/>
  <c r="BI32" i="4"/>
  <c r="BI137" i="4"/>
  <c r="AQ109" i="4"/>
  <c r="AR109" i="4" s="1"/>
  <c r="AQ12" i="4"/>
  <c r="AR12" i="4" s="1"/>
  <c r="AQ16" i="4"/>
  <c r="AR16" i="4" s="1"/>
  <c r="AN17" i="4"/>
  <c r="AN76" i="4"/>
  <c r="AQ30" i="4"/>
  <c r="AR30" i="4" s="1"/>
  <c r="AQ80" i="4"/>
  <c r="AR80" i="4" s="1"/>
  <c r="AQ61" i="4"/>
  <c r="AR61" i="4" s="1"/>
  <c r="AQ151" i="4"/>
  <c r="AR151" i="4" s="1"/>
  <c r="AN93" i="4"/>
  <c r="AN39" i="4"/>
  <c r="AQ39" i="4"/>
  <c r="AR39" i="4" s="1"/>
  <c r="AN69" i="4"/>
  <c r="AQ69" i="4"/>
  <c r="AR69" i="4" s="1"/>
  <c r="AN75" i="4"/>
  <c r="AN88" i="4"/>
  <c r="AQ73" i="4"/>
  <c r="AR73" i="4" s="1"/>
  <c r="AN125" i="4"/>
  <c r="AS125" i="4" s="1"/>
  <c r="AN138" i="4"/>
  <c r="AS138" i="4" s="1"/>
  <c r="AN115" i="4"/>
  <c r="AS115" i="4" s="1"/>
  <c r="AQ57" i="4"/>
  <c r="AR57" i="4" s="1"/>
  <c r="AN111" i="4"/>
  <c r="AS111" i="4" s="1"/>
  <c r="AN11" i="4"/>
  <c r="AS11" i="4" s="1"/>
  <c r="AN94" i="4"/>
  <c r="AQ63" i="4"/>
  <c r="AR63" i="4" s="1"/>
  <c r="AN53" i="4"/>
  <c r="AN45" i="4"/>
  <c r="AS45" i="4" s="1"/>
  <c r="AN29" i="4"/>
  <c r="AN34" i="4"/>
  <c r="AQ70" i="4"/>
  <c r="AR70" i="4" s="1"/>
  <c r="AQ131" i="4"/>
  <c r="AQ139" i="4"/>
  <c r="AR139" i="4" s="1"/>
  <c r="AS139" i="4" s="1"/>
  <c r="AQ52" i="4"/>
  <c r="AR52" i="4" s="1"/>
  <c r="AN15" i="4"/>
  <c r="AN147" i="4"/>
  <c r="AS147" i="4" s="1"/>
  <c r="AQ88" i="4"/>
  <c r="AR88" i="4" s="1"/>
  <c r="AN129" i="4"/>
  <c r="AS129" i="4" s="1"/>
  <c r="AQ55" i="4"/>
  <c r="AR55" i="4" s="1"/>
  <c r="AS55" i="4" s="1"/>
  <c r="AN31" i="4"/>
  <c r="AQ51" i="4"/>
  <c r="AR51" i="4" s="1"/>
  <c r="AN58" i="4"/>
  <c r="AQ84" i="4"/>
  <c r="AR84" i="4" s="1"/>
  <c r="AS84" i="4" s="1"/>
  <c r="AQ144" i="4"/>
  <c r="AR144" i="4" s="1"/>
  <c r="AQ43" i="4"/>
  <c r="AR43" i="4" s="1"/>
  <c r="AN77" i="4"/>
  <c r="AS77" i="4" s="1"/>
  <c r="AN103" i="4"/>
  <c r="AN119" i="4"/>
  <c r="AN37" i="4"/>
  <c r="AS37" i="4" s="1"/>
  <c r="AN25" i="4"/>
  <c r="AQ38" i="4"/>
  <c r="AR38" i="4" s="1"/>
  <c r="AQ25" i="4"/>
  <c r="AR25" i="4" s="1"/>
  <c r="AN57" i="4"/>
  <c r="AN38" i="4"/>
  <c r="AQ31" i="4"/>
  <c r="AR31" i="4" s="1"/>
  <c r="AN51" i="4"/>
  <c r="AQ82" i="4"/>
  <c r="AR82" i="4" s="1"/>
  <c r="AN90" i="4"/>
  <c r="AN33" i="4"/>
  <c r="AS33" i="4" s="1"/>
  <c r="AQ135" i="4"/>
  <c r="AR135" i="4" s="1"/>
  <c r="AS135" i="4" s="1"/>
  <c r="AN127" i="4"/>
  <c r="AN67" i="4"/>
  <c r="AQ41" i="4"/>
  <c r="AR41" i="4" s="1"/>
  <c r="AQ59" i="4"/>
  <c r="AR59" i="4" s="1"/>
  <c r="AS59" i="4" s="1"/>
  <c r="AQ8" i="4"/>
  <c r="AR8" i="4" s="1"/>
  <c r="AQ23" i="4"/>
  <c r="AR23" i="4" s="1"/>
  <c r="AQ97" i="4"/>
  <c r="AR97" i="4" s="1"/>
  <c r="AN97" i="4"/>
  <c r="AN23" i="4"/>
  <c r="AQ67" i="4"/>
  <c r="AR67" i="4" s="1"/>
  <c r="AN43" i="4"/>
  <c r="AO116" i="4"/>
  <c r="AQ127" i="4"/>
  <c r="AQ58" i="4"/>
  <c r="AR58" i="4" s="1"/>
  <c r="AN144" i="4"/>
  <c r="AQ29" i="4"/>
  <c r="AR29" i="4" s="1"/>
  <c r="BI104" i="4"/>
  <c r="BI64" i="4"/>
  <c r="BI111" i="4"/>
  <c r="AB126" i="4"/>
  <c r="BU126" i="4" s="1"/>
  <c r="AO130" i="4"/>
  <c r="AN130" i="4" s="1"/>
  <c r="BI136" i="4"/>
  <c r="AN41" i="4"/>
  <c r="AB102" i="4"/>
  <c r="BU102" i="4" s="1"/>
  <c r="AB111" i="4"/>
  <c r="BU111" i="4" s="1"/>
  <c r="AQ119" i="4"/>
  <c r="AR119" i="4" s="1"/>
  <c r="AQ15" i="4"/>
  <c r="AR15" i="4" s="1"/>
  <c r="AN63" i="4"/>
  <c r="AN73" i="4"/>
  <c r="AQ53" i="4"/>
  <c r="AR53" i="4" s="1"/>
  <c r="BI26" i="4"/>
  <c r="AN8" i="4"/>
  <c r="BI123" i="4"/>
  <c r="AO110" i="4"/>
  <c r="AB122" i="4"/>
  <c r="BU122" i="4" s="1"/>
  <c r="AO21" i="4"/>
  <c r="AN70" i="4"/>
  <c r="AQ103" i="4"/>
  <c r="AR103" i="4" s="1"/>
  <c r="AQ34" i="4"/>
  <c r="AR34" i="4" s="1"/>
  <c r="AO137" i="4"/>
  <c r="AO19" i="4"/>
  <c r="AN19" i="4" s="1"/>
  <c r="AO156" i="4"/>
  <c r="AO148" i="4"/>
  <c r="AQ148" i="4" s="1"/>
  <c r="AR148" i="4" s="1"/>
  <c r="BI97" i="4"/>
  <c r="BI126" i="4"/>
  <c r="BI142" i="4"/>
  <c r="AO113" i="4"/>
  <c r="AN131" i="4"/>
  <c r="AO146" i="4"/>
  <c r="AO136" i="4"/>
  <c r="AQ136" i="4" s="1"/>
  <c r="AR136" i="4" s="1"/>
  <c r="AO24" i="4"/>
  <c r="AO143" i="4"/>
  <c r="AO117" i="4"/>
  <c r="AQ117" i="4" s="1"/>
  <c r="AR117" i="4" s="1"/>
  <c r="AO124" i="4"/>
  <c r="AO145" i="4"/>
  <c r="AO108" i="4"/>
  <c r="BI90" i="4"/>
  <c r="BI91" i="4"/>
  <c r="BI150" i="4"/>
  <c r="BI122" i="4"/>
  <c r="AO142" i="4"/>
  <c r="AO54" i="4"/>
  <c r="AO49" i="4"/>
  <c r="AN49" i="4" s="1"/>
  <c r="AO65" i="4"/>
  <c r="AO149" i="4"/>
  <c r="AO81" i="4"/>
  <c r="AQ81" i="4" s="1"/>
  <c r="AR81" i="4" s="1"/>
  <c r="AO123" i="4"/>
  <c r="AO140" i="4"/>
  <c r="BI140" i="4"/>
  <c r="AB94" i="4"/>
  <c r="BU94" i="4" s="1"/>
  <c r="AQ90" i="4"/>
  <c r="AR90" i="4" s="1"/>
  <c r="AN52" i="4"/>
  <c r="BI156" i="4"/>
  <c r="BI48" i="4"/>
  <c r="BI148" i="4"/>
  <c r="AQ75" i="4"/>
  <c r="AR75" i="4" s="1"/>
  <c r="BI143" i="4"/>
  <c r="BI117" i="4"/>
  <c r="BI82" i="4"/>
  <c r="BI124" i="4"/>
  <c r="AN82" i="4"/>
  <c r="AS83" i="4"/>
  <c r="AS99" i="4"/>
  <c r="AS40" i="4"/>
  <c r="AS87" i="4"/>
  <c r="AS98" i="4"/>
  <c r="AS86" i="4"/>
  <c r="AS68" i="4"/>
  <c r="AS10" i="4"/>
  <c r="AS14" i="4"/>
  <c r="AS120" i="4"/>
  <c r="AS28" i="4"/>
  <c r="AS71" i="4"/>
  <c r="AS95" i="4"/>
  <c r="AS78" i="4"/>
  <c r="AS36" i="4"/>
  <c r="AS74" i="4"/>
  <c r="AS22" i="4"/>
  <c r="AS60" i="4"/>
  <c r="AS18" i="4"/>
  <c r="AQ32" i="4"/>
  <c r="AR32" i="4" s="1"/>
  <c r="AN32" i="4"/>
  <c r="AQ112" i="4"/>
  <c r="AR112" i="4" s="1"/>
  <c r="AN112" i="4"/>
  <c r="AN26" i="4"/>
  <c r="AQ26" i="4"/>
  <c r="AR26" i="4" s="1"/>
  <c r="AQ134" i="4"/>
  <c r="AR134" i="4" s="1"/>
  <c r="AN134" i="4"/>
  <c r="AQ114" i="4"/>
  <c r="AR114" i="4" s="1"/>
  <c r="AN114" i="4"/>
  <c r="AQ44" i="4"/>
  <c r="AR44" i="4" s="1"/>
  <c r="AN44" i="4"/>
  <c r="AN96" i="4"/>
  <c r="AQ96" i="4"/>
  <c r="AR96" i="4" s="1"/>
  <c r="AQ132" i="4"/>
  <c r="AR132" i="4" s="1"/>
  <c r="AN132" i="4"/>
  <c r="AQ128" i="4"/>
  <c r="AR128" i="4" s="1"/>
  <c r="AN128" i="4"/>
  <c r="AN64" i="4"/>
  <c r="AQ64" i="4"/>
  <c r="AR64" i="4" s="1"/>
  <c r="AO47" i="4"/>
  <c r="AQ92" i="4"/>
  <c r="AR92" i="4" s="1"/>
  <c r="AN92" i="4"/>
  <c r="AO118" i="4"/>
  <c r="AQ79" i="4"/>
  <c r="AR79" i="4" s="1"/>
  <c r="AN79" i="4"/>
  <c r="AN106" i="4"/>
  <c r="AQ106" i="4"/>
  <c r="AR106" i="4" s="1"/>
  <c r="AO104" i="4"/>
  <c r="AO46" i="4"/>
  <c r="AN100" i="4"/>
  <c r="AQ100" i="4"/>
  <c r="AR100" i="4" s="1"/>
  <c r="AQ48" i="4"/>
  <c r="AR48" i="4" s="1"/>
  <c r="AN48" i="4"/>
  <c r="AB82" i="4"/>
  <c r="BU82" i="4" s="1"/>
  <c r="AB48" i="4"/>
  <c r="BU48" i="4" s="1"/>
  <c r="AB143" i="4"/>
  <c r="BU143" i="4" s="1"/>
  <c r="AB157" i="4"/>
  <c r="BU157" i="4" s="1"/>
  <c r="AB124" i="4"/>
  <c r="BU124" i="4" s="1"/>
  <c r="AB156" i="4"/>
  <c r="BU156" i="4" s="1"/>
  <c r="AB117" i="4"/>
  <c r="BU117" i="4" s="1"/>
  <c r="AB148" i="4"/>
  <c r="BU148" i="4" s="1"/>
  <c r="AB46" i="4"/>
  <c r="BU46" i="4" s="1"/>
  <c r="AB49" i="4"/>
  <c r="BU49" i="4" s="1"/>
  <c r="AB54" i="4"/>
  <c r="BU54" i="4" s="1"/>
  <c r="AB19" i="4"/>
  <c r="BU19" i="4" s="1"/>
  <c r="AB104" i="4"/>
  <c r="BU104" i="4" s="1"/>
  <c r="AB106" i="4"/>
  <c r="BU106" i="4" s="1"/>
  <c r="AB110" i="4"/>
  <c r="BU110" i="4" s="1"/>
  <c r="AB79" i="4"/>
  <c r="BU79" i="4" s="1"/>
  <c r="AB26" i="4"/>
  <c r="BU26" i="4" s="1"/>
  <c r="AB21" i="4"/>
  <c r="BU21" i="4" s="1"/>
  <c r="AB113" i="4"/>
  <c r="BU113" i="4" s="1"/>
  <c r="AB32" i="4"/>
  <c r="BU32" i="4" s="1"/>
  <c r="AB149" i="4"/>
  <c r="BU149" i="4" s="1"/>
  <c r="AB146" i="4"/>
  <c r="BU146" i="4" s="1"/>
  <c r="AB136" i="4"/>
  <c r="BU136" i="4" s="1"/>
  <c r="AB65" i="4"/>
  <c r="BU65" i="4" s="1"/>
  <c r="AB118" i="4"/>
  <c r="BU118" i="4" s="1"/>
  <c r="AB64" i="4"/>
  <c r="BU64" i="4" s="1"/>
  <c r="AB81" i="4"/>
  <c r="BU81" i="4" s="1"/>
  <c r="AB47" i="4"/>
  <c r="BU47" i="4" s="1"/>
  <c r="AB24" i="4"/>
  <c r="BU24" i="4" s="1"/>
  <c r="AB137" i="4"/>
  <c r="BU137" i="4" s="1"/>
  <c r="AD34" i="4"/>
  <c r="AD10" i="4"/>
  <c r="AD17" i="4"/>
  <c r="AD95" i="4"/>
  <c r="AD105" i="4"/>
  <c r="AD109" i="4"/>
  <c r="AD91" i="4"/>
  <c r="AD99" i="4"/>
  <c r="AD87" i="4"/>
  <c r="AD130" i="4"/>
  <c r="AD116" i="4"/>
  <c r="AD135" i="4"/>
  <c r="AD89" i="4"/>
  <c r="AD56" i="4"/>
  <c r="AD55" i="4"/>
  <c r="AD57" i="4"/>
  <c r="AD58" i="4"/>
  <c r="AD33" i="4"/>
  <c r="AD29" i="4"/>
  <c r="AD25" i="4"/>
  <c r="AD45" i="4"/>
  <c r="AD31" i="4"/>
  <c r="AD41" i="4"/>
  <c r="AD37" i="4"/>
  <c r="AJ7" i="4"/>
  <c r="BY7" i="4" l="1"/>
  <c r="AB7" i="5"/>
  <c r="AA7" i="5"/>
  <c r="AC7" i="5"/>
  <c r="P455" i="5"/>
  <c r="P179" i="5"/>
  <c r="P80" i="5"/>
  <c r="P32" i="5"/>
  <c r="P387" i="5"/>
  <c r="P419" i="5"/>
  <c r="P101" i="5"/>
  <c r="P482" i="5"/>
  <c r="P206" i="5"/>
  <c r="P100" i="5"/>
  <c r="P508" i="5"/>
  <c r="P381" i="5"/>
  <c r="P170" i="5"/>
  <c r="P168" i="5"/>
  <c r="P226" i="5"/>
  <c r="P139" i="5"/>
  <c r="P463" i="5"/>
  <c r="P123" i="5"/>
  <c r="P95" i="5"/>
  <c r="P430" i="5"/>
  <c r="P540" i="5"/>
  <c r="P142" i="5"/>
  <c r="P211" i="5"/>
  <c r="P422" i="5"/>
  <c r="P36" i="5"/>
  <c r="P343" i="5"/>
  <c r="P302" i="5"/>
  <c r="P92" i="5"/>
  <c r="P443" i="5"/>
  <c r="P345" i="5"/>
  <c r="P488" i="5"/>
  <c r="P247" i="5"/>
  <c r="P550" i="5"/>
  <c r="P271" i="5"/>
  <c r="P469" i="5"/>
  <c r="P171" i="5"/>
  <c r="P477" i="5"/>
  <c r="P270" i="5"/>
  <c r="P131" i="5"/>
  <c r="P37" i="5"/>
  <c r="P363" i="5"/>
  <c r="P246" i="5"/>
  <c r="P334" i="5"/>
  <c r="P163" i="5"/>
  <c r="P141" i="5"/>
  <c r="P313" i="5"/>
  <c r="P20" i="5"/>
  <c r="P124" i="5"/>
  <c r="P223" i="5"/>
  <c r="P21" i="5"/>
  <c r="P340" i="5"/>
  <c r="P272" i="5"/>
  <c r="P152" i="5"/>
  <c r="P555" i="5"/>
  <c r="P217" i="5"/>
  <c r="P11" i="5"/>
  <c r="P376" i="5"/>
  <c r="P418" i="5"/>
  <c r="P366" i="5"/>
  <c r="P190" i="5"/>
  <c r="P451" i="5"/>
  <c r="P442" i="5"/>
  <c r="P208" i="5"/>
  <c r="P195" i="5"/>
  <c r="P260" i="5"/>
  <c r="P108" i="5"/>
  <c r="P233" i="5"/>
  <c r="P404" i="5"/>
  <c r="P434" i="5"/>
  <c r="P115" i="5"/>
  <c r="P316" i="5"/>
  <c r="P530" i="5"/>
  <c r="P127" i="5"/>
  <c r="P440" i="5"/>
  <c r="P506" i="5"/>
  <c r="P205" i="5"/>
  <c r="P28" i="5"/>
  <c r="P526" i="5"/>
  <c r="P45" i="5"/>
  <c r="P276" i="5"/>
  <c r="P393" i="5"/>
  <c r="P236" i="5"/>
  <c r="P64" i="5"/>
  <c r="P275" i="5"/>
  <c r="P556" i="5"/>
  <c r="P105" i="5"/>
  <c r="P216" i="5"/>
  <c r="P517" i="5"/>
  <c r="P237" i="5"/>
  <c r="P218" i="5"/>
  <c r="P375" i="5"/>
  <c r="P539" i="5"/>
  <c r="P344" i="5"/>
  <c r="P58" i="5"/>
  <c r="P525" i="5"/>
  <c r="P329" i="5"/>
  <c r="P466" i="5"/>
  <c r="P221" i="5"/>
  <c r="P13" i="5"/>
  <c r="P165" i="5"/>
  <c r="P283" i="5"/>
  <c r="P150" i="5"/>
  <c r="P25" i="5"/>
  <c r="P315" i="5"/>
  <c r="P306" i="5"/>
  <c r="P110" i="5"/>
  <c r="P412" i="5"/>
  <c r="P399" i="5"/>
  <c r="P161" i="5"/>
  <c r="P63" i="5"/>
  <c r="P410" i="5"/>
  <c r="P401" i="5"/>
  <c r="P364" i="5"/>
  <c r="P68" i="5"/>
  <c r="P169" i="5"/>
  <c r="P194" i="5"/>
  <c r="P75" i="5"/>
  <c r="P31" i="5"/>
  <c r="P370" i="5"/>
  <c r="P279" i="5"/>
  <c r="P395" i="5"/>
  <c r="P425" i="5"/>
  <c r="P210" i="5"/>
  <c r="P473" i="5"/>
  <c r="P531" i="5"/>
  <c r="P248" i="5"/>
  <c r="P403" i="5"/>
  <c r="P215" i="5"/>
  <c r="P492" i="5"/>
  <c r="P98" i="5"/>
  <c r="P330" i="5"/>
  <c r="P254" i="5"/>
  <c r="P164" i="5"/>
  <c r="P41" i="5"/>
  <c r="P106" i="5"/>
  <c r="P122" i="5"/>
  <c r="P385" i="5"/>
  <c r="P383" i="5"/>
  <c r="P135" i="5"/>
  <c r="P357" i="5"/>
  <c r="P524" i="5"/>
  <c r="P55" i="5"/>
  <c r="P557" i="5"/>
  <c r="P406" i="5"/>
  <c r="P405" i="5"/>
  <c r="P97" i="5"/>
  <c r="P50" i="5"/>
  <c r="P515" i="5"/>
  <c r="P471" i="5"/>
  <c r="P154" i="5"/>
  <c r="P148" i="5"/>
  <c r="P521" i="5"/>
  <c r="P323" i="5"/>
  <c r="P454" i="5"/>
  <c r="P24" i="5"/>
  <c r="P40" i="5"/>
  <c r="P225" i="5"/>
  <c r="P545" i="5"/>
  <c r="P304" i="5"/>
  <c r="P479" i="5"/>
  <c r="P417" i="5"/>
  <c r="P288" i="5"/>
  <c r="P72" i="5"/>
  <c r="P360" i="5"/>
  <c r="P361" i="5"/>
  <c r="P84" i="5"/>
  <c r="P189" i="5"/>
  <c r="P368" i="5"/>
  <c r="P277" i="5"/>
  <c r="P173" i="5"/>
  <c r="P429" i="5"/>
  <c r="P178" i="5"/>
  <c r="P118" i="5"/>
  <c r="P35" i="5"/>
  <c r="P71" i="5"/>
  <c r="P197" i="5"/>
  <c r="P19" i="5"/>
  <c r="P542" i="5"/>
  <c r="P241" i="5"/>
  <c r="P310" i="5"/>
  <c r="P541" i="5"/>
  <c r="P348" i="5"/>
  <c r="P79" i="5"/>
  <c r="P510" i="5"/>
  <c r="P321" i="5"/>
  <c r="P465" i="5"/>
  <c r="P180" i="5"/>
  <c r="P312" i="5"/>
  <c r="P278" i="5"/>
  <c r="P162" i="5"/>
  <c r="P9" i="5"/>
  <c r="P51" i="5"/>
  <c r="P102" i="5"/>
  <c r="P439" i="5"/>
  <c r="P337" i="5"/>
  <c r="P39" i="5"/>
  <c r="P358" i="5"/>
  <c r="P448" i="5"/>
  <c r="P326" i="5"/>
  <c r="P285" i="5"/>
  <c r="P292" i="5"/>
  <c r="P264" i="5"/>
  <c r="P66" i="5"/>
  <c r="P335" i="5"/>
  <c r="P523" i="5"/>
  <c r="P201" i="5"/>
  <c r="P121" i="5"/>
  <c r="P239" i="5"/>
  <c r="P536" i="5"/>
  <c r="P435" i="5"/>
  <c r="P43" i="5"/>
  <c r="P67" i="5"/>
  <c r="P60" i="5"/>
  <c r="P222" i="5"/>
  <c r="P192" i="5"/>
  <c r="P374" i="5"/>
  <c r="P355" i="5"/>
  <c r="P378" i="5"/>
  <c r="P258" i="5"/>
  <c r="P166" i="5"/>
  <c r="P457" i="5"/>
  <c r="P319" i="5"/>
  <c r="P42" i="5"/>
  <c r="P94" i="5"/>
  <c r="P199" i="5"/>
  <c r="P104" i="5"/>
  <c r="P464" i="5"/>
  <c r="P266" i="5"/>
  <c r="P144" i="5"/>
  <c r="P138" i="5"/>
  <c r="P516" i="5"/>
  <c r="P543" i="5"/>
  <c r="P317" i="5"/>
  <c r="P444" i="5"/>
  <c r="P475" i="5"/>
  <c r="P452" i="5"/>
  <c r="P332" i="5"/>
  <c r="P499" i="5"/>
  <c r="P188" i="5"/>
  <c r="P191" i="5"/>
  <c r="P409" i="5"/>
  <c r="P324" i="5"/>
  <c r="P459" i="5"/>
  <c r="P26" i="5"/>
  <c r="P318" i="5"/>
  <c r="P320" i="5"/>
  <c r="P117" i="5"/>
  <c r="P12" i="5"/>
  <c r="P65" i="5"/>
  <c r="P56" i="5"/>
  <c r="P493" i="5"/>
  <c r="P286" i="5"/>
  <c r="P468" i="5"/>
  <c r="P379" i="5"/>
  <c r="P489" i="5"/>
  <c r="P415" i="5"/>
  <c r="P394" i="5"/>
  <c r="P255" i="5"/>
  <c r="P300" i="5"/>
  <c r="P249" i="5"/>
  <c r="P262" i="5"/>
  <c r="P424" i="5"/>
  <c r="P78" i="5"/>
  <c r="P125" i="5"/>
  <c r="P198" i="5"/>
  <c r="P297" i="5"/>
  <c r="P120" i="5"/>
  <c r="P398" i="5"/>
  <c r="P57" i="5"/>
  <c r="P107" i="5"/>
  <c r="P77" i="5"/>
  <c r="P243" i="5"/>
  <c r="P294" i="5"/>
  <c r="P380" i="5"/>
  <c r="P551" i="5"/>
  <c r="P445" i="5"/>
  <c r="P486" i="5"/>
  <c r="P202" i="5"/>
  <c r="P372" i="5"/>
  <c r="P303" i="5"/>
  <c r="P30" i="5"/>
  <c r="P159" i="5"/>
  <c r="P227" i="5"/>
  <c r="P478" i="5"/>
  <c r="P518" i="5"/>
  <c r="P382" i="5"/>
  <c r="P109" i="5"/>
  <c r="P76" i="5"/>
  <c r="P407" i="5"/>
  <c r="P520" i="5"/>
  <c r="P554" i="5"/>
  <c r="P322" i="5"/>
  <c r="P38" i="5"/>
  <c r="P502" i="5"/>
  <c r="P328" i="5"/>
  <c r="P400" i="5"/>
  <c r="P85" i="5"/>
  <c r="P229" i="5"/>
  <c r="P544" i="5"/>
  <c r="P238" i="5"/>
  <c r="P549" i="5"/>
  <c r="P99" i="5"/>
  <c r="P253" i="5"/>
  <c r="P146" i="5"/>
  <c r="P204" i="5"/>
  <c r="P48" i="5"/>
  <c r="P47" i="5"/>
  <c r="P438" i="5"/>
  <c r="P296" i="5"/>
  <c r="P537" i="5"/>
  <c r="P273" i="5"/>
  <c r="P352" i="5"/>
  <c r="P532" i="5"/>
  <c r="P356" i="5"/>
  <c r="P153" i="5"/>
  <c r="P130" i="5"/>
  <c r="P289" i="5"/>
  <c r="P116" i="5"/>
  <c r="P263" i="5"/>
  <c r="P290" i="5"/>
  <c r="P267" i="5"/>
  <c r="P547" i="5"/>
  <c r="P388" i="5"/>
  <c r="P408" i="5"/>
  <c r="P44" i="5"/>
  <c r="P346" i="5"/>
  <c r="P83" i="5"/>
  <c r="P111" i="5"/>
  <c r="P96" i="5"/>
  <c r="P112" i="5"/>
  <c r="P367" i="5"/>
  <c r="P350" i="5"/>
  <c r="P476" i="5"/>
  <c r="P441" i="5"/>
  <c r="P371" i="5"/>
  <c r="P307" i="5"/>
  <c r="P509" i="5"/>
  <c r="P213" i="5"/>
  <c r="P219" i="5"/>
  <c r="P82" i="5"/>
  <c r="P103" i="5"/>
  <c r="P397" i="5"/>
  <c r="P392" i="5"/>
  <c r="P342" i="5"/>
  <c r="P90" i="5"/>
  <c r="P33" i="5"/>
  <c r="P390" i="5"/>
  <c r="P338" i="5"/>
  <c r="P446" i="5"/>
  <c r="P420" i="5"/>
  <c r="P365" i="5"/>
  <c r="P558" i="5"/>
  <c r="P359" i="5"/>
  <c r="P349" i="5"/>
  <c r="P485" i="5"/>
  <c r="P280" i="5"/>
  <c r="P474" i="5"/>
  <c r="P426" i="5"/>
  <c r="P428" i="5"/>
  <c r="P137" i="5"/>
  <c r="P311" i="5"/>
  <c r="P134" i="5"/>
  <c r="P81" i="5"/>
  <c r="P184" i="5"/>
  <c r="P156" i="5"/>
  <c r="P27" i="5"/>
  <c r="P369" i="5"/>
  <c r="P242" i="5"/>
  <c r="P511" i="5"/>
  <c r="P298" i="5"/>
  <c r="P339" i="5"/>
  <c r="P462" i="5"/>
  <c r="P391" i="5"/>
  <c r="P519" i="5"/>
  <c r="P505" i="5"/>
  <c r="P284" i="5"/>
  <c r="P453" i="5"/>
  <c r="P89" i="5"/>
  <c r="P427" i="5"/>
  <c r="P414" i="5"/>
  <c r="P299" i="5"/>
  <c r="P416" i="5"/>
  <c r="P132" i="5"/>
  <c r="P396" i="5"/>
  <c r="P140" i="5"/>
  <c r="P185" i="5"/>
  <c r="P128" i="5"/>
  <c r="P309" i="5"/>
  <c r="P534" i="5"/>
  <c r="P529" i="5"/>
  <c r="P402" i="5"/>
  <c r="P91" i="5"/>
  <c r="P461" i="5"/>
  <c r="P268" i="5"/>
  <c r="P507" i="5"/>
  <c r="P240" i="5"/>
  <c r="P136" i="5"/>
  <c r="P54" i="5"/>
  <c r="P87" i="5"/>
  <c r="P281" i="5"/>
  <c r="P34" i="5"/>
  <c r="P287" i="5"/>
  <c r="P61" i="5"/>
  <c r="P187" i="5"/>
  <c r="P347" i="5"/>
  <c r="P200" i="5"/>
  <c r="P274" i="5"/>
  <c r="P167" i="5"/>
  <c r="P265" i="5"/>
  <c r="P411" i="5"/>
  <c r="P183" i="5"/>
  <c r="P389" i="5"/>
  <c r="P436" i="5"/>
  <c r="P230" i="5"/>
  <c r="P514" i="5"/>
  <c r="P151" i="5"/>
  <c r="P186" i="5"/>
  <c r="P133" i="5"/>
  <c r="P308" i="5"/>
  <c r="P504" i="5"/>
  <c r="P423" i="5"/>
  <c r="P52" i="5"/>
  <c r="P160" i="5"/>
  <c r="P496" i="5"/>
  <c r="P354" i="5"/>
  <c r="P501" i="5"/>
  <c r="P129" i="5"/>
  <c r="P157" i="5"/>
  <c r="P533" i="5"/>
  <c r="P480" i="5"/>
  <c r="P220" i="5"/>
  <c r="P432" i="5"/>
  <c r="P293" i="5"/>
  <c r="P22" i="5"/>
  <c r="P175" i="5"/>
  <c r="P295" i="5"/>
  <c r="P70" i="5"/>
  <c r="P559" i="5"/>
  <c r="P244" i="5"/>
  <c r="P251" i="5"/>
  <c r="P433" i="5"/>
  <c r="P447" i="5"/>
  <c r="P512" i="5"/>
  <c r="P362" i="5"/>
  <c r="P256" i="5"/>
  <c r="P119" i="5"/>
  <c r="P333" i="5"/>
  <c r="P431" i="5"/>
  <c r="P224" i="5"/>
  <c r="P341" i="5"/>
  <c r="P207" i="5"/>
  <c r="P62" i="5"/>
  <c r="P172" i="5"/>
  <c r="P176" i="5"/>
  <c r="P552" i="5"/>
  <c r="P384" i="5"/>
  <c r="P149" i="5"/>
  <c r="P437" i="5"/>
  <c r="P158" i="5"/>
  <c r="P305" i="5"/>
  <c r="P235" i="5"/>
  <c r="P498" i="5"/>
  <c r="P472" i="5"/>
  <c r="P301" i="5"/>
  <c r="P8" i="5"/>
  <c r="P29" i="5"/>
  <c r="P325" i="5"/>
  <c r="P522" i="5"/>
  <c r="P538" i="5"/>
  <c r="P513" i="5"/>
  <c r="P497" i="5"/>
  <c r="P261" i="5"/>
  <c r="P484" i="5"/>
  <c r="P147" i="5"/>
  <c r="P252" i="5"/>
  <c r="P74" i="5"/>
  <c r="P483" i="5"/>
  <c r="P546" i="5"/>
  <c r="P282" i="5"/>
  <c r="P214" i="5"/>
  <c r="P259" i="5"/>
  <c r="P23" i="5"/>
  <c r="P331" i="5"/>
  <c r="P336" i="5"/>
  <c r="P59" i="5"/>
  <c r="P93" i="5"/>
  <c r="P450" i="5"/>
  <c r="P386" i="5"/>
  <c r="P528" i="5"/>
  <c r="P373" i="5"/>
  <c r="P234" i="5"/>
  <c r="P10" i="5"/>
  <c r="P114" i="5"/>
  <c r="P212" i="5"/>
  <c r="P494" i="5"/>
  <c r="P449" i="5"/>
  <c r="P548" i="5"/>
  <c r="P257" i="5"/>
  <c r="P69" i="5"/>
  <c r="P527" i="5"/>
  <c r="P560" i="5"/>
  <c r="P351" i="5"/>
  <c r="P421" i="5"/>
  <c r="P203" i="5"/>
  <c r="P250" i="5"/>
  <c r="P46" i="5"/>
  <c r="P232" i="5"/>
  <c r="P327" i="5"/>
  <c r="P177" i="5"/>
  <c r="P73" i="5"/>
  <c r="P145" i="5"/>
  <c r="P155" i="5"/>
  <c r="P491" i="5"/>
  <c r="P291" i="5"/>
  <c r="P53" i="5"/>
  <c r="P467" i="5"/>
  <c r="P49" i="5"/>
  <c r="P228" i="5"/>
  <c r="P460" i="5"/>
  <c r="P470" i="5"/>
  <c r="P490" i="5"/>
  <c r="P193" i="5"/>
  <c r="P458" i="5"/>
  <c r="P174" i="5"/>
  <c r="P209" i="5"/>
  <c r="P353" i="5"/>
  <c r="P88" i="5"/>
  <c r="P314" i="5"/>
  <c r="P86" i="5"/>
  <c r="P126" i="5"/>
  <c r="P245" i="5"/>
  <c r="P143" i="5"/>
  <c r="P377" i="5"/>
  <c r="P196" i="5"/>
  <c r="P503" i="5"/>
  <c r="P182" i="5"/>
  <c r="P456" i="5"/>
  <c r="P553" i="5"/>
  <c r="P500" i="5"/>
  <c r="P535" i="5"/>
  <c r="P181" i="5"/>
  <c r="P269" i="5"/>
  <c r="P487" i="5"/>
  <c r="P495" i="5"/>
  <c r="P113" i="5"/>
  <c r="P231" i="5"/>
  <c r="P413" i="5"/>
  <c r="P481" i="5"/>
  <c r="P19" i="10"/>
  <c r="P72" i="10"/>
  <c r="P158" i="10"/>
  <c r="P394" i="10"/>
  <c r="P142" i="10"/>
  <c r="P282" i="10"/>
  <c r="P97" i="10"/>
  <c r="P184" i="10"/>
  <c r="P459" i="10"/>
  <c r="P65" i="10"/>
  <c r="P308" i="10"/>
  <c r="P156" i="10"/>
  <c r="P315" i="10"/>
  <c r="P200" i="10"/>
  <c r="P511" i="10"/>
  <c r="P123" i="10"/>
  <c r="P412" i="10"/>
  <c r="P101" i="10"/>
  <c r="P240" i="10"/>
  <c r="P505" i="10"/>
  <c r="P118" i="10"/>
  <c r="P357" i="10"/>
  <c r="P73" i="10"/>
  <c r="P365" i="10"/>
  <c r="P306" i="10"/>
  <c r="P29" i="10"/>
  <c r="P207" i="10"/>
  <c r="P447" i="10"/>
  <c r="P283" i="10"/>
  <c r="P226" i="10"/>
  <c r="P520" i="10"/>
  <c r="P307" i="10"/>
  <c r="P372" i="10"/>
  <c r="P453" i="10"/>
  <c r="P556" i="10"/>
  <c r="P481" i="10"/>
  <c r="P56" i="10"/>
  <c r="P140" i="10"/>
  <c r="P478" i="10"/>
  <c r="P48" i="10"/>
  <c r="P355" i="10"/>
  <c r="P179" i="10"/>
  <c r="P370" i="10"/>
  <c r="P74" i="10"/>
  <c r="P157" i="10"/>
  <c r="P141" i="10"/>
  <c r="P304" i="10"/>
  <c r="P521" i="10"/>
  <c r="P229" i="10"/>
  <c r="P346" i="10"/>
  <c r="P193" i="10"/>
  <c r="P215" i="10"/>
  <c r="P479" i="10"/>
  <c r="P51" i="10"/>
  <c r="P139" i="10"/>
  <c r="P27" i="10"/>
  <c r="P289" i="10"/>
  <c r="P557" i="10"/>
  <c r="P163" i="10"/>
  <c r="P387" i="10"/>
  <c r="P117" i="10"/>
  <c r="P264" i="10"/>
  <c r="P519" i="10"/>
  <c r="P9" i="10"/>
  <c r="P243" i="10"/>
  <c r="P197" i="10"/>
  <c r="P538" i="10"/>
  <c r="P489" i="10"/>
  <c r="P403" i="10"/>
  <c r="P349" i="10"/>
  <c r="P242" i="10"/>
  <c r="P211" i="10"/>
  <c r="P175" i="10"/>
  <c r="P110" i="10"/>
  <c r="P46" i="10"/>
  <c r="P177" i="10"/>
  <c r="P528" i="10"/>
  <c r="P467" i="10"/>
  <c r="P395" i="10"/>
  <c r="P341" i="10"/>
  <c r="P234" i="10"/>
  <c r="P188" i="10"/>
  <c r="P171" i="10"/>
  <c r="P106" i="10"/>
  <c r="P291" i="10"/>
  <c r="P169" i="10"/>
  <c r="P247" i="10"/>
  <c r="P122" i="10"/>
  <c r="P219" i="10"/>
  <c r="P250" i="10"/>
  <c r="P490" i="10"/>
  <c r="P275" i="10"/>
  <c r="P159" i="10"/>
  <c r="P218" i="10"/>
  <c r="P426" i="10"/>
  <c r="P537" i="10"/>
  <c r="P552" i="10"/>
  <c r="P517" i="10"/>
  <c r="P504" i="10"/>
  <c r="P474" i="10"/>
  <c r="P443" i="10"/>
  <c r="P408" i="10"/>
  <c r="P278" i="10"/>
  <c r="P344" i="10"/>
  <c r="P285" i="10"/>
  <c r="P300" i="10"/>
  <c r="P239" i="10"/>
  <c r="P96" i="10"/>
  <c r="P119" i="10"/>
  <c r="P98" i="10"/>
  <c r="P61" i="10"/>
  <c r="P45" i="10"/>
  <c r="P263" i="10"/>
  <c r="P547" i="10"/>
  <c r="P523" i="10"/>
  <c r="P461" i="10"/>
  <c r="P482" i="10"/>
  <c r="P451" i="10"/>
  <c r="P416" i="10"/>
  <c r="P286" i="10"/>
  <c r="P352" i="10"/>
  <c r="P293" i="10"/>
  <c r="P166" i="10"/>
  <c r="P383" i="10"/>
  <c r="P23" i="10"/>
  <c r="P348" i="10"/>
  <c r="P55" i="10"/>
  <c r="P527" i="10"/>
  <c r="P442" i="10"/>
  <c r="P418" i="10"/>
  <c r="P317" i="10"/>
  <c r="P210" i="10"/>
  <c r="P172" i="10"/>
  <c r="P155" i="10"/>
  <c r="P90" i="10"/>
  <c r="P259" i="10"/>
  <c r="P89" i="10"/>
  <c r="P530" i="10"/>
  <c r="P466" i="10"/>
  <c r="P410" i="10"/>
  <c r="P309" i="10"/>
  <c r="P202" i="10"/>
  <c r="P168" i="10"/>
  <c r="P147" i="10"/>
  <c r="P86" i="10"/>
  <c r="P251" i="10"/>
  <c r="P81" i="10"/>
  <c r="P35" i="10"/>
  <c r="P209" i="10"/>
  <c r="P208" i="10"/>
  <c r="P314" i="10"/>
  <c r="P488" i="10"/>
  <c r="P26" i="10"/>
  <c r="P279" i="10"/>
  <c r="P203" i="10"/>
  <c r="P281" i="10"/>
  <c r="P439" i="10"/>
  <c r="P550" i="10"/>
  <c r="P539" i="10"/>
  <c r="P533" i="10"/>
  <c r="P480" i="10"/>
  <c r="P440" i="10"/>
  <c r="P431" i="10"/>
  <c r="P392" i="10"/>
  <c r="P262" i="10"/>
  <c r="P328" i="10"/>
  <c r="P269" i="10"/>
  <c r="P284" i="10"/>
  <c r="P223" i="10"/>
  <c r="P80" i="10"/>
  <c r="P103" i="10"/>
  <c r="P82" i="10"/>
  <c r="P299" i="10"/>
  <c r="P42" i="10"/>
  <c r="P173" i="10"/>
  <c r="P546" i="10"/>
  <c r="P510" i="10"/>
  <c r="P493" i="10"/>
  <c r="P448" i="10"/>
  <c r="P437" i="10"/>
  <c r="P400" i="10"/>
  <c r="P270" i="10"/>
  <c r="P336" i="10"/>
  <c r="P277" i="10"/>
  <c r="P292" i="10"/>
  <c r="P457" i="10"/>
  <c r="P116" i="10"/>
  <c r="P503" i="10"/>
  <c r="P445" i="10"/>
  <c r="P428" i="10"/>
  <c r="P364" i="10"/>
  <c r="P178" i="10"/>
  <c r="P152" i="10"/>
  <c r="P131" i="10"/>
  <c r="P71" i="10"/>
  <c r="P153" i="10"/>
  <c r="P64" i="10"/>
  <c r="P495" i="10"/>
  <c r="P486" i="10"/>
  <c r="P420" i="10"/>
  <c r="P356" i="10"/>
  <c r="P170" i="10"/>
  <c r="P148" i="10"/>
  <c r="P127" i="10"/>
  <c r="P99" i="10"/>
  <c r="P149" i="10"/>
  <c r="P62" i="10"/>
  <c r="P121" i="10"/>
  <c r="P375" i="10"/>
  <c r="P272" i="10"/>
  <c r="P380" i="10"/>
  <c r="P513" i="10"/>
  <c r="P165" i="10"/>
  <c r="P43" i="10"/>
  <c r="P92" i="10"/>
  <c r="P347" i="10"/>
  <c r="P397" i="10"/>
  <c r="P549" i="10"/>
  <c r="P509" i="10"/>
  <c r="P483" i="10"/>
  <c r="P435" i="10"/>
  <c r="P415" i="10"/>
  <c r="P376" i="10"/>
  <c r="P246" i="10"/>
  <c r="P312" i="10"/>
  <c r="P253" i="10"/>
  <c r="P268" i="10"/>
  <c r="P192" i="10"/>
  <c r="P68" i="10"/>
  <c r="P237" i="10"/>
  <c r="P69" i="10"/>
  <c r="P267" i="10"/>
  <c r="P32" i="10"/>
  <c r="P36" i="10"/>
  <c r="P532" i="10"/>
  <c r="P525" i="10"/>
  <c r="P472" i="10"/>
  <c r="P432" i="10"/>
  <c r="P423" i="10"/>
  <c r="P384" i="10"/>
  <c r="P254" i="10"/>
  <c r="P320" i="10"/>
  <c r="P261" i="10"/>
  <c r="P276" i="10"/>
  <c r="P28" i="10"/>
  <c r="P181" i="10"/>
  <c r="P249" i="10"/>
  <c r="P506" i="10"/>
  <c r="P444" i="10"/>
  <c r="P396" i="10"/>
  <c r="P332" i="10"/>
  <c r="P288" i="10"/>
  <c r="P132" i="10"/>
  <c r="P111" i="10"/>
  <c r="P83" i="10"/>
  <c r="P133" i="10"/>
  <c r="P30" i="10"/>
  <c r="P529" i="10"/>
  <c r="P436" i="10"/>
  <c r="P388" i="10"/>
  <c r="P324" i="10"/>
  <c r="P280" i="10"/>
  <c r="P124" i="10"/>
  <c r="P107" i="10"/>
  <c r="P79" i="10"/>
  <c r="P125" i="10"/>
  <c r="P295" i="10"/>
  <c r="P201" i="10"/>
  <c r="P143" i="10"/>
  <c r="P194" i="10"/>
  <c r="P402" i="10"/>
  <c r="P522" i="10"/>
  <c r="P47" i="10"/>
  <c r="P91" i="10"/>
  <c r="P136" i="10"/>
  <c r="P340" i="10"/>
  <c r="P452" i="10"/>
  <c r="P8" i="10"/>
  <c r="P534" i="10"/>
  <c r="P496" i="10"/>
  <c r="P471" i="10"/>
  <c r="P417" i="10"/>
  <c r="P399" i="10"/>
  <c r="P358" i="10"/>
  <c r="P345" i="10"/>
  <c r="P367" i="10"/>
  <c r="P238" i="10"/>
  <c r="P252" i="10"/>
  <c r="P176" i="10"/>
  <c r="P199" i="10"/>
  <c r="P221" i="10"/>
  <c r="P87" i="10"/>
  <c r="P161" i="10"/>
  <c r="P205" i="10"/>
  <c r="P20" i="10"/>
  <c r="P541" i="10"/>
  <c r="P515" i="10"/>
  <c r="P475" i="10"/>
  <c r="P425" i="10"/>
  <c r="P407" i="10"/>
  <c r="P366" i="10"/>
  <c r="P353" i="10"/>
  <c r="P434" i="10"/>
  <c r="P245" i="10"/>
  <c r="P260" i="10"/>
  <c r="P102" i="10"/>
  <c r="P411" i="10"/>
  <c r="P13" i="10"/>
  <c r="P500" i="10"/>
  <c r="P421" i="10"/>
  <c r="P362" i="10"/>
  <c r="P386" i="10"/>
  <c r="P256" i="10"/>
  <c r="P108" i="10"/>
  <c r="P241" i="10"/>
  <c r="P63" i="10"/>
  <c r="P109" i="10"/>
  <c r="P11" i="10"/>
  <c r="P512" i="10"/>
  <c r="P413" i="10"/>
  <c r="P354" i="10"/>
  <c r="P363" i="10"/>
  <c r="P248" i="10"/>
  <c r="P104" i="10"/>
  <c r="P233" i="10"/>
  <c r="P60" i="10"/>
  <c r="P105" i="10"/>
  <c r="P24" i="10"/>
  <c r="P59" i="10"/>
  <c r="P187" i="10"/>
  <c r="P257" i="10"/>
  <c r="P419" i="10"/>
  <c r="P542" i="10"/>
  <c r="P93" i="10"/>
  <c r="P94" i="10"/>
  <c r="P180" i="10"/>
  <c r="P325" i="10"/>
  <c r="P450" i="10"/>
  <c r="P7" i="10"/>
  <c r="P516" i="10"/>
  <c r="P502" i="10"/>
  <c r="P455" i="10"/>
  <c r="P401" i="10"/>
  <c r="P430" i="10"/>
  <c r="P342" i="10"/>
  <c r="P329" i="10"/>
  <c r="P351" i="10"/>
  <c r="P222" i="10"/>
  <c r="P236" i="10"/>
  <c r="P160" i="10"/>
  <c r="P183" i="10"/>
  <c r="P162" i="10"/>
  <c r="P67" i="10"/>
  <c r="P145" i="10"/>
  <c r="P44" i="10"/>
  <c r="P10" i="10"/>
  <c r="P524" i="10"/>
  <c r="P508" i="10"/>
  <c r="P463" i="10"/>
  <c r="P409" i="10"/>
  <c r="P391" i="10"/>
  <c r="P350" i="10"/>
  <c r="P337" i="10"/>
  <c r="P359" i="10"/>
  <c r="P230" i="10"/>
  <c r="P244" i="10"/>
  <c r="P545" i="10"/>
  <c r="P186" i="10"/>
  <c r="P100" i="10"/>
  <c r="P429" i="10"/>
  <c r="P559" i="10"/>
  <c r="P491" i="10"/>
  <c r="P389" i="10"/>
  <c r="P330" i="10"/>
  <c r="P339" i="10"/>
  <c r="P224" i="10"/>
  <c r="P88" i="10"/>
  <c r="P217" i="10"/>
  <c r="P41" i="10"/>
  <c r="P52" i="10"/>
  <c r="P551" i="10"/>
  <c r="P497" i="10"/>
  <c r="P381" i="10"/>
  <c r="P322" i="10"/>
  <c r="P331" i="10"/>
  <c r="P216" i="10"/>
  <c r="P84" i="10"/>
  <c r="P213" i="10"/>
  <c r="P33" i="10"/>
  <c r="P50" i="10"/>
  <c r="P53" i="10"/>
  <c r="P31" i="10"/>
  <c r="P76" i="10"/>
  <c r="P323" i="10"/>
  <c r="P373" i="10"/>
  <c r="P554" i="10"/>
  <c r="P34" i="10"/>
  <c r="P138" i="10"/>
  <c r="P235" i="10"/>
  <c r="P274" i="10"/>
  <c r="P501" i="10"/>
  <c r="P555" i="10"/>
  <c r="P531" i="10"/>
  <c r="P487" i="10"/>
  <c r="P470" i="10"/>
  <c r="P385" i="10"/>
  <c r="P414" i="10"/>
  <c r="P326" i="10"/>
  <c r="P313" i="10"/>
  <c r="P335" i="10"/>
  <c r="P206" i="10"/>
  <c r="P220" i="10"/>
  <c r="P144" i="10"/>
  <c r="P167" i="10"/>
  <c r="P146" i="10"/>
  <c r="P58" i="10"/>
  <c r="P129" i="10"/>
  <c r="P85" i="10"/>
  <c r="P12" i="10"/>
  <c r="P535" i="10"/>
  <c r="P494" i="10"/>
  <c r="P446" i="10"/>
  <c r="P393" i="10"/>
  <c r="P422" i="10"/>
  <c r="P334" i="10"/>
  <c r="P321" i="10"/>
  <c r="P343" i="10"/>
  <c r="P214" i="10"/>
  <c r="P228" i="10"/>
  <c r="P37" i="10"/>
  <c r="P333" i="10"/>
  <c r="P544" i="10"/>
  <c r="P473" i="10"/>
  <c r="P468" i="10"/>
  <c r="P298" i="10"/>
  <c r="P305" i="10"/>
  <c r="P456" i="10"/>
  <c r="P70" i="10"/>
  <c r="P154" i="10"/>
  <c r="P38" i="10"/>
  <c r="P22" i="10"/>
  <c r="P553" i="10"/>
  <c r="P465" i="10"/>
  <c r="P460" i="10"/>
  <c r="P290" i="10"/>
  <c r="P297" i="10"/>
  <c r="P371" i="10"/>
  <c r="P303" i="10"/>
  <c r="P150" i="10"/>
  <c r="P25" i="10"/>
  <c r="P40" i="10"/>
  <c r="P255" i="10"/>
  <c r="P75" i="10"/>
  <c r="P120" i="10"/>
  <c r="P316" i="10"/>
  <c r="P438" i="10"/>
  <c r="P54" i="10"/>
  <c r="P225" i="10"/>
  <c r="P232" i="10"/>
  <c r="P338" i="10"/>
  <c r="P498" i="10"/>
  <c r="P560" i="10"/>
  <c r="P518" i="10"/>
  <c r="P485" i="10"/>
  <c r="P454" i="10"/>
  <c r="P369" i="10"/>
  <c r="P398" i="10"/>
  <c r="P310" i="10"/>
  <c r="P374" i="10"/>
  <c r="P319" i="10"/>
  <c r="P190" i="10"/>
  <c r="P204" i="10"/>
  <c r="P128" i="10"/>
  <c r="P151" i="10"/>
  <c r="P130" i="10"/>
  <c r="P39" i="10"/>
  <c r="P113" i="10"/>
  <c r="P66" i="10"/>
  <c r="P558" i="10"/>
  <c r="P526" i="10"/>
  <c r="P492" i="10"/>
  <c r="P462" i="10"/>
  <c r="P377" i="10"/>
  <c r="P406" i="10"/>
  <c r="P318" i="10"/>
  <c r="P382" i="10"/>
  <c r="P327" i="10"/>
  <c r="P198" i="10"/>
  <c r="P212" i="10"/>
  <c r="P433" i="10"/>
  <c r="P536" i="10"/>
  <c r="P185" i="10"/>
  <c r="P540" i="10"/>
  <c r="P301" i="10"/>
  <c r="P49" i="10"/>
  <c r="P368" i="10"/>
  <c r="P266" i="10"/>
  <c r="P476" i="10"/>
  <c r="P271" i="10"/>
  <c r="P499" i="10"/>
  <c r="P174" i="10"/>
  <c r="P548" i="10"/>
  <c r="P311" i="10"/>
  <c r="P273" i="10"/>
  <c r="P427" i="10"/>
  <c r="P469" i="10"/>
  <c r="P379" i="10"/>
  <c r="P507" i="10"/>
  <c r="P182" i="10"/>
  <c r="P231" i="10"/>
  <c r="P258" i="10"/>
  <c r="P77" i="10"/>
  <c r="P137" i="10"/>
  <c r="P441" i="10"/>
  <c r="P112" i="10"/>
  <c r="P477" i="10"/>
  <c r="P196" i="10"/>
  <c r="P195" i="10"/>
  <c r="P265" i="10"/>
  <c r="P78" i="10"/>
  <c r="P115" i="10"/>
  <c r="P464" i="10"/>
  <c r="P135" i="10"/>
  <c r="P449" i="10"/>
  <c r="P95" i="10"/>
  <c r="P134" i="10"/>
  <c r="P227" i="10"/>
  <c r="P164" i="10"/>
  <c r="P296" i="10"/>
  <c r="P424" i="10"/>
  <c r="P114" i="10"/>
  <c r="P361" i="10"/>
  <c r="P405" i="10"/>
  <c r="P543" i="10"/>
  <c r="P189" i="10"/>
  <c r="P191" i="10"/>
  <c r="P378" i="10"/>
  <c r="P404" i="10"/>
  <c r="P294" i="10"/>
  <c r="P21" i="10"/>
  <c r="P390" i="10"/>
  <c r="P484" i="10"/>
  <c r="P287" i="10"/>
  <c r="P126" i="10"/>
  <c r="P458" i="10"/>
  <c r="P514" i="10"/>
  <c r="P360" i="10"/>
  <c r="P57" i="10"/>
  <c r="P302" i="10"/>
  <c r="Z263" i="10"/>
  <c r="Z280" i="10"/>
  <c r="Z467" i="10"/>
  <c r="Z368" i="10"/>
  <c r="Z192" i="10"/>
  <c r="Z425" i="10"/>
  <c r="Z151" i="10"/>
  <c r="Z468" i="10"/>
  <c r="Z43" i="10"/>
  <c r="Z521" i="10"/>
  <c r="Z252" i="10"/>
  <c r="Z76" i="10"/>
  <c r="Z57" i="10"/>
  <c r="Z550" i="10"/>
  <c r="Z294" i="10"/>
  <c r="Z193" i="10"/>
  <c r="Z307" i="10"/>
  <c r="Z86" i="10"/>
  <c r="Z319" i="10"/>
  <c r="Z114" i="10"/>
  <c r="Z341" i="10"/>
  <c r="Z177" i="10"/>
  <c r="Z557" i="10"/>
  <c r="Z285" i="10"/>
  <c r="Z471" i="10"/>
  <c r="Z398" i="10"/>
  <c r="Z268" i="10"/>
  <c r="Z249" i="10"/>
  <c r="Z257" i="10"/>
  <c r="Z78" i="10"/>
  <c r="Z446" i="10"/>
  <c r="Z200" i="10"/>
  <c r="Z533" i="10"/>
  <c r="Z94" i="10"/>
  <c r="Z526" i="10"/>
  <c r="Z381" i="10"/>
  <c r="Z52" i="10"/>
  <c r="Z87" i="10"/>
  <c r="Z142" i="10"/>
  <c r="Z63" i="10"/>
  <c r="Z236" i="10"/>
  <c r="Z455" i="10"/>
  <c r="Z213" i="10"/>
  <c r="Z546" i="10"/>
  <c r="Z172" i="10"/>
  <c r="Z184" i="10"/>
  <c r="Z439" i="10"/>
  <c r="Z241" i="10"/>
  <c r="Z421" i="10"/>
  <c r="Z28" i="10"/>
  <c r="Z199" i="10"/>
  <c r="Z194" i="10"/>
  <c r="Z528" i="10"/>
  <c r="Z61" i="10"/>
  <c r="Z234" i="10"/>
  <c r="Z364" i="10"/>
  <c r="Z372" i="10"/>
  <c r="Z36" i="10"/>
  <c r="Z447" i="10"/>
  <c r="Z338" i="10"/>
  <c r="Z25" i="10"/>
  <c r="Z354" i="10"/>
  <c r="Z448" i="10"/>
  <c r="Z441" i="10"/>
  <c r="Z89" i="10"/>
  <c r="Z251" i="10"/>
  <c r="Z79" i="10"/>
  <c r="Z426" i="10"/>
  <c r="Z555" i="10"/>
  <c r="Z176" i="10"/>
  <c r="Z259" i="10"/>
  <c r="Z304" i="10"/>
  <c r="Z505" i="10"/>
  <c r="Z529" i="10"/>
  <c r="Z85" i="10"/>
  <c r="Z504" i="10"/>
  <c r="Z284" i="10"/>
  <c r="Z449" i="10"/>
  <c r="Z399" i="10"/>
  <c r="Z244" i="10"/>
  <c r="Z71" i="10"/>
  <c r="Z100" i="10"/>
  <c r="Z68" i="10"/>
  <c r="Z452" i="10"/>
  <c r="Z329" i="10"/>
  <c r="Z276" i="10"/>
  <c r="Z325" i="10"/>
  <c r="Z212" i="10"/>
  <c r="Z211" i="10"/>
  <c r="Z293" i="10"/>
  <c r="Z138" i="10"/>
  <c r="Z544" i="10"/>
  <c r="Z225" i="10"/>
  <c r="Z271" i="10"/>
  <c r="Z482" i="10"/>
  <c r="Z477" i="10"/>
  <c r="Z384" i="10"/>
  <c r="Z290" i="10"/>
  <c r="Z160" i="10"/>
  <c r="Z556" i="10"/>
  <c r="Z378" i="10"/>
  <c r="Z165" i="10"/>
  <c r="Z181" i="10"/>
  <c r="Z478" i="10"/>
  <c r="Z170" i="10"/>
  <c r="Z393" i="10"/>
  <c r="Z265" i="10"/>
  <c r="Z463" i="10"/>
  <c r="Z375" i="10"/>
  <c r="Z106" i="10"/>
  <c r="Z130" i="10"/>
  <c r="Z303" i="10"/>
  <c r="Z20" i="10"/>
  <c r="Z491" i="10"/>
  <c r="Z102" i="10"/>
  <c r="Z64" i="10"/>
  <c r="Z464" i="10"/>
  <c r="Z321" i="10"/>
  <c r="Z490" i="10"/>
  <c r="Z462" i="10"/>
  <c r="Z397" i="10"/>
  <c r="Z278" i="10"/>
  <c r="Z306" i="10"/>
  <c r="Z509" i="10"/>
  <c r="Z440" i="10"/>
  <c r="Z45" i="10"/>
  <c r="Z344" i="10"/>
  <c r="Z355" i="10"/>
  <c r="Z51" i="10"/>
  <c r="Z339" i="10"/>
  <c r="Z229" i="10"/>
  <c r="Z286" i="10"/>
  <c r="Z54" i="10"/>
  <c r="Z171" i="10"/>
  <c r="Z333" i="10"/>
  <c r="Z198" i="10"/>
  <c r="Z472" i="10"/>
  <c r="Z248" i="10"/>
  <c r="Z560" i="10"/>
  <c r="Z483" i="10"/>
  <c r="Z104" i="10"/>
  <c r="Z453" i="10"/>
  <c r="Z207" i="10"/>
  <c r="Z433" i="10"/>
  <c r="Z479" i="10"/>
  <c r="Z366" i="10"/>
  <c r="Z524" i="10"/>
  <c r="Z383" i="10"/>
  <c r="Z224" i="10"/>
  <c r="Z254" i="10"/>
  <c r="Z442" i="10"/>
  <c r="Z470" i="10"/>
  <c r="Z183" i="10"/>
  <c r="Z298" i="10"/>
  <c r="Z179" i="10"/>
  <c r="Z246" i="10"/>
  <c r="Z29" i="10"/>
  <c r="Z419" i="10"/>
  <c r="Z527" i="10"/>
  <c r="Z118" i="10"/>
  <c r="Z445" i="10"/>
  <c r="Z159" i="10"/>
  <c r="Z380" i="10"/>
  <c r="Z376" i="10"/>
  <c r="Z309" i="10"/>
  <c r="Z558" i="10"/>
  <c r="Z82" i="10"/>
  <c r="Z150" i="10"/>
  <c r="Z255" i="10"/>
  <c r="Z417" i="10"/>
  <c r="Z536" i="10"/>
  <c r="Z161" i="10"/>
  <c r="Z132" i="10"/>
  <c r="Z152" i="10"/>
  <c r="Z217" i="10"/>
  <c r="Z403" i="10"/>
  <c r="Z346" i="10"/>
  <c r="Z218" i="10"/>
  <c r="Z262" i="10"/>
  <c r="Z42" i="10"/>
  <c r="Z548" i="10"/>
  <c r="Z418" i="10"/>
  <c r="Z474" i="10"/>
  <c r="Z24" i="10"/>
  <c r="Z429" i="10"/>
  <c r="Z501" i="10"/>
  <c r="Z336" i="10"/>
  <c r="Z140" i="10"/>
  <c r="Z109" i="10"/>
  <c r="Z350" i="10"/>
  <c r="Z302" i="10"/>
  <c r="Z189" i="10"/>
  <c r="Z305" i="10"/>
  <c r="Z155" i="10"/>
  <c r="Z49" i="10"/>
  <c r="Z388" i="10"/>
  <c r="Z41" i="10"/>
  <c r="Z406" i="10"/>
  <c r="Z110" i="10"/>
  <c r="Z513" i="10"/>
  <c r="Z105" i="10"/>
  <c r="Z283" i="10"/>
  <c r="Z358" i="10"/>
  <c r="Z153" i="10"/>
  <c r="Z514" i="10"/>
  <c r="Z204" i="10"/>
  <c r="Z430" i="10"/>
  <c r="Z125" i="10"/>
  <c r="Z129" i="10"/>
  <c r="Z323" i="10"/>
  <c r="Z22" i="10"/>
  <c r="Z351" i="10"/>
  <c r="Z32" i="10"/>
  <c r="Z318" i="10"/>
  <c r="Z226" i="10"/>
  <c r="Z485" i="10"/>
  <c r="Z201" i="10"/>
  <c r="Z495" i="10"/>
  <c r="Z412" i="10"/>
  <c r="Z139" i="10"/>
  <c r="Z101" i="10"/>
  <c r="Z436" i="10"/>
  <c r="Z23" i="10"/>
  <c r="Z432" i="10"/>
  <c r="Z97" i="10"/>
  <c r="Z553" i="10"/>
  <c r="Z347" i="10"/>
  <c r="Z373" i="10"/>
  <c r="Z203" i="10"/>
  <c r="Z158" i="10"/>
  <c r="Z167" i="10"/>
  <c r="Z145" i="10"/>
  <c r="Z95" i="10"/>
  <c r="Z473" i="10"/>
  <c r="Z362" i="10"/>
  <c r="Z300" i="10"/>
  <c r="Z143" i="10"/>
  <c r="Z122" i="10"/>
  <c r="Z116" i="10"/>
  <c r="Z219" i="10"/>
  <c r="Z379" i="10"/>
  <c r="Z367" i="10"/>
  <c r="Z487" i="10"/>
  <c r="Z256" i="10"/>
  <c r="Z186" i="10"/>
  <c r="Z444" i="10"/>
  <c r="Z232" i="10"/>
  <c r="Z242" i="10"/>
  <c r="Z422" i="10"/>
  <c r="Z291" i="10"/>
  <c r="Z214" i="10"/>
  <c r="Z272" i="10"/>
  <c r="Z91" i="10"/>
  <c r="Z108" i="10"/>
  <c r="Z180" i="10"/>
  <c r="Z525" i="10"/>
  <c r="Z209" i="10"/>
  <c r="Z38" i="10"/>
  <c r="Z210" i="10"/>
  <c r="Z506" i="10"/>
  <c r="Z146" i="10"/>
  <c r="Z327" i="10"/>
  <c r="Z107" i="10"/>
  <c r="Z484" i="10"/>
  <c r="Z317" i="10"/>
  <c r="Z420" i="10"/>
  <c r="Z58" i="10"/>
  <c r="Z371" i="10"/>
  <c r="Z267" i="10"/>
  <c r="Z342" i="10"/>
  <c r="Z374" i="10"/>
  <c r="Z235" i="10"/>
  <c r="Z552" i="10"/>
  <c r="Z396" i="10"/>
  <c r="Z534" i="10"/>
  <c r="Z348" i="10"/>
  <c r="Z7" i="10"/>
  <c r="Z386" i="10"/>
  <c r="Z238" i="10"/>
  <c r="Z357" i="10"/>
  <c r="Z164" i="10"/>
  <c r="Z243" i="10"/>
  <c r="Z261" i="10"/>
  <c r="Z62" i="10"/>
  <c r="Z460" i="10"/>
  <c r="Z128" i="10"/>
  <c r="Z337" i="10"/>
  <c r="Z222" i="10"/>
  <c r="Z99" i="10"/>
  <c r="Z169" i="10"/>
  <c r="Z81" i="10"/>
  <c r="Z185" i="10"/>
  <c r="Z182" i="10"/>
  <c r="Z538" i="10"/>
  <c r="Z223" i="10"/>
  <c r="Z423" i="10"/>
  <c r="Z415" i="10"/>
  <c r="Z281" i="10"/>
  <c r="Z75" i="10"/>
  <c r="Z44" i="10"/>
  <c r="Z30" i="10"/>
  <c r="Z141" i="10"/>
  <c r="Z162" i="10"/>
  <c r="Z434" i="10"/>
  <c r="Z156" i="10"/>
  <c r="Z502" i="10"/>
  <c r="Z154" i="10"/>
  <c r="Z282" i="10"/>
  <c r="Z465" i="10"/>
  <c r="Z547" i="10"/>
  <c r="Z134" i="10"/>
  <c r="Z530" i="10"/>
  <c r="Z136" i="10"/>
  <c r="Z488" i="10"/>
  <c r="Z196" i="10"/>
  <c r="Z308" i="10"/>
  <c r="Z295" i="10"/>
  <c r="Z66" i="10"/>
  <c r="Z409" i="10"/>
  <c r="Z250" i="10"/>
  <c r="Z340" i="10"/>
  <c r="Z401" i="10"/>
  <c r="Z353" i="10"/>
  <c r="Z103" i="10"/>
  <c r="Z264" i="10"/>
  <c r="Z144" i="10"/>
  <c r="Z50" i="10"/>
  <c r="Z127" i="10"/>
  <c r="Z55" i="10"/>
  <c r="Z121" i="10"/>
  <c r="Z508" i="10"/>
  <c r="Z410" i="10"/>
  <c r="Z466" i="10"/>
  <c r="Z73" i="10"/>
  <c r="Z387" i="10"/>
  <c r="Z311" i="10"/>
  <c r="Z394" i="10"/>
  <c r="Z408" i="10"/>
  <c r="Z299" i="10"/>
  <c r="Z8" i="10"/>
  <c r="Z245" i="10"/>
  <c r="Z540" i="10"/>
  <c r="Z498" i="10"/>
  <c r="Z512" i="10"/>
  <c r="Z247" i="10"/>
  <c r="Z377" i="10"/>
  <c r="Z227" i="10"/>
  <c r="Z277" i="10"/>
  <c r="Z206" i="10"/>
  <c r="Z413" i="10"/>
  <c r="Z559" i="10"/>
  <c r="Z34" i="10"/>
  <c r="Z517" i="10"/>
  <c r="Z26" i="10"/>
  <c r="Z519" i="10"/>
  <c r="Z135" i="10"/>
  <c r="Z56" i="10"/>
  <c r="Z35" i="10"/>
  <c r="Z496" i="10"/>
  <c r="Z173" i="10"/>
  <c r="Z230" i="10"/>
  <c r="Z111" i="10"/>
  <c r="Z47" i="10"/>
  <c r="Z451" i="10"/>
  <c r="Z233" i="10"/>
  <c r="Z46" i="10"/>
  <c r="Z312" i="10"/>
  <c r="Z542" i="10"/>
  <c r="Z328" i="10"/>
  <c r="Z237" i="10"/>
  <c r="Z37" i="10"/>
  <c r="Z427" i="10"/>
  <c r="Z435" i="10"/>
  <c r="Z356" i="10"/>
  <c r="Z481" i="10"/>
  <c r="Z480" i="10"/>
  <c r="Z402" i="10"/>
  <c r="Z352" i="10"/>
  <c r="Z188" i="10"/>
  <c r="Z270" i="10"/>
  <c r="Z315" i="10"/>
  <c r="Z205" i="10"/>
  <c r="Z320" i="10"/>
  <c r="Z195" i="10"/>
  <c r="Z216" i="10"/>
  <c r="Z476" i="10"/>
  <c r="Z395" i="10"/>
  <c r="Z363" i="10"/>
  <c r="Z70" i="10"/>
  <c r="Z450" i="10"/>
  <c r="Z549" i="10"/>
  <c r="Z191" i="10"/>
  <c r="Z407" i="10"/>
  <c r="Z330" i="10"/>
  <c r="Z411" i="10"/>
  <c r="Z499" i="10"/>
  <c r="Z370" i="10"/>
  <c r="Z343" i="10"/>
  <c r="Z133" i="10"/>
  <c r="Z40" i="10"/>
  <c r="Z215" i="10"/>
  <c r="Z500" i="10"/>
  <c r="Z174" i="10"/>
  <c r="Z84" i="10"/>
  <c r="Z392" i="10"/>
  <c r="Z454" i="10"/>
  <c r="Z507" i="10"/>
  <c r="Z310" i="10"/>
  <c r="Z424" i="10"/>
  <c r="Z539" i="10"/>
  <c r="Z21" i="10"/>
  <c r="Z554" i="10"/>
  <c r="Z60" i="10"/>
  <c r="Z117" i="10"/>
  <c r="Z469" i="10"/>
  <c r="Z65" i="10"/>
  <c r="Z461" i="10"/>
  <c r="Z131" i="10"/>
  <c r="Z520" i="10"/>
  <c r="Z414" i="10"/>
  <c r="Z296" i="10"/>
  <c r="Z239" i="10"/>
  <c r="Z166" i="10"/>
  <c r="Z523" i="10"/>
  <c r="Z59" i="10"/>
  <c r="Z492" i="10"/>
  <c r="Z197" i="10"/>
  <c r="Z416" i="10"/>
  <c r="Z489" i="10"/>
  <c r="Z221" i="10"/>
  <c r="Z292" i="10"/>
  <c r="Z120" i="10"/>
  <c r="Z288" i="10"/>
  <c r="Z493" i="10"/>
  <c r="Z126" i="10"/>
  <c r="Z69" i="10"/>
  <c r="Z228" i="10"/>
  <c r="Z332" i="10"/>
  <c r="Z331" i="10"/>
  <c r="Z124" i="10"/>
  <c r="Z253" i="10"/>
  <c r="Z53" i="10"/>
  <c r="Z545" i="10"/>
  <c r="Z322" i="10"/>
  <c r="Z334" i="10"/>
  <c r="Z275" i="10"/>
  <c r="Z27" i="10"/>
  <c r="Z80" i="10"/>
  <c r="Z148" i="10"/>
  <c r="Z175" i="10"/>
  <c r="Z438" i="10"/>
  <c r="Z96" i="10"/>
  <c r="Z119" i="10"/>
  <c r="Z459" i="10"/>
  <c r="Z518" i="10"/>
  <c r="Z382" i="10"/>
  <c r="Z515" i="10"/>
  <c r="Z365" i="10"/>
  <c r="Z297" i="10"/>
  <c r="Z289" i="10"/>
  <c r="Z405" i="10"/>
  <c r="Z269" i="10"/>
  <c r="Z494" i="10"/>
  <c r="Z258" i="10"/>
  <c r="Z147" i="10"/>
  <c r="Z437" i="10"/>
  <c r="Z231" i="10"/>
  <c r="Z456" i="10"/>
  <c r="Z279" i="10"/>
  <c r="Z537" i="10"/>
  <c r="Z187" i="10"/>
  <c r="Z83" i="10"/>
  <c r="Z535" i="10"/>
  <c r="Z10" i="10"/>
  <c r="Z431" i="10"/>
  <c r="Z486" i="10"/>
  <c r="Z361" i="10"/>
  <c r="Z324" i="10"/>
  <c r="Z33" i="10"/>
  <c r="Z19" i="10"/>
  <c r="Z31" i="10"/>
  <c r="Z39" i="10"/>
  <c r="Z551" i="10"/>
  <c r="Z115" i="10"/>
  <c r="Z543" i="10"/>
  <c r="Z202" i="10"/>
  <c r="Z475" i="10"/>
  <c r="Z287" i="10"/>
  <c r="Z385" i="10"/>
  <c r="Z260" i="10"/>
  <c r="Z503" i="10"/>
  <c r="Z404" i="10"/>
  <c r="Z48" i="10"/>
  <c r="Z400" i="10"/>
  <c r="Z516" i="10"/>
  <c r="Z335" i="10"/>
  <c r="Z90" i="10"/>
  <c r="Z391" i="10"/>
  <c r="Z74" i="10"/>
  <c r="Z369" i="10"/>
  <c r="Z541" i="10"/>
  <c r="Z349" i="10"/>
  <c r="Z360" i="10"/>
  <c r="Z316" i="10"/>
  <c r="Z443" i="10"/>
  <c r="Z92" i="10"/>
  <c r="Z93" i="10"/>
  <c r="Z389" i="10"/>
  <c r="Z522" i="10"/>
  <c r="Z532" i="10"/>
  <c r="Z67" i="10"/>
  <c r="Z149" i="10"/>
  <c r="Z113" i="10"/>
  <c r="Z163" i="10"/>
  <c r="Z428" i="10"/>
  <c r="Z314" i="10"/>
  <c r="Z274" i="10"/>
  <c r="Z77" i="10"/>
  <c r="Z112" i="10"/>
  <c r="Z98" i="10"/>
  <c r="Z190" i="10"/>
  <c r="Z457" i="10"/>
  <c r="Z301" i="10"/>
  <c r="Z390" i="10"/>
  <c r="Z220" i="10"/>
  <c r="Z458" i="10"/>
  <c r="Z88" i="10"/>
  <c r="Z266" i="10"/>
  <c r="Z273" i="10"/>
  <c r="Z157" i="10"/>
  <c r="Z208" i="10"/>
  <c r="Z72" i="10"/>
  <c r="Z497" i="10"/>
  <c r="Z510" i="10"/>
  <c r="Z313" i="10"/>
  <c r="Z168" i="10"/>
  <c r="Z345" i="10"/>
  <c r="Z240" i="10"/>
  <c r="Z326" i="10"/>
  <c r="Z178" i="10"/>
  <c r="Z531" i="10"/>
  <c r="Z137" i="10"/>
  <c r="Z123" i="10"/>
  <c r="Z359" i="10"/>
  <c r="Z511" i="10"/>
  <c r="Z9" i="10"/>
  <c r="Z11" i="10"/>
  <c r="Z34" i="5"/>
  <c r="Z559" i="5"/>
  <c r="Z428" i="5"/>
  <c r="Z359" i="5"/>
  <c r="Z372" i="5"/>
  <c r="Z64" i="5"/>
  <c r="Z434" i="5"/>
  <c r="Z223" i="5"/>
  <c r="Z464" i="5"/>
  <c r="Z313" i="5"/>
  <c r="Z8" i="5"/>
  <c r="Z540" i="5"/>
  <c r="Z308" i="5"/>
  <c r="Z424" i="5"/>
  <c r="Z229" i="5"/>
  <c r="Z381" i="5"/>
  <c r="Z549" i="5"/>
  <c r="Z136" i="5"/>
  <c r="Z529" i="5"/>
  <c r="Z474" i="5"/>
  <c r="Z226" i="5"/>
  <c r="Z554" i="5"/>
  <c r="Z509" i="5"/>
  <c r="Z295" i="5"/>
  <c r="Z58" i="5"/>
  <c r="Z523" i="5"/>
  <c r="Z94" i="5"/>
  <c r="Z373" i="5"/>
  <c r="Z160" i="5"/>
  <c r="Z211" i="5"/>
  <c r="Z502" i="5"/>
  <c r="Z104" i="5"/>
  <c r="Z535" i="5"/>
  <c r="Z415" i="5"/>
  <c r="Z182" i="5"/>
  <c r="Z514" i="5"/>
  <c r="Z446" i="5"/>
  <c r="Z272" i="5"/>
  <c r="Z528" i="5"/>
  <c r="Z475" i="5"/>
  <c r="Z427" i="5"/>
  <c r="Z482" i="5"/>
  <c r="Z488" i="5"/>
  <c r="Z249" i="5"/>
  <c r="Z22" i="5"/>
  <c r="Z413" i="5"/>
  <c r="Z495" i="5"/>
  <c r="Z44" i="5"/>
  <c r="Z448" i="5"/>
  <c r="Z350" i="5"/>
  <c r="Z186" i="5"/>
  <c r="Z436" i="5"/>
  <c r="Z525" i="5"/>
  <c r="Z216" i="5"/>
  <c r="Z456" i="5"/>
  <c r="Z560" i="5"/>
  <c r="Z521" i="5"/>
  <c r="Z10" i="5"/>
  <c r="Z244" i="5"/>
  <c r="Z276" i="5"/>
  <c r="Z79" i="5"/>
  <c r="Z496" i="5"/>
  <c r="Z353" i="5"/>
  <c r="Z504" i="5"/>
  <c r="Z538" i="5"/>
  <c r="Z401" i="5"/>
  <c r="Z150" i="5"/>
  <c r="Z497" i="5"/>
  <c r="Z110" i="5"/>
  <c r="Z534" i="5"/>
  <c r="Z480" i="5"/>
  <c r="Z296" i="5"/>
  <c r="Z382" i="5"/>
  <c r="Z469" i="5"/>
  <c r="Z431" i="5"/>
  <c r="Z95" i="5"/>
  <c r="Z555" i="5"/>
  <c r="Z397" i="5"/>
  <c r="Z178" i="5"/>
  <c r="Z527" i="5"/>
  <c r="Z433" i="5"/>
  <c r="Z461" i="5"/>
  <c r="Z426" i="5"/>
  <c r="Z551" i="5"/>
  <c r="Z512" i="5"/>
  <c r="Z552" i="5"/>
  <c r="Z210" i="5"/>
  <c r="Z371" i="5"/>
  <c r="Z485" i="5"/>
  <c r="Z246" i="5"/>
  <c r="Z334" i="5"/>
  <c r="Z52" i="5"/>
  <c r="Z342" i="5"/>
  <c r="Z328" i="5"/>
  <c r="Z137" i="5"/>
  <c r="Z490" i="5"/>
  <c r="Z557" i="5"/>
  <c r="Z232" i="5"/>
  <c r="Z491" i="5"/>
  <c r="Z470" i="5"/>
  <c r="Z543" i="5"/>
  <c r="Z162" i="5"/>
  <c r="Z550" i="5"/>
  <c r="Z278" i="5"/>
  <c r="Z532" i="5"/>
  <c r="Z463" i="5"/>
  <c r="Z317" i="5"/>
  <c r="Z43" i="5"/>
  <c r="Z513" i="5"/>
  <c r="Z384" i="5"/>
  <c r="Z120" i="5"/>
  <c r="Z460" i="5"/>
  <c r="Z453" i="5"/>
  <c r="Z499" i="5"/>
  <c r="Z406" i="5"/>
  <c r="Z322" i="5"/>
  <c r="Z207" i="5"/>
  <c r="Z69" i="5"/>
  <c r="Z42" i="5"/>
  <c r="Z100" i="5"/>
  <c r="Z250" i="5"/>
  <c r="Z248" i="5"/>
  <c r="Z375" i="5"/>
  <c r="Z311" i="5"/>
  <c r="Z437" i="5"/>
  <c r="Z432" i="5"/>
  <c r="Z429" i="5"/>
  <c r="Z316" i="5"/>
  <c r="Z61" i="5"/>
  <c r="Z161" i="5"/>
  <c r="Z206" i="5"/>
  <c r="Z291" i="5"/>
  <c r="Z351" i="5"/>
  <c r="Z412" i="5"/>
  <c r="Z421" i="5"/>
  <c r="Z355" i="5"/>
  <c r="Z349" i="5"/>
  <c r="Z541" i="5"/>
  <c r="Z471" i="5"/>
  <c r="Z386" i="5"/>
  <c r="Z304" i="5"/>
  <c r="Z56" i="5"/>
  <c r="Z50" i="5"/>
  <c r="Z112" i="5"/>
  <c r="Z282" i="5"/>
  <c r="Z185" i="5"/>
  <c r="Z275" i="5"/>
  <c r="Z143" i="5"/>
  <c r="Z390" i="5"/>
  <c r="Z466" i="5"/>
  <c r="Z378" i="5"/>
  <c r="Z273" i="5"/>
  <c r="Z109" i="5"/>
  <c r="Z30" i="5"/>
  <c r="Z87" i="5"/>
  <c r="Z151" i="5"/>
  <c r="Z194" i="5"/>
  <c r="Z284" i="5"/>
  <c r="Z414" i="5"/>
  <c r="Z344" i="5"/>
  <c r="Z459" i="5"/>
  <c r="Z454" i="5"/>
  <c r="Z450" i="5"/>
  <c r="Z362" i="5"/>
  <c r="Z65" i="5"/>
  <c r="Z146" i="5"/>
  <c r="Z233" i="5"/>
  <c r="Z321" i="5"/>
  <c r="Z347" i="5"/>
  <c r="Z251" i="5"/>
  <c r="Z376" i="5"/>
  <c r="Z396" i="5"/>
  <c r="Z410" i="5"/>
  <c r="Z553" i="5"/>
  <c r="Z409" i="5"/>
  <c r="Z556" i="5"/>
  <c r="Z511" i="5"/>
  <c r="Z398" i="5"/>
  <c r="Z306" i="5"/>
  <c r="Z187" i="5"/>
  <c r="Z66" i="5"/>
  <c r="Z59" i="5"/>
  <c r="Z80" i="5"/>
  <c r="Z123" i="5"/>
  <c r="Z297" i="5"/>
  <c r="Z192" i="5"/>
  <c r="Z169" i="5"/>
  <c r="Z484" i="5"/>
  <c r="Z348" i="5"/>
  <c r="Z298" i="5"/>
  <c r="Z172" i="5"/>
  <c r="Z47" i="5"/>
  <c r="Z88" i="5"/>
  <c r="Z99" i="5"/>
  <c r="Z228" i="5"/>
  <c r="Z326" i="5"/>
  <c r="Z435" i="5"/>
  <c r="Z356" i="5"/>
  <c r="Z477" i="5"/>
  <c r="Z465" i="5"/>
  <c r="Z481" i="5"/>
  <c r="Z458" i="5"/>
  <c r="Z70" i="5"/>
  <c r="Z129" i="5"/>
  <c r="Z132" i="5"/>
  <c r="Z268" i="5"/>
  <c r="Z385" i="5"/>
  <c r="Z325" i="5"/>
  <c r="Z452" i="5"/>
  <c r="Z444" i="5"/>
  <c r="Z441" i="5"/>
  <c r="Z340" i="5"/>
  <c r="Z542" i="5"/>
  <c r="Z516" i="5"/>
  <c r="Z473" i="5"/>
  <c r="Z364" i="5"/>
  <c r="Z257" i="5"/>
  <c r="Z168" i="5"/>
  <c r="Z26" i="5"/>
  <c r="Z24" i="5"/>
  <c r="Z91" i="5"/>
  <c r="Z133" i="5"/>
  <c r="Z156" i="5"/>
  <c r="Z195" i="5"/>
  <c r="Z197" i="5"/>
  <c r="Z253" i="5"/>
  <c r="Z290" i="5"/>
  <c r="Z314" i="5"/>
  <c r="Z417" i="5"/>
  <c r="Z25" i="5"/>
  <c r="Z32" i="5"/>
  <c r="Z86" i="5"/>
  <c r="Z119" i="5"/>
  <c r="Z166" i="5"/>
  <c r="Z217" i="5"/>
  <c r="Z198" i="5"/>
  <c r="Z302" i="5"/>
  <c r="Z255" i="5"/>
  <c r="Z243" i="5"/>
  <c r="Z292" i="5"/>
  <c r="Z76" i="5"/>
  <c r="Z405" i="5"/>
  <c r="Z266" i="5"/>
  <c r="Z323" i="5"/>
  <c r="Z152" i="5"/>
  <c r="Z35" i="5"/>
  <c r="Z97" i="5"/>
  <c r="Z174" i="5"/>
  <c r="Z200" i="5"/>
  <c r="Z260" i="5"/>
  <c r="Z338" i="5"/>
  <c r="Z366" i="5"/>
  <c r="Z492" i="5"/>
  <c r="Z476" i="5"/>
  <c r="Z493" i="5"/>
  <c r="Z31" i="5"/>
  <c r="Z83" i="5"/>
  <c r="Z167" i="5"/>
  <c r="Z204" i="5"/>
  <c r="Z294" i="5"/>
  <c r="Z422" i="5"/>
  <c r="Z345" i="5"/>
  <c r="Z462" i="5"/>
  <c r="Z455" i="5"/>
  <c r="Z451" i="5"/>
  <c r="Z368" i="5"/>
  <c r="Z524" i="5"/>
  <c r="Z354" i="5"/>
  <c r="Z449" i="5"/>
  <c r="Z336" i="5"/>
  <c r="Z283" i="5"/>
  <c r="Z148" i="5"/>
  <c r="Z36" i="5"/>
  <c r="Z45" i="5"/>
  <c r="Z90" i="5"/>
  <c r="Z147" i="5"/>
  <c r="Z175" i="5"/>
  <c r="Z113" i="5"/>
  <c r="Z214" i="5"/>
  <c r="Z264" i="5"/>
  <c r="Z309" i="5"/>
  <c r="Z324" i="5"/>
  <c r="Z425" i="5"/>
  <c r="Z41" i="5"/>
  <c r="Z62" i="5"/>
  <c r="Z102" i="5"/>
  <c r="Z138" i="5"/>
  <c r="Z180" i="5"/>
  <c r="Z230" i="5"/>
  <c r="Z208" i="5"/>
  <c r="Z310" i="5"/>
  <c r="Z265" i="5"/>
  <c r="Z343" i="5"/>
  <c r="Z357" i="5"/>
  <c r="Z134" i="5"/>
  <c r="Z307" i="5"/>
  <c r="Z63" i="5"/>
  <c r="Z183" i="5"/>
  <c r="Z301" i="5"/>
  <c r="Z262" i="5"/>
  <c r="Z149" i="5"/>
  <c r="Z315" i="5"/>
  <c r="Z139" i="5"/>
  <c r="Z49" i="5"/>
  <c r="Z288" i="5"/>
  <c r="Z271" i="5"/>
  <c r="Z546" i="5"/>
  <c r="Z258" i="5"/>
  <c r="Z399" i="5"/>
  <c r="Z261" i="5"/>
  <c r="Z144" i="5"/>
  <c r="Z46" i="5"/>
  <c r="Z111" i="5"/>
  <c r="Z145" i="5"/>
  <c r="Z224" i="5"/>
  <c r="Z279" i="5"/>
  <c r="Z377" i="5"/>
  <c r="Z388" i="5"/>
  <c r="Z505" i="5"/>
  <c r="Z503" i="5"/>
  <c r="Z508" i="5"/>
  <c r="Z20" i="5"/>
  <c r="Z108" i="5"/>
  <c r="Z159" i="5"/>
  <c r="Z241" i="5"/>
  <c r="Z212" i="5"/>
  <c r="Z442" i="5"/>
  <c r="Z358" i="5"/>
  <c r="Z478" i="5"/>
  <c r="Z467" i="5"/>
  <c r="Z487" i="5"/>
  <c r="Z472" i="5"/>
  <c r="Z483" i="5"/>
  <c r="Z544" i="5"/>
  <c r="Z387" i="5"/>
  <c r="Z416" i="5"/>
  <c r="Z303" i="5"/>
  <c r="Z122" i="5"/>
  <c r="Z48" i="5"/>
  <c r="Z54" i="5"/>
  <c r="Z89" i="5"/>
  <c r="Z154" i="5"/>
  <c r="Z115" i="5"/>
  <c r="Z191" i="5"/>
  <c r="Z231" i="5"/>
  <c r="Z285" i="5"/>
  <c r="Z329" i="5"/>
  <c r="Z339" i="5"/>
  <c r="Z439" i="5"/>
  <c r="Z38" i="5"/>
  <c r="Z75" i="5"/>
  <c r="Z81" i="5"/>
  <c r="Z158" i="5"/>
  <c r="Z127" i="5"/>
  <c r="Z240" i="5"/>
  <c r="Z220" i="5"/>
  <c r="Z165" i="5"/>
  <c r="Z277" i="5"/>
  <c r="Z369" i="5"/>
  <c r="Z78" i="5"/>
  <c r="Z225" i="5"/>
  <c r="Z333" i="5"/>
  <c r="Z125" i="5"/>
  <c r="Z242" i="5"/>
  <c r="Z227" i="5"/>
  <c r="Z51" i="5"/>
  <c r="Z332" i="5"/>
  <c r="Z181" i="5"/>
  <c r="Z101" i="5"/>
  <c r="Z440" i="5"/>
  <c r="Z19" i="5"/>
  <c r="Z545" i="5"/>
  <c r="Z500" i="5"/>
  <c r="Z370" i="5"/>
  <c r="Z215" i="5"/>
  <c r="Z105" i="5"/>
  <c r="Z73" i="5"/>
  <c r="Z131" i="5"/>
  <c r="Z193" i="5"/>
  <c r="Z247" i="5"/>
  <c r="Z312" i="5"/>
  <c r="Z392" i="5"/>
  <c r="Z400" i="5"/>
  <c r="Z537" i="5"/>
  <c r="Z519" i="5"/>
  <c r="Z522" i="5"/>
  <c r="Z29" i="5"/>
  <c r="Z103" i="5"/>
  <c r="Z106" i="5"/>
  <c r="Z209" i="5"/>
  <c r="Z270" i="5"/>
  <c r="Z360" i="5"/>
  <c r="Z374" i="5"/>
  <c r="Z498" i="5"/>
  <c r="Z479" i="5"/>
  <c r="Z494" i="5"/>
  <c r="Z533" i="5"/>
  <c r="Z438" i="5"/>
  <c r="Z518" i="5"/>
  <c r="Z531" i="5"/>
  <c r="Z389" i="5"/>
  <c r="Z245" i="5"/>
  <c r="Z128" i="5"/>
  <c r="Z23" i="5"/>
  <c r="Z68" i="5"/>
  <c r="Z74" i="5"/>
  <c r="Z114" i="5"/>
  <c r="Z164" i="5"/>
  <c r="Z213" i="5"/>
  <c r="Z163" i="5"/>
  <c r="Z300" i="5"/>
  <c r="Z254" i="5"/>
  <c r="Z361" i="5"/>
  <c r="Z286" i="5"/>
  <c r="Z28" i="5"/>
  <c r="Z67" i="5"/>
  <c r="Z117" i="5"/>
  <c r="Z124" i="5"/>
  <c r="Z173" i="5"/>
  <c r="Z126" i="5"/>
  <c r="Z234" i="5"/>
  <c r="Z267" i="5"/>
  <c r="Z287" i="5"/>
  <c r="Z383" i="5"/>
  <c r="Z37" i="5"/>
  <c r="Z201" i="5"/>
  <c r="Z352" i="5"/>
  <c r="Z142" i="5"/>
  <c r="Z280" i="5"/>
  <c r="Z171" i="5"/>
  <c r="Z92" i="5"/>
  <c r="Z269" i="5"/>
  <c r="Z238" i="5"/>
  <c r="Z155" i="5"/>
  <c r="Z346" i="5"/>
  <c r="Z501" i="5"/>
  <c r="Z526" i="5"/>
  <c r="Z468" i="5"/>
  <c r="Z423" i="5"/>
  <c r="Z205" i="5"/>
  <c r="Z84" i="5"/>
  <c r="Z53" i="5"/>
  <c r="Z153" i="5"/>
  <c r="Z190" i="5"/>
  <c r="Z281" i="5"/>
  <c r="Z337" i="5"/>
  <c r="Z408" i="5"/>
  <c r="Z420" i="5"/>
  <c r="Z341" i="5"/>
  <c r="Z327" i="5"/>
  <c r="Z539" i="5"/>
  <c r="Z39" i="5"/>
  <c r="Z118" i="5"/>
  <c r="Z177" i="5"/>
  <c r="Z239" i="5"/>
  <c r="Z289" i="5"/>
  <c r="Z380" i="5"/>
  <c r="Z394" i="5"/>
  <c r="Z507" i="5"/>
  <c r="Z506" i="5"/>
  <c r="Z510" i="5"/>
  <c r="Z558" i="5"/>
  <c r="Z547" i="5"/>
  <c r="Z489" i="5"/>
  <c r="Z486" i="5"/>
  <c r="Z335" i="5"/>
  <c r="Z199" i="5"/>
  <c r="Z96" i="5"/>
  <c r="Z98" i="5"/>
  <c r="Z176" i="5"/>
  <c r="Z263" i="5"/>
  <c r="Z82" i="5"/>
  <c r="Z184" i="5"/>
  <c r="Z404" i="5"/>
  <c r="Z40" i="5"/>
  <c r="Z219" i="5"/>
  <c r="Z179" i="5"/>
  <c r="Z57" i="5"/>
  <c r="Z330" i="5"/>
  <c r="Z443" i="5"/>
  <c r="Z536" i="5"/>
  <c r="Z391" i="5"/>
  <c r="Z363" i="5"/>
  <c r="Z235" i="5"/>
  <c r="Z71" i="5"/>
  <c r="Z77" i="5"/>
  <c r="Z130" i="5"/>
  <c r="Z222" i="5"/>
  <c r="Z305" i="5"/>
  <c r="Z318" i="5"/>
  <c r="Z419" i="5"/>
  <c r="Z367" i="5"/>
  <c r="Z393" i="5"/>
  <c r="Z407" i="5"/>
  <c r="Z548" i="5"/>
  <c r="Z60" i="5"/>
  <c r="Z140" i="5"/>
  <c r="Z203" i="5"/>
  <c r="Z259" i="5"/>
  <c r="Z320" i="5"/>
  <c r="Z395" i="5"/>
  <c r="Z403" i="5"/>
  <c r="Z189" i="5"/>
  <c r="Z520" i="5"/>
  <c r="Z530" i="5"/>
  <c r="Z447" i="5"/>
  <c r="Z515" i="5"/>
  <c r="Z445" i="5"/>
  <c r="Z457" i="5"/>
  <c r="Z411" i="5"/>
  <c r="Z188" i="5"/>
  <c r="Z85" i="5"/>
  <c r="Z33" i="5"/>
  <c r="Z72" i="5"/>
  <c r="Z107" i="5"/>
  <c r="Z157" i="5"/>
  <c r="Z121" i="5"/>
  <c r="Z236" i="5"/>
  <c r="Z218" i="5"/>
  <c r="Z331" i="5"/>
  <c r="Z274" i="5"/>
  <c r="Z365" i="5"/>
  <c r="Z27" i="5"/>
  <c r="Z55" i="5"/>
  <c r="Z93" i="5"/>
  <c r="Z135" i="5"/>
  <c r="Z141" i="5"/>
  <c r="Z196" i="5"/>
  <c r="Z202" i="5"/>
  <c r="Z256" i="5"/>
  <c r="Z293" i="5"/>
  <c r="Z319" i="5"/>
  <c r="Z418" i="5"/>
  <c r="Z517" i="5"/>
  <c r="Z299" i="5"/>
  <c r="Z221" i="5"/>
  <c r="Z21" i="5"/>
  <c r="Z116" i="5"/>
  <c r="Z252" i="5"/>
  <c r="Z379" i="5"/>
  <c r="Z170" i="5"/>
  <c r="Z430" i="5"/>
  <c r="Z402" i="5"/>
  <c r="Z237" i="5"/>
  <c r="Z9" i="5"/>
  <c r="Z11" i="5"/>
  <c r="AQ157" i="4"/>
  <c r="AR157" i="4" s="1"/>
  <c r="AS157" i="4" s="1"/>
  <c r="AQ133" i="4"/>
  <c r="AR133" i="4" s="1"/>
  <c r="AQ126" i="4"/>
  <c r="AR126" i="4" s="1"/>
  <c r="AS126" i="4" s="1"/>
  <c r="AN150" i="4"/>
  <c r="AS150" i="4" s="1"/>
  <c r="AQ152" i="4"/>
  <c r="AR152" i="4" s="1"/>
  <c r="AS152" i="4" s="1"/>
  <c r="AR131" i="4"/>
  <c r="AS131" i="4" s="1"/>
  <c r="AR127" i="4"/>
  <c r="AS127" i="4" s="1"/>
  <c r="AN122" i="4"/>
  <c r="AS122" i="4" s="1"/>
  <c r="AN154" i="4"/>
  <c r="AS154" i="4" s="1"/>
  <c r="AR155" i="4"/>
  <c r="AS155" i="4" s="1"/>
  <c r="AS121" i="4"/>
  <c r="BX8" i="4"/>
  <c r="AS15" i="4"/>
  <c r="BZ7" i="4"/>
  <c r="AS17" i="4"/>
  <c r="AS93" i="4"/>
  <c r="AS31" i="4"/>
  <c r="AS144" i="4"/>
  <c r="AS94" i="4"/>
  <c r="AS89" i="4"/>
  <c r="AS80" i="4"/>
  <c r="AD113" i="4"/>
  <c r="AE113" i="4" s="1"/>
  <c r="BX113" i="4" s="1"/>
  <c r="AH113" i="4"/>
  <c r="AJ113" i="4" s="1"/>
  <c r="AD104" i="4"/>
  <c r="AE104" i="4" s="1"/>
  <c r="BX104" i="4" s="1"/>
  <c r="AH104" i="4"/>
  <c r="AJ104" i="4" s="1"/>
  <c r="AD137" i="4"/>
  <c r="AE137" i="4" s="1"/>
  <c r="BX137" i="4" s="1"/>
  <c r="AH137" i="4"/>
  <c r="AJ137" i="4" s="1"/>
  <c r="AD65" i="4"/>
  <c r="AE65" i="4" s="1"/>
  <c r="BX65" i="4" s="1"/>
  <c r="AH65" i="4"/>
  <c r="AJ65" i="4" s="1"/>
  <c r="AD32" i="4"/>
  <c r="AE32" i="4" s="1"/>
  <c r="BX32" i="4" s="1"/>
  <c r="AH32" i="4"/>
  <c r="AJ32" i="4" s="1"/>
  <c r="AD106" i="4"/>
  <c r="AE106" i="4" s="1"/>
  <c r="BX106" i="4" s="1"/>
  <c r="AH106" i="4"/>
  <c r="AJ106" i="4" s="1"/>
  <c r="AD54" i="4"/>
  <c r="AE54" i="4" s="1"/>
  <c r="BX54" i="4" s="1"/>
  <c r="AH54" i="4"/>
  <c r="AJ54" i="4" s="1"/>
  <c r="AD148" i="4"/>
  <c r="AE148" i="4" s="1"/>
  <c r="BX148" i="4" s="1"/>
  <c r="AH148" i="4"/>
  <c r="AJ148" i="4" s="1"/>
  <c r="AD124" i="4"/>
  <c r="AE124" i="4" s="1"/>
  <c r="BX124" i="4" s="1"/>
  <c r="AH124" i="4"/>
  <c r="AJ124" i="4" s="1"/>
  <c r="AD82" i="4"/>
  <c r="AE82" i="4" s="1"/>
  <c r="BX82" i="4" s="1"/>
  <c r="AH82" i="4"/>
  <c r="AJ82" i="4" s="1"/>
  <c r="AD111" i="4"/>
  <c r="AE111" i="4" s="1"/>
  <c r="BX111" i="4" s="1"/>
  <c r="AH111" i="4"/>
  <c r="AJ111" i="4" s="1"/>
  <c r="AD47" i="4"/>
  <c r="AE47" i="4" s="1"/>
  <c r="BX47" i="4" s="1"/>
  <c r="AH47" i="4"/>
  <c r="AJ47" i="4" s="1"/>
  <c r="AD64" i="4"/>
  <c r="AE64" i="4" s="1"/>
  <c r="BX64" i="4" s="1"/>
  <c r="AH64" i="4"/>
  <c r="AJ64" i="4" s="1"/>
  <c r="AD146" i="4"/>
  <c r="AE146" i="4" s="1"/>
  <c r="BX146" i="4" s="1"/>
  <c r="AH146" i="4"/>
  <c r="AJ146" i="4" s="1"/>
  <c r="AD21" i="4"/>
  <c r="AE21" i="4" s="1"/>
  <c r="BX21" i="4" s="1"/>
  <c r="AH21" i="4"/>
  <c r="AJ21" i="4" s="1"/>
  <c r="AD79" i="4"/>
  <c r="AE79" i="4" s="1"/>
  <c r="BX79" i="4" s="1"/>
  <c r="AH79" i="4"/>
  <c r="AJ79" i="4" s="1"/>
  <c r="AD46" i="4"/>
  <c r="AE46" i="4" s="1"/>
  <c r="BX46" i="4" s="1"/>
  <c r="AH46" i="4"/>
  <c r="AJ46" i="4" s="1"/>
  <c r="AD117" i="4"/>
  <c r="AE117" i="4" s="1"/>
  <c r="BX117" i="4" s="1"/>
  <c r="AH117" i="4"/>
  <c r="AJ117" i="4" s="1"/>
  <c r="AD157" i="4"/>
  <c r="AE157" i="4" s="1"/>
  <c r="BX157" i="4" s="1"/>
  <c r="AH157" i="4"/>
  <c r="AJ157" i="4" s="1"/>
  <c r="AD143" i="4"/>
  <c r="AE143" i="4" s="1"/>
  <c r="BX143" i="4" s="1"/>
  <c r="AH143" i="4"/>
  <c r="AJ143" i="4" s="1"/>
  <c r="AD122" i="4"/>
  <c r="AE122" i="4" s="1"/>
  <c r="BX122" i="4" s="1"/>
  <c r="AH122" i="4"/>
  <c r="AJ122" i="4" s="1"/>
  <c r="AD59" i="4"/>
  <c r="AE59" i="4" s="1"/>
  <c r="BX59" i="4" s="1"/>
  <c r="AH59" i="4"/>
  <c r="AJ59" i="4" s="1"/>
  <c r="AD140" i="4"/>
  <c r="AE140" i="4" s="1"/>
  <c r="BX140" i="4" s="1"/>
  <c r="AH140" i="4"/>
  <c r="AJ140" i="4" s="1"/>
  <c r="AD24" i="4"/>
  <c r="AE24" i="4" s="1"/>
  <c r="BX24" i="4" s="1"/>
  <c r="AH24" i="4"/>
  <c r="AJ24" i="4" s="1"/>
  <c r="AD136" i="4"/>
  <c r="AE136" i="4" s="1"/>
  <c r="BX136" i="4" s="1"/>
  <c r="AH136" i="4"/>
  <c r="AJ136" i="4" s="1"/>
  <c r="AD49" i="4"/>
  <c r="AE49" i="4" s="1"/>
  <c r="BX49" i="4" s="1"/>
  <c r="AH49" i="4"/>
  <c r="AJ49" i="4" s="1"/>
  <c r="AD48" i="4"/>
  <c r="AE48" i="4" s="1"/>
  <c r="BX48" i="4" s="1"/>
  <c r="AH48" i="4"/>
  <c r="AJ48" i="4" s="1"/>
  <c r="AD94" i="4"/>
  <c r="AE94" i="4" s="1"/>
  <c r="BX94" i="4" s="1"/>
  <c r="AH94" i="4"/>
  <c r="AJ94" i="4" s="1"/>
  <c r="AD102" i="4"/>
  <c r="AE102" i="4" s="1"/>
  <c r="BX102" i="4" s="1"/>
  <c r="AH102" i="4"/>
  <c r="AJ102" i="4" s="1"/>
  <c r="AD39" i="4"/>
  <c r="AE39" i="4" s="1"/>
  <c r="BX39" i="4" s="1"/>
  <c r="AH39" i="4"/>
  <c r="AJ39" i="4" s="1"/>
  <c r="AD81" i="4"/>
  <c r="AE81" i="4" s="1"/>
  <c r="BX81" i="4" s="1"/>
  <c r="AH81" i="4"/>
  <c r="AJ81" i="4" s="1"/>
  <c r="AD118" i="4"/>
  <c r="AE118" i="4" s="1"/>
  <c r="BX118" i="4" s="1"/>
  <c r="AH118" i="4"/>
  <c r="AJ118" i="4" s="1"/>
  <c r="AD149" i="4"/>
  <c r="AE149" i="4" s="1"/>
  <c r="BX149" i="4" s="1"/>
  <c r="AH149" i="4"/>
  <c r="AJ149" i="4" s="1"/>
  <c r="AD26" i="4"/>
  <c r="AE26" i="4" s="1"/>
  <c r="BX26" i="4" s="1"/>
  <c r="AH26" i="4"/>
  <c r="AJ26" i="4" s="1"/>
  <c r="AD110" i="4"/>
  <c r="AE110" i="4" s="1"/>
  <c r="BX110" i="4" s="1"/>
  <c r="AH110" i="4"/>
  <c r="AJ110" i="4" s="1"/>
  <c r="AD19" i="4"/>
  <c r="AE19" i="4" s="1"/>
  <c r="BX19" i="4" s="1"/>
  <c r="AH19" i="4"/>
  <c r="AJ19" i="4" s="1"/>
  <c r="AD156" i="4"/>
  <c r="AE156" i="4" s="1"/>
  <c r="BX156" i="4" s="1"/>
  <c r="AH156" i="4"/>
  <c r="AJ156" i="4" s="1"/>
  <c r="AD126" i="4"/>
  <c r="AE126" i="4" s="1"/>
  <c r="BX126" i="4" s="1"/>
  <c r="AH126" i="4"/>
  <c r="AJ126" i="4" s="1"/>
  <c r="AS57" i="4"/>
  <c r="AS39" i="4"/>
  <c r="AS27" i="4"/>
  <c r="AS70" i="4"/>
  <c r="AS53" i="4"/>
  <c r="AS43" i="4"/>
  <c r="AS73" i="4"/>
  <c r="AS58" i="4"/>
  <c r="AS133" i="4"/>
  <c r="AJ97" i="4"/>
  <c r="AS88" i="4"/>
  <c r="AS103" i="4"/>
  <c r="AS25" i="4"/>
  <c r="AS50" i="4"/>
  <c r="AS97" i="4"/>
  <c r="AS61" i="4"/>
  <c r="AS151" i="4"/>
  <c r="AS76" i="4"/>
  <c r="AS12" i="4"/>
  <c r="AS16" i="4"/>
  <c r="AJ90" i="4"/>
  <c r="AS67" i="4"/>
  <c r="AS109" i="4"/>
  <c r="AN24" i="4"/>
  <c r="AS51" i="4"/>
  <c r="AS69" i="4"/>
  <c r="AS141" i="4"/>
  <c r="AS30" i="4"/>
  <c r="AS8" i="4"/>
  <c r="AN65" i="4"/>
  <c r="AS52" i="4"/>
  <c r="AS82" i="4"/>
  <c r="AN81" i="4"/>
  <c r="AS81" i="4" s="1"/>
  <c r="AS90" i="4"/>
  <c r="AS119" i="4"/>
  <c r="AS41" i="4"/>
  <c r="AS38" i="4"/>
  <c r="AE25" i="4"/>
  <c r="BX25" i="4" s="1"/>
  <c r="AE89" i="4"/>
  <c r="BX89" i="4" s="1"/>
  <c r="AQ145" i="4"/>
  <c r="AR145" i="4" s="1"/>
  <c r="AE41" i="4"/>
  <c r="BX41" i="4" s="1"/>
  <c r="AE55" i="4"/>
  <c r="BX55" i="4" s="1"/>
  <c r="AE31" i="4"/>
  <c r="BX31" i="4" s="1"/>
  <c r="AE33" i="4"/>
  <c r="BX33" i="4" s="1"/>
  <c r="AE56" i="4"/>
  <c r="BX56" i="4" s="1"/>
  <c r="AE37" i="4"/>
  <c r="BX37" i="4" s="1"/>
  <c r="AE45" i="4"/>
  <c r="BX45" i="4" s="1"/>
  <c r="AE58" i="4"/>
  <c r="BX58" i="4" s="1"/>
  <c r="AE130" i="4"/>
  <c r="BX130" i="4" s="1"/>
  <c r="AE109" i="4"/>
  <c r="BX109" i="4" s="1"/>
  <c r="AE34" i="4"/>
  <c r="BX34" i="4" s="1"/>
  <c r="AQ65" i="4"/>
  <c r="AR65" i="4" s="1"/>
  <c r="AQ19" i="4"/>
  <c r="AR19" i="4" s="1"/>
  <c r="AS19" i="4" s="1"/>
  <c r="AS75" i="4"/>
  <c r="AN149" i="4"/>
  <c r="AQ108" i="4"/>
  <c r="AR108" i="4" s="1"/>
  <c r="AQ143" i="4"/>
  <c r="AR143" i="4" s="1"/>
  <c r="AQ146" i="4"/>
  <c r="AR146" i="4" s="1"/>
  <c r="AN156" i="4"/>
  <c r="AN110" i="4"/>
  <c r="AS29" i="4"/>
  <c r="AN116" i="4"/>
  <c r="AS23" i="4"/>
  <c r="AE105" i="4"/>
  <c r="BX105" i="4" s="1"/>
  <c r="AE17" i="4"/>
  <c r="BX17" i="4" s="1"/>
  <c r="AE29" i="4"/>
  <c r="BX29" i="4" s="1"/>
  <c r="AE135" i="4"/>
  <c r="BX135" i="4" s="1"/>
  <c r="AE99" i="4"/>
  <c r="BX99" i="4" s="1"/>
  <c r="AE95" i="4"/>
  <c r="BX95" i="4" s="1"/>
  <c r="AQ24" i="4"/>
  <c r="AR24" i="4" s="1"/>
  <c r="AQ49" i="4"/>
  <c r="AR49" i="4" s="1"/>
  <c r="AS49" i="4" s="1"/>
  <c r="AN124" i="4"/>
  <c r="AN136" i="4"/>
  <c r="AS136" i="4" s="1"/>
  <c r="AQ137" i="4"/>
  <c r="AQ21" i="4"/>
  <c r="AR21" i="4" s="1"/>
  <c r="AE57" i="4"/>
  <c r="BX57" i="4" s="1"/>
  <c r="AE87" i="4"/>
  <c r="BX87" i="4" s="1"/>
  <c r="AE116" i="4"/>
  <c r="BX116" i="4" s="1"/>
  <c r="AE91" i="4"/>
  <c r="BX91" i="4" s="1"/>
  <c r="AE10" i="4"/>
  <c r="BX10" i="4" s="1"/>
  <c r="AN145" i="4"/>
  <c r="AQ54" i="4"/>
  <c r="AR54" i="4" s="1"/>
  <c r="AN117" i="4"/>
  <c r="AS117" i="4" s="1"/>
  <c r="AQ113" i="4"/>
  <c r="AR113" i="4" s="1"/>
  <c r="AN148" i="4"/>
  <c r="AS148" i="4" s="1"/>
  <c r="AS34" i="4"/>
  <c r="AS63" i="4"/>
  <c r="AQ130" i="4"/>
  <c r="AR130" i="4" s="1"/>
  <c r="AS130" i="4" s="1"/>
  <c r="BT8" i="4"/>
  <c r="AQ110" i="4"/>
  <c r="AR110" i="4" s="1"/>
  <c r="AN146" i="4"/>
  <c r="AN54" i="4"/>
  <c r="AQ116" i="4"/>
  <c r="AR116" i="4" s="1"/>
  <c r="AQ124" i="4"/>
  <c r="AR124" i="4" s="1"/>
  <c r="AJ52" i="4"/>
  <c r="AN21" i="4"/>
  <c r="AN108" i="4"/>
  <c r="AN143" i="4"/>
  <c r="AN142" i="4"/>
  <c r="AQ142" i="4"/>
  <c r="AR142" i="4" s="1"/>
  <c r="AN113" i="4"/>
  <c r="AN137" i="4"/>
  <c r="AQ149" i="4"/>
  <c r="AR149" i="4" s="1"/>
  <c r="AQ156" i="4"/>
  <c r="AR156" i="4" s="1"/>
  <c r="AN140" i="4"/>
  <c r="AQ140" i="4"/>
  <c r="AR140" i="4" s="1"/>
  <c r="AQ123" i="4"/>
  <c r="AN123" i="4"/>
  <c r="AJ123" i="4"/>
  <c r="AJ108" i="4"/>
  <c r="AS132" i="4"/>
  <c r="AS44" i="4"/>
  <c r="AS114" i="4"/>
  <c r="AS32" i="4"/>
  <c r="AS92" i="4"/>
  <c r="AS112" i="4"/>
  <c r="AS106" i="4"/>
  <c r="AS96" i="4"/>
  <c r="AS26" i="4"/>
  <c r="AS100" i="4"/>
  <c r="AS64" i="4"/>
  <c r="AS48" i="4"/>
  <c r="AS79" i="4"/>
  <c r="AS128" i="4"/>
  <c r="AS134" i="4"/>
  <c r="AQ118" i="4"/>
  <c r="AR118" i="4" s="1"/>
  <c r="AN118" i="4"/>
  <c r="AQ46" i="4"/>
  <c r="AR46" i="4" s="1"/>
  <c r="AN46" i="4"/>
  <c r="AN104" i="4"/>
  <c r="AQ104" i="4"/>
  <c r="AR104" i="4" s="1"/>
  <c r="AN47" i="4"/>
  <c r="AQ47" i="4"/>
  <c r="AR47" i="4" s="1"/>
  <c r="AJ16" i="4"/>
  <c r="AJ120" i="4"/>
  <c r="AJ95" i="4"/>
  <c r="AJ41" i="4"/>
  <c r="AJ87" i="4"/>
  <c r="AJ37" i="4"/>
  <c r="AJ133" i="4"/>
  <c r="AJ33" i="4"/>
  <c r="AJ25" i="4"/>
  <c r="AJ152" i="4"/>
  <c r="AJ57" i="4"/>
  <c r="AJ107" i="4"/>
  <c r="BY107" i="4" s="1"/>
  <c r="BZ107" i="4" s="1"/>
  <c r="AJ105" i="4"/>
  <c r="AJ55" i="4"/>
  <c r="AJ155" i="4"/>
  <c r="AJ83" i="4"/>
  <c r="AJ89" i="4"/>
  <c r="AJ62" i="4"/>
  <c r="AJ69" i="4"/>
  <c r="AJ29" i="4"/>
  <c r="AJ99" i="4"/>
  <c r="AJ75" i="4"/>
  <c r="AJ142" i="4"/>
  <c r="AJ116" i="4"/>
  <c r="AJ109" i="4"/>
  <c r="AJ76" i="4"/>
  <c r="AJ45" i="4"/>
  <c r="AJ58" i="4"/>
  <c r="AJ31" i="4"/>
  <c r="AJ56" i="4"/>
  <c r="AJ150" i="4"/>
  <c r="AJ130" i="4"/>
  <c r="AJ91" i="4"/>
  <c r="AJ135" i="4"/>
  <c r="AJ72" i="4"/>
  <c r="AC378" i="10" l="1"/>
  <c r="AC189" i="10"/>
  <c r="AC227" i="10"/>
  <c r="AD227" i="10" s="1"/>
  <c r="AC265" i="10"/>
  <c r="AE265" i="10" s="1"/>
  <c r="AC258" i="10"/>
  <c r="AC311" i="10"/>
  <c r="AD311" i="10" s="1"/>
  <c r="AC49" i="10"/>
  <c r="AE49" i="10" s="1"/>
  <c r="AC327" i="10"/>
  <c r="AE327" i="10" s="1"/>
  <c r="AC558" i="10"/>
  <c r="AD558" i="10" s="1"/>
  <c r="AC190" i="10"/>
  <c r="AD190" i="10" s="1"/>
  <c r="AC518" i="10"/>
  <c r="AD518" i="10" s="1"/>
  <c r="AC371" i="10"/>
  <c r="AE371" i="10" s="1"/>
  <c r="AC154" i="10"/>
  <c r="AC333" i="10"/>
  <c r="AD333" i="10" s="1"/>
  <c r="AC393" i="10"/>
  <c r="AE393" i="10" s="1"/>
  <c r="AC146" i="10"/>
  <c r="AD146" i="10" s="1"/>
  <c r="AC414" i="10"/>
  <c r="AC235" i="10"/>
  <c r="AD235" i="10" s="1"/>
  <c r="AC53" i="10"/>
  <c r="AE53" i="10" s="1"/>
  <c r="AC381" i="10"/>
  <c r="AE381" i="10" s="1"/>
  <c r="AC339" i="10"/>
  <c r="AC545" i="10"/>
  <c r="AC463" i="10"/>
  <c r="AE463" i="10" s="1"/>
  <c r="AC401" i="10"/>
  <c r="AD401" i="10" s="1"/>
  <c r="AC512" i="10"/>
  <c r="AE512" i="10" s="1"/>
  <c r="AC362" i="10"/>
  <c r="AD362" i="10" s="1"/>
  <c r="AC434" i="10"/>
  <c r="AE434" i="10" s="1"/>
  <c r="AC238" i="10"/>
  <c r="AE238" i="10" s="1"/>
  <c r="AC534" i="10"/>
  <c r="AC124" i="10"/>
  <c r="AD124" i="10" s="1"/>
  <c r="AC83" i="10"/>
  <c r="AE83" i="10" s="1"/>
  <c r="AC249" i="10"/>
  <c r="AE249" i="10" s="1"/>
  <c r="AC423" i="10"/>
  <c r="AE423" i="10" s="1"/>
  <c r="AC69" i="10"/>
  <c r="AD69" i="10" s="1"/>
  <c r="AC376" i="10"/>
  <c r="AD376" i="10" s="1"/>
  <c r="AC92" i="10"/>
  <c r="AE92" i="10" s="1"/>
  <c r="AC62" i="10"/>
  <c r="AC486" i="10"/>
  <c r="AE486" i="10" s="1"/>
  <c r="AC364" i="10"/>
  <c r="AE364" i="10" s="1"/>
  <c r="AC336" i="10"/>
  <c r="AD336" i="10" s="1"/>
  <c r="AC173" i="10"/>
  <c r="AE173" i="10" s="1"/>
  <c r="AC269" i="10"/>
  <c r="AD269" i="10" s="1"/>
  <c r="AC539" i="10"/>
  <c r="AD539" i="10" s="1"/>
  <c r="AC314" i="10"/>
  <c r="AC90" i="10"/>
  <c r="AC416" i="10"/>
  <c r="AE416" i="10" s="1"/>
  <c r="AC61" i="10"/>
  <c r="AD61" i="10" s="1"/>
  <c r="AC278" i="10"/>
  <c r="AD278" i="10" s="1"/>
  <c r="AC426" i="10"/>
  <c r="AC395" i="10"/>
  <c r="AC242" i="10"/>
  <c r="AE242" i="10" s="1"/>
  <c r="AC519" i="10"/>
  <c r="AC139" i="10"/>
  <c r="AC304" i="10"/>
  <c r="AD304" i="10" s="1"/>
  <c r="AC478" i="10"/>
  <c r="AD478" i="10" s="1"/>
  <c r="AC520" i="10"/>
  <c r="AD520" i="10" s="1"/>
  <c r="AC73" i="10"/>
  <c r="AC413" i="5"/>
  <c r="AC548" i="10"/>
  <c r="AE548" i="10" s="1"/>
  <c r="AC319" i="10"/>
  <c r="AC446" i="10"/>
  <c r="AC550" i="10"/>
  <c r="AD550" i="10" s="1"/>
  <c r="AC57" i="10"/>
  <c r="AE57" i="10" s="1"/>
  <c r="AA40" i="5"/>
  <c r="AB40" i="5"/>
  <c r="AB300" i="5"/>
  <c r="AA300" i="5"/>
  <c r="AB240" i="5"/>
  <c r="AA240" i="5"/>
  <c r="AB90" i="5"/>
  <c r="AA90" i="5"/>
  <c r="AB441" i="5"/>
  <c r="AA441" i="5"/>
  <c r="AB87" i="5"/>
  <c r="AA87" i="5"/>
  <c r="AA334" i="5"/>
  <c r="AB334" i="5"/>
  <c r="AB373" i="5"/>
  <c r="AA373" i="5"/>
  <c r="AB149" i="10"/>
  <c r="AA149" i="10"/>
  <c r="AA288" i="10"/>
  <c r="AB288" i="10"/>
  <c r="AB402" i="10"/>
  <c r="AA402" i="10"/>
  <c r="AB340" i="10"/>
  <c r="AA340" i="10"/>
  <c r="AB422" i="10"/>
  <c r="AA422" i="10"/>
  <c r="AB305" i="10"/>
  <c r="AA305" i="10"/>
  <c r="AB472" i="10"/>
  <c r="AA472" i="10"/>
  <c r="AA170" i="5"/>
  <c r="AB170" i="5"/>
  <c r="AA418" i="5"/>
  <c r="AB418" i="5"/>
  <c r="AB93" i="5"/>
  <c r="AA93" i="5"/>
  <c r="AA121" i="5"/>
  <c r="AB121" i="5"/>
  <c r="AA457" i="5"/>
  <c r="AB457" i="5"/>
  <c r="AB395" i="5"/>
  <c r="AA395" i="5"/>
  <c r="AB393" i="5"/>
  <c r="AA393" i="5"/>
  <c r="AB71" i="5"/>
  <c r="AA71" i="5"/>
  <c r="AA179" i="5"/>
  <c r="AB179" i="5"/>
  <c r="AA98" i="5"/>
  <c r="AB98" i="5"/>
  <c r="AB510" i="5"/>
  <c r="AA510" i="5"/>
  <c r="AB118" i="5"/>
  <c r="AA118" i="5"/>
  <c r="AB281" i="5"/>
  <c r="AA281" i="5"/>
  <c r="AA526" i="5"/>
  <c r="AB526" i="5"/>
  <c r="AA280" i="5"/>
  <c r="AB280" i="5"/>
  <c r="AB234" i="5"/>
  <c r="AA234" i="5"/>
  <c r="AA361" i="5"/>
  <c r="AB361" i="5"/>
  <c r="AA68" i="5"/>
  <c r="AB68" i="5"/>
  <c r="AB533" i="5"/>
  <c r="AA533" i="5"/>
  <c r="AA106" i="5"/>
  <c r="AB106" i="5"/>
  <c r="AA312" i="5"/>
  <c r="AB312" i="5"/>
  <c r="AB500" i="5"/>
  <c r="AA500" i="5"/>
  <c r="AB227" i="5"/>
  <c r="AA227" i="5"/>
  <c r="AA165" i="5"/>
  <c r="AB165" i="5"/>
  <c r="AB439" i="5"/>
  <c r="AA439" i="5"/>
  <c r="AA89" i="5"/>
  <c r="AB89" i="5"/>
  <c r="AB483" i="5"/>
  <c r="AA483" i="5"/>
  <c r="AB241" i="5"/>
  <c r="AA241" i="5"/>
  <c r="AA377" i="5"/>
  <c r="AB377" i="5"/>
  <c r="AA399" i="5"/>
  <c r="AB399" i="5"/>
  <c r="AB149" i="5"/>
  <c r="AA149" i="5"/>
  <c r="AA343" i="5"/>
  <c r="AB343" i="5"/>
  <c r="AB62" i="5"/>
  <c r="AA62" i="5"/>
  <c r="AA175" i="5"/>
  <c r="AB175" i="5"/>
  <c r="AA449" i="5"/>
  <c r="AB449" i="5"/>
  <c r="AB422" i="5"/>
  <c r="AA422" i="5"/>
  <c r="AB492" i="5"/>
  <c r="AA492" i="5"/>
  <c r="AB152" i="5"/>
  <c r="AA152" i="5"/>
  <c r="AA302" i="5"/>
  <c r="AB302" i="5"/>
  <c r="AB417" i="5"/>
  <c r="AA417" i="5"/>
  <c r="AA91" i="5"/>
  <c r="AB91" i="5"/>
  <c r="AA542" i="5"/>
  <c r="AB542" i="5"/>
  <c r="AA132" i="5"/>
  <c r="AB132" i="5"/>
  <c r="AB435" i="5"/>
  <c r="AA435" i="5"/>
  <c r="AA348" i="5"/>
  <c r="AB348" i="5"/>
  <c r="AB66" i="5"/>
  <c r="AA66" i="5"/>
  <c r="AA410" i="5"/>
  <c r="AB410" i="5"/>
  <c r="AB65" i="5"/>
  <c r="AA65" i="5"/>
  <c r="AB194" i="5"/>
  <c r="AA194" i="5"/>
  <c r="AA390" i="5"/>
  <c r="AB390" i="5"/>
  <c r="AB304" i="5"/>
  <c r="AA304" i="5"/>
  <c r="AB351" i="5"/>
  <c r="AA351" i="5"/>
  <c r="AA419" i="5"/>
  <c r="AB419" i="5"/>
  <c r="AB352" i="5"/>
  <c r="AA352" i="5"/>
  <c r="AB125" i="5"/>
  <c r="AA125" i="5"/>
  <c r="AB301" i="5"/>
  <c r="AA301" i="5"/>
  <c r="AB217" i="5"/>
  <c r="AA217" i="5"/>
  <c r="AB376" i="5"/>
  <c r="AA376" i="5"/>
  <c r="AB406" i="5"/>
  <c r="AA406" i="5"/>
  <c r="AB186" i="5"/>
  <c r="AA186" i="5"/>
  <c r="AA168" i="10"/>
  <c r="AB168" i="10"/>
  <c r="AA147" i="10"/>
  <c r="AB147" i="10"/>
  <c r="AA215" i="10"/>
  <c r="AB215" i="10"/>
  <c r="AA394" i="10"/>
  <c r="AB394" i="10"/>
  <c r="AB201" i="10"/>
  <c r="AA201" i="10"/>
  <c r="AA379" i="5"/>
  <c r="AB379" i="5"/>
  <c r="AB319" i="5"/>
  <c r="AA319" i="5"/>
  <c r="AB55" i="5"/>
  <c r="AA55" i="5"/>
  <c r="AA157" i="5"/>
  <c r="AB157" i="5"/>
  <c r="AB445" i="5"/>
  <c r="AA445" i="5"/>
  <c r="AB320" i="5"/>
  <c r="AA320" i="5"/>
  <c r="AB367" i="5"/>
  <c r="AA367" i="5"/>
  <c r="AA235" i="5"/>
  <c r="AB235" i="5"/>
  <c r="AB219" i="5"/>
  <c r="AA219" i="5"/>
  <c r="AA96" i="5"/>
  <c r="AB96" i="5"/>
  <c r="AA506" i="5"/>
  <c r="AB506" i="5"/>
  <c r="AA39" i="5"/>
  <c r="AB39" i="5"/>
  <c r="AA190" i="5"/>
  <c r="AB190" i="5"/>
  <c r="AA501" i="5"/>
  <c r="AB501" i="5"/>
  <c r="AA142" i="5"/>
  <c r="AB142" i="5"/>
  <c r="AB126" i="5"/>
  <c r="AA126" i="5"/>
  <c r="AB254" i="5"/>
  <c r="AA254" i="5"/>
  <c r="AA23" i="5"/>
  <c r="AB23" i="5"/>
  <c r="AB494" i="5"/>
  <c r="AA494" i="5"/>
  <c r="AA103" i="5"/>
  <c r="AB103" i="5"/>
  <c r="AB247" i="5"/>
  <c r="AA247" i="5"/>
  <c r="AB545" i="5"/>
  <c r="AA545" i="5"/>
  <c r="AA242" i="5"/>
  <c r="AB242" i="5"/>
  <c r="AB220" i="5"/>
  <c r="AA220" i="5"/>
  <c r="AB339" i="5"/>
  <c r="AA339" i="5"/>
  <c r="AA54" i="5"/>
  <c r="AB54" i="5"/>
  <c r="AA472" i="5"/>
  <c r="AB472" i="5"/>
  <c r="AB159" i="5"/>
  <c r="AA159" i="5"/>
  <c r="AB279" i="5"/>
  <c r="AA279" i="5"/>
  <c r="AA258" i="5"/>
  <c r="AB258" i="5"/>
  <c r="AB262" i="5"/>
  <c r="AA262" i="5"/>
  <c r="AB265" i="5"/>
  <c r="AA265" i="5"/>
  <c r="AB41" i="5"/>
  <c r="AA41" i="5"/>
  <c r="AA147" i="5"/>
  <c r="AB147" i="5"/>
  <c r="AA354" i="5"/>
  <c r="AB354" i="5"/>
  <c r="AB294" i="5"/>
  <c r="AA294" i="5"/>
  <c r="AA366" i="5"/>
  <c r="AB366" i="5"/>
  <c r="AA323" i="5"/>
  <c r="AB323" i="5"/>
  <c r="AB198" i="5"/>
  <c r="AA198" i="5"/>
  <c r="AA314" i="5"/>
  <c r="AB314" i="5"/>
  <c r="AB24" i="5"/>
  <c r="AA24" i="5"/>
  <c r="AB340" i="5"/>
  <c r="AA340" i="5"/>
  <c r="AB129" i="5"/>
  <c r="AA129" i="5"/>
  <c r="AB326" i="5"/>
  <c r="AA326" i="5"/>
  <c r="AA484" i="5"/>
  <c r="AB484" i="5"/>
  <c r="AA187" i="5"/>
  <c r="AB187" i="5"/>
  <c r="AA396" i="5"/>
  <c r="AB396" i="5"/>
  <c r="AB362" i="5"/>
  <c r="AA362" i="5"/>
  <c r="AB151" i="5"/>
  <c r="AA151" i="5"/>
  <c r="AA143" i="5"/>
  <c r="AB143" i="5"/>
  <c r="AB386" i="5"/>
  <c r="AA386" i="5"/>
  <c r="AA291" i="5"/>
  <c r="AB291" i="5"/>
  <c r="AA311" i="5"/>
  <c r="AB311" i="5"/>
  <c r="AA322" i="5"/>
  <c r="AB322" i="5"/>
  <c r="AB43" i="5"/>
  <c r="AA43" i="5"/>
  <c r="AB470" i="5"/>
  <c r="AA470" i="5"/>
  <c r="AB293" i="5"/>
  <c r="AA293" i="5"/>
  <c r="AB199" i="5"/>
  <c r="AA199" i="5"/>
  <c r="AA128" i="5"/>
  <c r="AB128" i="5"/>
  <c r="AA487" i="5"/>
  <c r="AB487" i="5"/>
  <c r="AA524" i="5"/>
  <c r="AB524" i="5"/>
  <c r="AB290" i="5"/>
  <c r="AA290" i="5"/>
  <c r="AA450" i="5"/>
  <c r="AB450" i="5"/>
  <c r="AB491" i="5"/>
  <c r="AA491" i="5"/>
  <c r="AA514" i="5"/>
  <c r="AB514" i="5"/>
  <c r="AA98" i="10"/>
  <c r="AB98" i="10"/>
  <c r="AB515" i="10"/>
  <c r="AA515" i="10"/>
  <c r="AB407" i="10"/>
  <c r="AA407" i="10"/>
  <c r="AB55" i="10"/>
  <c r="AA55" i="10"/>
  <c r="AB552" i="10"/>
  <c r="AA552" i="10"/>
  <c r="AA129" i="10"/>
  <c r="AB129" i="10"/>
  <c r="AB183" i="10"/>
  <c r="AA183" i="10"/>
  <c r="AA479" i="10"/>
  <c r="AB479" i="10"/>
  <c r="AA20" i="10"/>
  <c r="AB20" i="10"/>
  <c r="AB71" i="10"/>
  <c r="AA71" i="10"/>
  <c r="AB505" i="10"/>
  <c r="AA505" i="10"/>
  <c r="AB36" i="10"/>
  <c r="AA36" i="10"/>
  <c r="AB28" i="10"/>
  <c r="AA28" i="10"/>
  <c r="AB455" i="10"/>
  <c r="AA455" i="10"/>
  <c r="AB94" i="10"/>
  <c r="AA94" i="10"/>
  <c r="AA398" i="10"/>
  <c r="AB398" i="10"/>
  <c r="AB86" i="10"/>
  <c r="AA86" i="10"/>
  <c r="AA521" i="10"/>
  <c r="AB521" i="10"/>
  <c r="AA280" i="10"/>
  <c r="AB280" i="10"/>
  <c r="AC287" i="10"/>
  <c r="AD189" i="10"/>
  <c r="AE189" i="10"/>
  <c r="AE227" i="10"/>
  <c r="AD265" i="10"/>
  <c r="AE258" i="10"/>
  <c r="AD258" i="10"/>
  <c r="AE558" i="10"/>
  <c r="AE190" i="10"/>
  <c r="AC316" i="10"/>
  <c r="AD371" i="10"/>
  <c r="AD154" i="10"/>
  <c r="AE154" i="10"/>
  <c r="AD414" i="10"/>
  <c r="AE414" i="10"/>
  <c r="AD339" i="10"/>
  <c r="AE339" i="10"/>
  <c r="AC183" i="10"/>
  <c r="AC94" i="10"/>
  <c r="AC105" i="10"/>
  <c r="AD512" i="10"/>
  <c r="AC20" i="10"/>
  <c r="AE534" i="10"/>
  <c r="AD534" i="10"/>
  <c r="AC402" i="10"/>
  <c r="AE62" i="10"/>
  <c r="AD62" i="10"/>
  <c r="AA259" i="5"/>
  <c r="AB259" i="5"/>
  <c r="AB153" i="5"/>
  <c r="AA153" i="5"/>
  <c r="AA19" i="5"/>
  <c r="AB19" i="5"/>
  <c r="AB546" i="5"/>
  <c r="AA546" i="5"/>
  <c r="AB338" i="5"/>
  <c r="AA338" i="5"/>
  <c r="AA169" i="5"/>
  <c r="AB169" i="5"/>
  <c r="AB375" i="5"/>
  <c r="AA375" i="5"/>
  <c r="AA150" i="5"/>
  <c r="AB150" i="5"/>
  <c r="AA372" i="5"/>
  <c r="AB372" i="5"/>
  <c r="AB19" i="10"/>
  <c r="AA19" i="10"/>
  <c r="AB59" i="10"/>
  <c r="AA59" i="10"/>
  <c r="AA230" i="10"/>
  <c r="AB230" i="10"/>
  <c r="AB99" i="10"/>
  <c r="AA99" i="10"/>
  <c r="AB379" i="10"/>
  <c r="AA379" i="10"/>
  <c r="AA445" i="10"/>
  <c r="AB445" i="10"/>
  <c r="AA384" i="10"/>
  <c r="AB384" i="10"/>
  <c r="AB365" i="5"/>
  <c r="AA365" i="5"/>
  <c r="AB391" i="5"/>
  <c r="AA391" i="5"/>
  <c r="AA53" i="5"/>
  <c r="AB53" i="5"/>
  <c r="AB245" i="5"/>
  <c r="AA245" i="5"/>
  <c r="AA333" i="5"/>
  <c r="AB333" i="5"/>
  <c r="AA20" i="5"/>
  <c r="AB20" i="5"/>
  <c r="AA324" i="5"/>
  <c r="AB324" i="5"/>
  <c r="AA368" i="5"/>
  <c r="AB368" i="5"/>
  <c r="AB253" i="5"/>
  <c r="AA253" i="5"/>
  <c r="AB168" i="5"/>
  <c r="AA168" i="5"/>
  <c r="AA458" i="5"/>
  <c r="AB458" i="5"/>
  <c r="AA99" i="5"/>
  <c r="AB99" i="5"/>
  <c r="AA192" i="5"/>
  <c r="AB192" i="5"/>
  <c r="AB398" i="5"/>
  <c r="AA398" i="5"/>
  <c r="AA251" i="5"/>
  <c r="AB251" i="5"/>
  <c r="AB454" i="5"/>
  <c r="AA454" i="5"/>
  <c r="AB30" i="5"/>
  <c r="AA30" i="5"/>
  <c r="AA185" i="5"/>
  <c r="AB185" i="5"/>
  <c r="AA541" i="5"/>
  <c r="AB541" i="5"/>
  <c r="AB161" i="5"/>
  <c r="AA161" i="5"/>
  <c r="AB248" i="5"/>
  <c r="AA248" i="5"/>
  <c r="AB499" i="5"/>
  <c r="AA499" i="5"/>
  <c r="AA463" i="5"/>
  <c r="AB463" i="5"/>
  <c r="AA232" i="5"/>
  <c r="AB232" i="5"/>
  <c r="AB246" i="5"/>
  <c r="AA246" i="5"/>
  <c r="AA461" i="5"/>
  <c r="AB461" i="5"/>
  <c r="AB469" i="5"/>
  <c r="AA469" i="5"/>
  <c r="AB401" i="5"/>
  <c r="AA401" i="5"/>
  <c r="AB10" i="5"/>
  <c r="AA10" i="5"/>
  <c r="AA350" i="5"/>
  <c r="AB350" i="5"/>
  <c r="AB482" i="5"/>
  <c r="AA482" i="5"/>
  <c r="AA182" i="5"/>
  <c r="AB182" i="5"/>
  <c r="AA94" i="5"/>
  <c r="AB94" i="5"/>
  <c r="AA474" i="5"/>
  <c r="AB474" i="5"/>
  <c r="AB540" i="5"/>
  <c r="AA540" i="5"/>
  <c r="AB359" i="5"/>
  <c r="AA359" i="5"/>
  <c r="AB123" i="10"/>
  <c r="AA123" i="10"/>
  <c r="AB313" i="10"/>
  <c r="AA313" i="10"/>
  <c r="AA88" i="10"/>
  <c r="AB88" i="10"/>
  <c r="AB112" i="10"/>
  <c r="AA112" i="10"/>
  <c r="AB67" i="10"/>
  <c r="AA67" i="10"/>
  <c r="AA360" i="10"/>
  <c r="AB360" i="10"/>
  <c r="AA516" i="10"/>
  <c r="AB516" i="10"/>
  <c r="AB475" i="10"/>
  <c r="AA475" i="10"/>
  <c r="AB33" i="10"/>
  <c r="AA33" i="10"/>
  <c r="AA83" i="10"/>
  <c r="AB83" i="10"/>
  <c r="AA258" i="10"/>
  <c r="AB258" i="10"/>
  <c r="AB382" i="10"/>
  <c r="AA382" i="10"/>
  <c r="AA80" i="10"/>
  <c r="AB80" i="10"/>
  <c r="AB107" i="5"/>
  <c r="AA107" i="5"/>
  <c r="AA539" i="5"/>
  <c r="AB539" i="5"/>
  <c r="AB29" i="5"/>
  <c r="AA29" i="5"/>
  <c r="AA108" i="5"/>
  <c r="AB108" i="5"/>
  <c r="AB204" i="5"/>
  <c r="AA204" i="5"/>
  <c r="AB228" i="5"/>
  <c r="AA228" i="5"/>
  <c r="AB317" i="5"/>
  <c r="AA317" i="5"/>
  <c r="AA488" i="5"/>
  <c r="AB488" i="5"/>
  <c r="AA266" i="10"/>
  <c r="AB266" i="10"/>
  <c r="AA424" i="10"/>
  <c r="AB424" i="10"/>
  <c r="AA247" i="10"/>
  <c r="AB247" i="10"/>
  <c r="AB164" i="10"/>
  <c r="AA164" i="10"/>
  <c r="AA97" i="10"/>
  <c r="AB97" i="10"/>
  <c r="AB346" i="10"/>
  <c r="AA346" i="10"/>
  <c r="AB51" i="10"/>
  <c r="AA51" i="10"/>
  <c r="AA11" i="5"/>
  <c r="AB11" i="5"/>
  <c r="AB447" i="5"/>
  <c r="AA447" i="5"/>
  <c r="AA335" i="5"/>
  <c r="AB335" i="5"/>
  <c r="AB201" i="5"/>
  <c r="AA201" i="5"/>
  <c r="AA498" i="5"/>
  <c r="AB498" i="5"/>
  <c r="AB127" i="5"/>
  <c r="AA127" i="5"/>
  <c r="AB145" i="5"/>
  <c r="AA145" i="5"/>
  <c r="AA45" i="5"/>
  <c r="AB45" i="5"/>
  <c r="AB166" i="5"/>
  <c r="AA166" i="5"/>
  <c r="AA444" i="5"/>
  <c r="AB444" i="5"/>
  <c r="AA9" i="5"/>
  <c r="AB9" i="5"/>
  <c r="AA21" i="5"/>
  <c r="AB21" i="5"/>
  <c r="AB202" i="5"/>
  <c r="AA202" i="5"/>
  <c r="AB274" i="5"/>
  <c r="AA274" i="5"/>
  <c r="AA33" i="5"/>
  <c r="AB33" i="5"/>
  <c r="AA530" i="5"/>
  <c r="AB530" i="5"/>
  <c r="AB140" i="5"/>
  <c r="AA140" i="5"/>
  <c r="AA305" i="5"/>
  <c r="AB305" i="5"/>
  <c r="AA536" i="5"/>
  <c r="AB536" i="5"/>
  <c r="AB184" i="5"/>
  <c r="AA184" i="5"/>
  <c r="AA486" i="5"/>
  <c r="AB486" i="5"/>
  <c r="AA380" i="5"/>
  <c r="AB380" i="5"/>
  <c r="AB341" i="5"/>
  <c r="AA341" i="5"/>
  <c r="AB84" i="5"/>
  <c r="AA84" i="5"/>
  <c r="AA238" i="5"/>
  <c r="AB238" i="5"/>
  <c r="AA37" i="5"/>
  <c r="AB37" i="5"/>
  <c r="AA117" i="5"/>
  <c r="AB117" i="5"/>
  <c r="AA213" i="5"/>
  <c r="AB213" i="5"/>
  <c r="AA389" i="5"/>
  <c r="AB389" i="5"/>
  <c r="AB374" i="5"/>
  <c r="AA374" i="5"/>
  <c r="AB519" i="5"/>
  <c r="AA519" i="5"/>
  <c r="AA73" i="5"/>
  <c r="AB73" i="5"/>
  <c r="AB101" i="5"/>
  <c r="AA101" i="5"/>
  <c r="AB225" i="5"/>
  <c r="AA225" i="5"/>
  <c r="AB158" i="5"/>
  <c r="AA158" i="5"/>
  <c r="AA231" i="5"/>
  <c r="AB231" i="5"/>
  <c r="AB303" i="5"/>
  <c r="AA303" i="5"/>
  <c r="AB478" i="5"/>
  <c r="AA478" i="5"/>
  <c r="AA508" i="5"/>
  <c r="AB508" i="5"/>
  <c r="AB111" i="5"/>
  <c r="AA111" i="5"/>
  <c r="AA288" i="5"/>
  <c r="AB288" i="5"/>
  <c r="AB63" i="5"/>
  <c r="AA63" i="5"/>
  <c r="AB230" i="5"/>
  <c r="AA230" i="5"/>
  <c r="AA309" i="5"/>
  <c r="AB309" i="5"/>
  <c r="AB36" i="5"/>
  <c r="AA36" i="5"/>
  <c r="AA451" i="5"/>
  <c r="AB451" i="5"/>
  <c r="AB83" i="5"/>
  <c r="AA83" i="5"/>
  <c r="AB200" i="5"/>
  <c r="AA200" i="5"/>
  <c r="AB252" i="5"/>
  <c r="AA252" i="5"/>
  <c r="AA363" i="5"/>
  <c r="AB363" i="5"/>
  <c r="AA173" i="5"/>
  <c r="AB173" i="5"/>
  <c r="AA329" i="5"/>
  <c r="AB329" i="5"/>
  <c r="AB310" i="5"/>
  <c r="AA310" i="5"/>
  <c r="AA26" i="5"/>
  <c r="AB26" i="5"/>
  <c r="AB275" i="5"/>
  <c r="AA275" i="5"/>
  <c r="AA426" i="5"/>
  <c r="AB426" i="5"/>
  <c r="AB226" i="5"/>
  <c r="AA226" i="5"/>
  <c r="AA316" i="10"/>
  <c r="AB316" i="10"/>
  <c r="AA253" i="10"/>
  <c r="AB253" i="10"/>
  <c r="AA328" i="10"/>
  <c r="AB328" i="10"/>
  <c r="AB156" i="10"/>
  <c r="AA156" i="10"/>
  <c r="AB209" i="10"/>
  <c r="AA209" i="10"/>
  <c r="AB105" i="10"/>
  <c r="AA105" i="10"/>
  <c r="AB397" i="10"/>
  <c r="AA397" i="10"/>
  <c r="AA256" i="5"/>
  <c r="AB256" i="5"/>
  <c r="AB318" i="5"/>
  <c r="AA318" i="5"/>
  <c r="AB327" i="5"/>
  <c r="AA327" i="5"/>
  <c r="AB163" i="5"/>
  <c r="AA163" i="5"/>
  <c r="AA440" i="5"/>
  <c r="AB440" i="5"/>
  <c r="AA467" i="5"/>
  <c r="AB467" i="5"/>
  <c r="AA208" i="5"/>
  <c r="AB208" i="5"/>
  <c r="AA260" i="5"/>
  <c r="AB260" i="5"/>
  <c r="AB237" i="5"/>
  <c r="AA237" i="5"/>
  <c r="AA221" i="5"/>
  <c r="AB221" i="5"/>
  <c r="AB196" i="5"/>
  <c r="AA196" i="5"/>
  <c r="AB331" i="5"/>
  <c r="AA331" i="5"/>
  <c r="AA85" i="5"/>
  <c r="AB85" i="5"/>
  <c r="AB520" i="5"/>
  <c r="AA520" i="5"/>
  <c r="AB60" i="5"/>
  <c r="AA60" i="5"/>
  <c r="AB222" i="5"/>
  <c r="AA222" i="5"/>
  <c r="AB443" i="5"/>
  <c r="AA443" i="5"/>
  <c r="AB82" i="5"/>
  <c r="AA82" i="5"/>
  <c r="AB489" i="5"/>
  <c r="AA489" i="5"/>
  <c r="AB289" i="5"/>
  <c r="AA289" i="5"/>
  <c r="AB420" i="5"/>
  <c r="AA420" i="5"/>
  <c r="AB205" i="5"/>
  <c r="AA205" i="5"/>
  <c r="AA269" i="5"/>
  <c r="AB269" i="5"/>
  <c r="AB383" i="5"/>
  <c r="AA383" i="5"/>
  <c r="AB67" i="5"/>
  <c r="AA67" i="5"/>
  <c r="AB164" i="5"/>
  <c r="AA164" i="5"/>
  <c r="AB531" i="5"/>
  <c r="AA531" i="5"/>
  <c r="AB360" i="5"/>
  <c r="AA360" i="5"/>
  <c r="AB537" i="5"/>
  <c r="AA537" i="5"/>
  <c r="AA105" i="5"/>
  <c r="AB105" i="5"/>
  <c r="AA181" i="5"/>
  <c r="AB181" i="5"/>
  <c r="AB78" i="5"/>
  <c r="AA78" i="5"/>
  <c r="AB81" i="5"/>
  <c r="AA81" i="5"/>
  <c r="AA191" i="5"/>
  <c r="AB191" i="5"/>
  <c r="AA416" i="5"/>
  <c r="AB416" i="5"/>
  <c r="AB358" i="5"/>
  <c r="AA358" i="5"/>
  <c r="AA503" i="5"/>
  <c r="AB503" i="5"/>
  <c r="AB46" i="5"/>
  <c r="AA46" i="5"/>
  <c r="AB49" i="5"/>
  <c r="AA49" i="5"/>
  <c r="AA307" i="5"/>
  <c r="AB307" i="5"/>
  <c r="AA180" i="5"/>
  <c r="AB180" i="5"/>
  <c r="AB264" i="5"/>
  <c r="AA264" i="5"/>
  <c r="AA148" i="5"/>
  <c r="AB148" i="5"/>
  <c r="AB455" i="5"/>
  <c r="AA455" i="5"/>
  <c r="AA31" i="5"/>
  <c r="AB31" i="5"/>
  <c r="AA174" i="5"/>
  <c r="AB174" i="5"/>
  <c r="AA292" i="5"/>
  <c r="AB292" i="5"/>
  <c r="AB86" i="5"/>
  <c r="AA86" i="5"/>
  <c r="AA195" i="5"/>
  <c r="AB195" i="5"/>
  <c r="AB364" i="5"/>
  <c r="AA364" i="5"/>
  <c r="AB27" i="5"/>
  <c r="AA27" i="5"/>
  <c r="AA507" i="5"/>
  <c r="AB507" i="5"/>
  <c r="AB479" i="5"/>
  <c r="AA479" i="5"/>
  <c r="AB48" i="5"/>
  <c r="AA48" i="5"/>
  <c r="AB425" i="5"/>
  <c r="AA425" i="5"/>
  <c r="AB70" i="5"/>
  <c r="AA70" i="5"/>
  <c r="AA471" i="5"/>
  <c r="AB471" i="5"/>
  <c r="AB431" i="5"/>
  <c r="AA431" i="5"/>
  <c r="AB308" i="5"/>
  <c r="AA308" i="5"/>
  <c r="AB335" i="10"/>
  <c r="AA335" i="10"/>
  <c r="AB148" i="10"/>
  <c r="AA148" i="10"/>
  <c r="AA216" i="10"/>
  <c r="AB216" i="10"/>
  <c r="AB136" i="10"/>
  <c r="AA136" i="10"/>
  <c r="AB317" i="10"/>
  <c r="AA317" i="10"/>
  <c r="AB429" i="10"/>
  <c r="AA429" i="10"/>
  <c r="AA170" i="10"/>
  <c r="AB170" i="10"/>
  <c r="AA72" i="5"/>
  <c r="AB72" i="5"/>
  <c r="AA404" i="5"/>
  <c r="AB404" i="5"/>
  <c r="AB155" i="5"/>
  <c r="AA155" i="5"/>
  <c r="AA522" i="5"/>
  <c r="AB522" i="5"/>
  <c r="AA122" i="5"/>
  <c r="AB122" i="5"/>
  <c r="AA183" i="5"/>
  <c r="AB183" i="5"/>
  <c r="AA405" i="5"/>
  <c r="AB405" i="5"/>
  <c r="AB402" i="5"/>
  <c r="AA402" i="5"/>
  <c r="AB299" i="5"/>
  <c r="AA299" i="5"/>
  <c r="AA141" i="5"/>
  <c r="AB141" i="5"/>
  <c r="AA218" i="5"/>
  <c r="AB218" i="5"/>
  <c r="AB188" i="5"/>
  <c r="AA188" i="5"/>
  <c r="AB189" i="5"/>
  <c r="AA189" i="5"/>
  <c r="AA548" i="5"/>
  <c r="AB548" i="5"/>
  <c r="AA130" i="5"/>
  <c r="AB130" i="5"/>
  <c r="AB330" i="5"/>
  <c r="AA330" i="5"/>
  <c r="AB263" i="5"/>
  <c r="AA263" i="5"/>
  <c r="AA547" i="5"/>
  <c r="AB547" i="5"/>
  <c r="AA239" i="5"/>
  <c r="AB239" i="5"/>
  <c r="AA408" i="5"/>
  <c r="AB408" i="5"/>
  <c r="AB423" i="5"/>
  <c r="AA423" i="5"/>
  <c r="AA92" i="5"/>
  <c r="AB92" i="5"/>
  <c r="AA287" i="5"/>
  <c r="AB287" i="5"/>
  <c r="AB28" i="5"/>
  <c r="AA28" i="5"/>
  <c r="AB114" i="5"/>
  <c r="AA114" i="5"/>
  <c r="AB518" i="5"/>
  <c r="AA518" i="5"/>
  <c r="AA270" i="5"/>
  <c r="AB270" i="5"/>
  <c r="AB400" i="5"/>
  <c r="AA400" i="5"/>
  <c r="AB215" i="5"/>
  <c r="AA215" i="5"/>
  <c r="AA332" i="5"/>
  <c r="AB332" i="5"/>
  <c r="AB369" i="5"/>
  <c r="AA369" i="5"/>
  <c r="AA75" i="5"/>
  <c r="AB75" i="5"/>
  <c r="AB115" i="5"/>
  <c r="AA115" i="5"/>
  <c r="AA387" i="5"/>
  <c r="AB387" i="5"/>
  <c r="AB442" i="5"/>
  <c r="AA442" i="5"/>
  <c r="AB505" i="5"/>
  <c r="AA505" i="5"/>
  <c r="AA144" i="5"/>
  <c r="AB144" i="5"/>
  <c r="AA139" i="5"/>
  <c r="AB139" i="5"/>
  <c r="AA134" i="5"/>
  <c r="AB134" i="5"/>
  <c r="AA138" i="5"/>
  <c r="AB138" i="5"/>
  <c r="AA214" i="5"/>
  <c r="AB214" i="5"/>
  <c r="AB283" i="5"/>
  <c r="AA283" i="5"/>
  <c r="AB462" i="5"/>
  <c r="AA462" i="5"/>
  <c r="AB493" i="5"/>
  <c r="AA493" i="5"/>
  <c r="AA515" i="5"/>
  <c r="AB515" i="5"/>
  <c r="AB346" i="5"/>
  <c r="AA346" i="5"/>
  <c r="AA193" i="5"/>
  <c r="AB193" i="5"/>
  <c r="AB224" i="5"/>
  <c r="AA224" i="5"/>
  <c r="AB266" i="5"/>
  <c r="AA266" i="5"/>
  <c r="AA306" i="5"/>
  <c r="AB306" i="5"/>
  <c r="AB206" i="5"/>
  <c r="AA206" i="5"/>
  <c r="AA244" i="5"/>
  <c r="AB244" i="5"/>
  <c r="AA359" i="10"/>
  <c r="AB359" i="10"/>
  <c r="AB287" i="10"/>
  <c r="AA287" i="10"/>
  <c r="AA461" i="10"/>
  <c r="AB461" i="10"/>
  <c r="AA517" i="10"/>
  <c r="AB517" i="10"/>
  <c r="AB415" i="10"/>
  <c r="AA415" i="10"/>
  <c r="AB95" i="10"/>
  <c r="AA95" i="10"/>
  <c r="AB255" i="10"/>
  <c r="AA255" i="10"/>
  <c r="AA211" i="10"/>
  <c r="AB211" i="10"/>
  <c r="AA116" i="5"/>
  <c r="AB116" i="5"/>
  <c r="AB203" i="5"/>
  <c r="AA203" i="5"/>
  <c r="AB394" i="5"/>
  <c r="AA394" i="5"/>
  <c r="AA124" i="5"/>
  <c r="AB124" i="5"/>
  <c r="AB131" i="5"/>
  <c r="AA131" i="5"/>
  <c r="AA285" i="5"/>
  <c r="AB285" i="5"/>
  <c r="AA271" i="5"/>
  <c r="AB271" i="5"/>
  <c r="AB167" i="5"/>
  <c r="AA167" i="5"/>
  <c r="AB430" i="5"/>
  <c r="AA430" i="5"/>
  <c r="AA517" i="5"/>
  <c r="AB517" i="5"/>
  <c r="AA135" i="5"/>
  <c r="AB135" i="5"/>
  <c r="AA236" i="5"/>
  <c r="AB236" i="5"/>
  <c r="AA411" i="5"/>
  <c r="AB411" i="5"/>
  <c r="AA403" i="5"/>
  <c r="AB403" i="5"/>
  <c r="AB407" i="5"/>
  <c r="AA407" i="5"/>
  <c r="AA77" i="5"/>
  <c r="AB77" i="5"/>
  <c r="AB57" i="5"/>
  <c r="AA57" i="5"/>
  <c r="AB176" i="5"/>
  <c r="AA176" i="5"/>
  <c r="AB558" i="5"/>
  <c r="AA558" i="5"/>
  <c r="AB177" i="5"/>
  <c r="AA177" i="5"/>
  <c r="AA337" i="5"/>
  <c r="AB337" i="5"/>
  <c r="AA468" i="5"/>
  <c r="AB468" i="5"/>
  <c r="AB171" i="5"/>
  <c r="AA171" i="5"/>
  <c r="AA267" i="5"/>
  <c r="AB267" i="5"/>
  <c r="AB286" i="5"/>
  <c r="AA286" i="5"/>
  <c r="AA74" i="5"/>
  <c r="AB74" i="5"/>
  <c r="AA438" i="5"/>
  <c r="AB438" i="5"/>
  <c r="AB209" i="5"/>
  <c r="AA209" i="5"/>
  <c r="AB392" i="5"/>
  <c r="AA392" i="5"/>
  <c r="AB370" i="5"/>
  <c r="AA370" i="5"/>
  <c r="AB51" i="5"/>
  <c r="AA51" i="5"/>
  <c r="AB277" i="5"/>
  <c r="AA277" i="5"/>
  <c r="AB38" i="5"/>
  <c r="AA38" i="5"/>
  <c r="AB154" i="5"/>
  <c r="AA154" i="5"/>
  <c r="AB544" i="5"/>
  <c r="AA544" i="5"/>
  <c r="AB212" i="5"/>
  <c r="AA212" i="5"/>
  <c r="AB388" i="5"/>
  <c r="AA388" i="5"/>
  <c r="AB261" i="5"/>
  <c r="AA261" i="5"/>
  <c r="AB315" i="5"/>
  <c r="AA315" i="5"/>
  <c r="AA357" i="5"/>
  <c r="AB357" i="5"/>
  <c r="AA102" i="5"/>
  <c r="AB102" i="5"/>
  <c r="AA113" i="5"/>
  <c r="AB113" i="5"/>
  <c r="AA336" i="5"/>
  <c r="AB336" i="5"/>
  <c r="AB345" i="5"/>
  <c r="AA345" i="5"/>
  <c r="AB476" i="5"/>
  <c r="AA476" i="5"/>
  <c r="AA35" i="5"/>
  <c r="AB35" i="5"/>
  <c r="AA437" i="5"/>
  <c r="AB437" i="5"/>
  <c r="AA207" i="5"/>
  <c r="AB207" i="5"/>
  <c r="AB513" i="5"/>
  <c r="AA513" i="5"/>
  <c r="AB543" i="5"/>
  <c r="AA543" i="5"/>
  <c r="AA342" i="5"/>
  <c r="AB342" i="5"/>
  <c r="AB512" i="5"/>
  <c r="AA512" i="5"/>
  <c r="AA555" i="5"/>
  <c r="AB555" i="5"/>
  <c r="AA110" i="5"/>
  <c r="AB110" i="5"/>
  <c r="AA79" i="5"/>
  <c r="AB79" i="5"/>
  <c r="AA525" i="5"/>
  <c r="AB525" i="5"/>
  <c r="AA22" i="5"/>
  <c r="AB22" i="5"/>
  <c r="AA272" i="5"/>
  <c r="AB272" i="5"/>
  <c r="AA211" i="5"/>
  <c r="AB211" i="5"/>
  <c r="AA509" i="5"/>
  <c r="AB509" i="5"/>
  <c r="AA229" i="5"/>
  <c r="AB229" i="5"/>
  <c r="AA434" i="5"/>
  <c r="AB434" i="5"/>
  <c r="AA9" i="10"/>
  <c r="AB9" i="10"/>
  <c r="AA240" i="10"/>
  <c r="AB240" i="10"/>
  <c r="AB157" i="10"/>
  <c r="AA157" i="10"/>
  <c r="AA457" i="10"/>
  <c r="AB457" i="10"/>
  <c r="AB163" i="10"/>
  <c r="AA163" i="10"/>
  <c r="AA92" i="10"/>
  <c r="AB92" i="10"/>
  <c r="AB391" i="10"/>
  <c r="AA391" i="10"/>
  <c r="AB260" i="10"/>
  <c r="AA260" i="10"/>
  <c r="AB39" i="10"/>
  <c r="AA39" i="10"/>
  <c r="AB10" i="10"/>
  <c r="AA10" i="10"/>
  <c r="AB231" i="10"/>
  <c r="AA231" i="10"/>
  <c r="AA297" i="10"/>
  <c r="AB297" i="10"/>
  <c r="AA438" i="10"/>
  <c r="AB438" i="10"/>
  <c r="AA545" i="10"/>
  <c r="AB545" i="10"/>
  <c r="AB126" i="10"/>
  <c r="AA126" i="10"/>
  <c r="AA197" i="10"/>
  <c r="AB197" i="10"/>
  <c r="AB520" i="10"/>
  <c r="AA520" i="10"/>
  <c r="AB21" i="10"/>
  <c r="AA21" i="10"/>
  <c r="AA174" i="10"/>
  <c r="AB174" i="10"/>
  <c r="AA411" i="10"/>
  <c r="AB411" i="10"/>
  <c r="AB395" i="10"/>
  <c r="AA395" i="10"/>
  <c r="AA188" i="10"/>
  <c r="AB188" i="10"/>
  <c r="AA37" i="10"/>
  <c r="AB37" i="10"/>
  <c r="AA47" i="10"/>
  <c r="AB47" i="10"/>
  <c r="AB519" i="10"/>
  <c r="AA519" i="10"/>
  <c r="AA227" i="10"/>
  <c r="AB227" i="10"/>
  <c r="AA299" i="10"/>
  <c r="AB299" i="10"/>
  <c r="AB508" i="10"/>
  <c r="AA508" i="10"/>
  <c r="AB353" i="10"/>
  <c r="AA353" i="10"/>
  <c r="AA196" i="10"/>
  <c r="AB196" i="10"/>
  <c r="AA154" i="10"/>
  <c r="AB154" i="10"/>
  <c r="AB75" i="10"/>
  <c r="AA75" i="10"/>
  <c r="AB81" i="10"/>
  <c r="AA81" i="10"/>
  <c r="AB261" i="10"/>
  <c r="AA261" i="10"/>
  <c r="AA534" i="10"/>
  <c r="AB534" i="10"/>
  <c r="AB58" i="10"/>
  <c r="AA58" i="10"/>
  <c r="AB210" i="10"/>
  <c r="AA210" i="10"/>
  <c r="AA214" i="10"/>
  <c r="AB214" i="10"/>
  <c r="AA487" i="10"/>
  <c r="AB487" i="10"/>
  <c r="AB362" i="10"/>
  <c r="AA362" i="10"/>
  <c r="AA347" i="10"/>
  <c r="AB347" i="10"/>
  <c r="AA412" i="10"/>
  <c r="AB412" i="10"/>
  <c r="AB22" i="10"/>
  <c r="AA22" i="10"/>
  <c r="AB358" i="10"/>
  <c r="AA358" i="10"/>
  <c r="AB49" i="10"/>
  <c r="AA49" i="10"/>
  <c r="AA336" i="10"/>
  <c r="AB336" i="10"/>
  <c r="AA262" i="10"/>
  <c r="AB262" i="10"/>
  <c r="AA536" i="10"/>
  <c r="AB536" i="10"/>
  <c r="AB380" i="10"/>
  <c r="AA380" i="10"/>
  <c r="AB179" i="10"/>
  <c r="AA179" i="10"/>
  <c r="AA524" i="10"/>
  <c r="AB524" i="10"/>
  <c r="AB560" i="10"/>
  <c r="AA560" i="10"/>
  <c r="AA229" i="10"/>
  <c r="AB229" i="10"/>
  <c r="AB306" i="10"/>
  <c r="AA306" i="10"/>
  <c r="AB102" i="10"/>
  <c r="AA102" i="10"/>
  <c r="AA265" i="10"/>
  <c r="AB265" i="10"/>
  <c r="AA160" i="10"/>
  <c r="AB160" i="10"/>
  <c r="AB138" i="10"/>
  <c r="AA138" i="10"/>
  <c r="AB68" i="10"/>
  <c r="AA68" i="10"/>
  <c r="AB85" i="10"/>
  <c r="AA85" i="10"/>
  <c r="AB79" i="10"/>
  <c r="AA79" i="10"/>
  <c r="AB338" i="10"/>
  <c r="AA338" i="10"/>
  <c r="AB194" i="10"/>
  <c r="AA194" i="10"/>
  <c r="AB546" i="10"/>
  <c r="AA546" i="10"/>
  <c r="AB381" i="10"/>
  <c r="AA381" i="10"/>
  <c r="AA249" i="10"/>
  <c r="AB249" i="10"/>
  <c r="AB114" i="10"/>
  <c r="AA114" i="10"/>
  <c r="AA76" i="10"/>
  <c r="AB76" i="10"/>
  <c r="AB368" i="10"/>
  <c r="AA368" i="10"/>
  <c r="AC458" i="10"/>
  <c r="AE378" i="10"/>
  <c r="AD378" i="10"/>
  <c r="AC296" i="10"/>
  <c r="AC115" i="10"/>
  <c r="AC137" i="10"/>
  <c r="AC427" i="10"/>
  <c r="AC266" i="10"/>
  <c r="AC212" i="10"/>
  <c r="AC492" i="10"/>
  <c r="AC128" i="10"/>
  <c r="AC454" i="10"/>
  <c r="AC54" i="10"/>
  <c r="AC150" i="10"/>
  <c r="AC22" i="10"/>
  <c r="AC473" i="10"/>
  <c r="AC334" i="10"/>
  <c r="AC129" i="10"/>
  <c r="AC313" i="10"/>
  <c r="AC501" i="10"/>
  <c r="AC76" i="10"/>
  <c r="AC331" i="10"/>
  <c r="AC88" i="10"/>
  <c r="AC100" i="10"/>
  <c r="AC391" i="10"/>
  <c r="AC67" i="10"/>
  <c r="AC342" i="10"/>
  <c r="AC325" i="10"/>
  <c r="AC59" i="10"/>
  <c r="AC354" i="10"/>
  <c r="AC256" i="10"/>
  <c r="AC260" i="10"/>
  <c r="AC515" i="10"/>
  <c r="AC176" i="10"/>
  <c r="AC471" i="10"/>
  <c r="AC47" i="10"/>
  <c r="AC79" i="10"/>
  <c r="AC30" i="10"/>
  <c r="AC444" i="10"/>
  <c r="AC254" i="10"/>
  <c r="AC32" i="10"/>
  <c r="AC312" i="10"/>
  <c r="AC397" i="10"/>
  <c r="AC375" i="10"/>
  <c r="AC356" i="10"/>
  <c r="AC152" i="10"/>
  <c r="AC292" i="10"/>
  <c r="AC510" i="10"/>
  <c r="AC223" i="10"/>
  <c r="AC480" i="10"/>
  <c r="AC26" i="10"/>
  <c r="AC86" i="10"/>
  <c r="AC89" i="10"/>
  <c r="AC442" i="10"/>
  <c r="AC352" i="10"/>
  <c r="AC263" i="10"/>
  <c r="AC285" i="10"/>
  <c r="AC552" i="10"/>
  <c r="AC219" i="10"/>
  <c r="AC234" i="10"/>
  <c r="AC175" i="10"/>
  <c r="AC243" i="10"/>
  <c r="AC289" i="10"/>
  <c r="AC229" i="10"/>
  <c r="AC355" i="10"/>
  <c r="AC372" i="10"/>
  <c r="AC306" i="10"/>
  <c r="AC412" i="10"/>
  <c r="AC459" i="10"/>
  <c r="AC19" i="10"/>
  <c r="AC181" i="5"/>
  <c r="AC377" i="5"/>
  <c r="AC209" i="5"/>
  <c r="AC49" i="5"/>
  <c r="AC177" i="5"/>
  <c r="AC560" i="5"/>
  <c r="AC114" i="5"/>
  <c r="AC59" i="5"/>
  <c r="AC483" i="5"/>
  <c r="AC538" i="5"/>
  <c r="AC235" i="5"/>
  <c r="AC172" i="5"/>
  <c r="AC256" i="5"/>
  <c r="AC70" i="5"/>
  <c r="AC533" i="5"/>
  <c r="AC423" i="5"/>
  <c r="AC436" i="5"/>
  <c r="AC347" i="5"/>
  <c r="AC136" i="5"/>
  <c r="AC534" i="5"/>
  <c r="AC299" i="5"/>
  <c r="AC391" i="5"/>
  <c r="AC156" i="5"/>
  <c r="AC474" i="5"/>
  <c r="AC446" i="5"/>
  <c r="AC103" i="5"/>
  <c r="AC476" i="5"/>
  <c r="AC44" i="5"/>
  <c r="AC289" i="5"/>
  <c r="AC296" i="5"/>
  <c r="AC549" i="5"/>
  <c r="AC38" i="5"/>
  <c r="AC518" i="5"/>
  <c r="AC486" i="5"/>
  <c r="AC57" i="5"/>
  <c r="AC262" i="5"/>
  <c r="AC468" i="5"/>
  <c r="AC318" i="5"/>
  <c r="AC332" i="5"/>
  <c r="AC144" i="5"/>
  <c r="AC457" i="5"/>
  <c r="AC60" i="5"/>
  <c r="AC523" i="5"/>
  <c r="AC358" i="5"/>
  <c r="AC278" i="5"/>
  <c r="AC541" i="5"/>
  <c r="AC118" i="5"/>
  <c r="AC361" i="5"/>
  <c r="AC225" i="5"/>
  <c r="AC471" i="5"/>
  <c r="AC524" i="5"/>
  <c r="AC164" i="5"/>
  <c r="AC531" i="5"/>
  <c r="AC75" i="5"/>
  <c r="AC161" i="5"/>
  <c r="AC283" i="5"/>
  <c r="AC344" i="5"/>
  <c r="AC556" i="5"/>
  <c r="AC28" i="5"/>
  <c r="AC434" i="5"/>
  <c r="AC451" i="5"/>
  <c r="AC152" i="5"/>
  <c r="AC141" i="5"/>
  <c r="AC477" i="5"/>
  <c r="AC443" i="5"/>
  <c r="AC540" i="5"/>
  <c r="AC170" i="5"/>
  <c r="AC387" i="5"/>
  <c r="AA52" i="5"/>
  <c r="AB52" i="5"/>
  <c r="AA551" i="5"/>
  <c r="AB551" i="5"/>
  <c r="AA95" i="5"/>
  <c r="AB95" i="5"/>
  <c r="AA497" i="5"/>
  <c r="AB497" i="5"/>
  <c r="AA276" i="5"/>
  <c r="AB276" i="5"/>
  <c r="AB436" i="5"/>
  <c r="AA436" i="5"/>
  <c r="AB249" i="5"/>
  <c r="AA249" i="5"/>
  <c r="AB446" i="5"/>
  <c r="AA446" i="5"/>
  <c r="AA160" i="5"/>
  <c r="AB160" i="5"/>
  <c r="AB554" i="5"/>
  <c r="AA554" i="5"/>
  <c r="AA424" i="5"/>
  <c r="AB424" i="5"/>
  <c r="AB64" i="5"/>
  <c r="AA64" i="5"/>
  <c r="AB511" i="10"/>
  <c r="AA511" i="10"/>
  <c r="AB345" i="10"/>
  <c r="AA345" i="10"/>
  <c r="AA273" i="10"/>
  <c r="AB273" i="10"/>
  <c r="AA190" i="10"/>
  <c r="AB190" i="10"/>
  <c r="AA113" i="10"/>
  <c r="AB113" i="10"/>
  <c r="AA443" i="10"/>
  <c r="AB443" i="10"/>
  <c r="AB90" i="10"/>
  <c r="AA90" i="10"/>
  <c r="AA385" i="10"/>
  <c r="AB385" i="10"/>
  <c r="AA31" i="10"/>
  <c r="AB31" i="10"/>
  <c r="AB535" i="10"/>
  <c r="AA535" i="10"/>
  <c r="AA437" i="10"/>
  <c r="AB437" i="10"/>
  <c r="AB365" i="10"/>
  <c r="AA365" i="10"/>
  <c r="AA175" i="10"/>
  <c r="AB175" i="10"/>
  <c r="AB53" i="10"/>
  <c r="AA53" i="10"/>
  <c r="AA493" i="10"/>
  <c r="AB493" i="10"/>
  <c r="AB492" i="10"/>
  <c r="AA492" i="10"/>
  <c r="AA131" i="10"/>
  <c r="AB131" i="10"/>
  <c r="AA539" i="10"/>
  <c r="AB539" i="10"/>
  <c r="AA500" i="10"/>
  <c r="AB500" i="10"/>
  <c r="AB330" i="10"/>
  <c r="AA330" i="10"/>
  <c r="AB476" i="10"/>
  <c r="AA476" i="10"/>
  <c r="AA352" i="10"/>
  <c r="AB352" i="10"/>
  <c r="AB237" i="10"/>
  <c r="AA237" i="10"/>
  <c r="AB111" i="10"/>
  <c r="AA111" i="10"/>
  <c r="AA26" i="10"/>
  <c r="AB26" i="10"/>
  <c r="AB377" i="10"/>
  <c r="AA377" i="10"/>
  <c r="AB408" i="10"/>
  <c r="AA408" i="10"/>
  <c r="AB121" i="10"/>
  <c r="AA121" i="10"/>
  <c r="AA401" i="10"/>
  <c r="AB401" i="10"/>
  <c r="AB488" i="10"/>
  <c r="AA488" i="10"/>
  <c r="AA502" i="10"/>
  <c r="AB502" i="10"/>
  <c r="AB281" i="10"/>
  <c r="AA281" i="10"/>
  <c r="AB169" i="10"/>
  <c r="AA169" i="10"/>
  <c r="AB243" i="10"/>
  <c r="AA243" i="10"/>
  <c r="AA396" i="10"/>
  <c r="AB396" i="10"/>
  <c r="AA420" i="10"/>
  <c r="AB420" i="10"/>
  <c r="AB38" i="10"/>
  <c r="AA38" i="10"/>
  <c r="AA291" i="10"/>
  <c r="AB291" i="10"/>
  <c r="AB367" i="10"/>
  <c r="AA367" i="10"/>
  <c r="AA473" i="10"/>
  <c r="AB473" i="10"/>
  <c r="AB553" i="10"/>
  <c r="AA553" i="10"/>
  <c r="AA495" i="10"/>
  <c r="AB495" i="10"/>
  <c r="AB323" i="10"/>
  <c r="AA323" i="10"/>
  <c r="AA283" i="10"/>
  <c r="AB283" i="10"/>
  <c r="AA155" i="10"/>
  <c r="AB155" i="10"/>
  <c r="AB501" i="10"/>
  <c r="AA501" i="10"/>
  <c r="AB218" i="10"/>
  <c r="AA218" i="10"/>
  <c r="AA417" i="10"/>
  <c r="AB417" i="10"/>
  <c r="AA159" i="10"/>
  <c r="AB159" i="10"/>
  <c r="AA298" i="10"/>
  <c r="AB298" i="10"/>
  <c r="AB366" i="10"/>
  <c r="AA366" i="10"/>
  <c r="AA248" i="10"/>
  <c r="AB248" i="10"/>
  <c r="AB339" i="10"/>
  <c r="AA339" i="10"/>
  <c r="AB278" i="10"/>
  <c r="AA278" i="10"/>
  <c r="AB491" i="10"/>
  <c r="AA491" i="10"/>
  <c r="AA393" i="10"/>
  <c r="AB393" i="10"/>
  <c r="AB290" i="10"/>
  <c r="AA290" i="10"/>
  <c r="AB293" i="10"/>
  <c r="AA293" i="10"/>
  <c r="AA100" i="10"/>
  <c r="AB100" i="10"/>
  <c r="AA529" i="10"/>
  <c r="AB529" i="10"/>
  <c r="AB251" i="10"/>
  <c r="AA251" i="10"/>
  <c r="AA447" i="10"/>
  <c r="AB447" i="10"/>
  <c r="AA199" i="10"/>
  <c r="AB199" i="10"/>
  <c r="AA213" i="10"/>
  <c r="AB213" i="10"/>
  <c r="AB526" i="10"/>
  <c r="AA526" i="10"/>
  <c r="AA268" i="10"/>
  <c r="AB268" i="10"/>
  <c r="AA319" i="10"/>
  <c r="AB319" i="10"/>
  <c r="AB252" i="10"/>
  <c r="AA252" i="10"/>
  <c r="AB467" i="10"/>
  <c r="AA467" i="10"/>
  <c r="AC126" i="10"/>
  <c r="AC191" i="10"/>
  <c r="AC164" i="10"/>
  <c r="AC78" i="10"/>
  <c r="AC77" i="10"/>
  <c r="AC273" i="10"/>
  <c r="AC368" i="10"/>
  <c r="AC198" i="10"/>
  <c r="AC526" i="10"/>
  <c r="AC204" i="10"/>
  <c r="AC485" i="10"/>
  <c r="AC438" i="10"/>
  <c r="AC303" i="10"/>
  <c r="AC38" i="10"/>
  <c r="AC544" i="10"/>
  <c r="AC422" i="10"/>
  <c r="AC58" i="10"/>
  <c r="AC326" i="10"/>
  <c r="AC274" i="10"/>
  <c r="AC31" i="10"/>
  <c r="AC322" i="10"/>
  <c r="AC224" i="10"/>
  <c r="AC186" i="10"/>
  <c r="AC409" i="10"/>
  <c r="AC162" i="10"/>
  <c r="AC430" i="10"/>
  <c r="AC180" i="10"/>
  <c r="AC24" i="10"/>
  <c r="AC413" i="10"/>
  <c r="AC386" i="10"/>
  <c r="AC245" i="10"/>
  <c r="AC541" i="10"/>
  <c r="AC252" i="10"/>
  <c r="AC496" i="10"/>
  <c r="AC522" i="10"/>
  <c r="AC107" i="10"/>
  <c r="AC133" i="10"/>
  <c r="AC506" i="10"/>
  <c r="AC384" i="10"/>
  <c r="AC267" i="10"/>
  <c r="AC246" i="10"/>
  <c r="AC347" i="10"/>
  <c r="AC121" i="10"/>
  <c r="AC420" i="10"/>
  <c r="AC178" i="10"/>
  <c r="AC277" i="10"/>
  <c r="AC546" i="10"/>
  <c r="AC284" i="10"/>
  <c r="AC533" i="10"/>
  <c r="AC488" i="10"/>
  <c r="AC147" i="10"/>
  <c r="AC259" i="10"/>
  <c r="AC527" i="10"/>
  <c r="AC286" i="10"/>
  <c r="AC45" i="10"/>
  <c r="AC344" i="10"/>
  <c r="AC537" i="10"/>
  <c r="AC122" i="10"/>
  <c r="AC341" i="10"/>
  <c r="AC211" i="10"/>
  <c r="AC9" i="10"/>
  <c r="AC27" i="10"/>
  <c r="AC521" i="10"/>
  <c r="AC48" i="10"/>
  <c r="AC307" i="10"/>
  <c r="AC365" i="10"/>
  <c r="AC123" i="10"/>
  <c r="AC184" i="10"/>
  <c r="AC481" i="5"/>
  <c r="AC535" i="5"/>
  <c r="AC143" i="5"/>
  <c r="AC174" i="5"/>
  <c r="AC467" i="5"/>
  <c r="AC327" i="5"/>
  <c r="AC527" i="5"/>
  <c r="AC10" i="5"/>
  <c r="AC336" i="5"/>
  <c r="AC74" i="5"/>
  <c r="AC522" i="5"/>
  <c r="AC305" i="5"/>
  <c r="AC62" i="5"/>
  <c r="AC362" i="5"/>
  <c r="AC295" i="5"/>
  <c r="AC157" i="5"/>
  <c r="AC504" i="5"/>
  <c r="AC389" i="5"/>
  <c r="AC187" i="5"/>
  <c r="AC240" i="5"/>
  <c r="AC309" i="5"/>
  <c r="AC414" i="5"/>
  <c r="AC462" i="5"/>
  <c r="AC184" i="5"/>
  <c r="AC280" i="5"/>
  <c r="AC338" i="5"/>
  <c r="AC82" i="5"/>
  <c r="AC350" i="5"/>
  <c r="AC408" i="5"/>
  <c r="AC130" i="5"/>
  <c r="AC438" i="5"/>
  <c r="AC238" i="5"/>
  <c r="AC322" i="5"/>
  <c r="AC478" i="5"/>
  <c r="AC445" i="5"/>
  <c r="AC398" i="5"/>
  <c r="AC249" i="5"/>
  <c r="AC286" i="5"/>
  <c r="AC26" i="5"/>
  <c r="AC452" i="5"/>
  <c r="AC266" i="5"/>
  <c r="AC166" i="5"/>
  <c r="AC67" i="5"/>
  <c r="AC335" i="5"/>
  <c r="AC39" i="5"/>
  <c r="AC312" i="5"/>
  <c r="AC310" i="5"/>
  <c r="AC178" i="5"/>
  <c r="AC360" i="5"/>
  <c r="AC40" i="5"/>
  <c r="AC515" i="5"/>
  <c r="AC357" i="5"/>
  <c r="AC254" i="5"/>
  <c r="AC473" i="5"/>
  <c r="AC194" i="5"/>
  <c r="AC399" i="5"/>
  <c r="AC165" i="5"/>
  <c r="AC539" i="5"/>
  <c r="AC275" i="5"/>
  <c r="AC205" i="5"/>
  <c r="AC404" i="5"/>
  <c r="AC190" i="5"/>
  <c r="AC272" i="5"/>
  <c r="AC163" i="5"/>
  <c r="AC171" i="5"/>
  <c r="AC92" i="5"/>
  <c r="AC430" i="5"/>
  <c r="AC381" i="5"/>
  <c r="AC32" i="5"/>
  <c r="AE314" i="10"/>
  <c r="AD314" i="10"/>
  <c r="AC168" i="10"/>
  <c r="AD90" i="10"/>
  <c r="AE90" i="10"/>
  <c r="AC55" i="10"/>
  <c r="AE426" i="10"/>
  <c r="AD426" i="10"/>
  <c r="AC247" i="10"/>
  <c r="AE395" i="10"/>
  <c r="AD395" i="10"/>
  <c r="AD519" i="10"/>
  <c r="AE519" i="10"/>
  <c r="AD139" i="10"/>
  <c r="AE139" i="10"/>
  <c r="AD73" i="10"/>
  <c r="AE73" i="10"/>
  <c r="AC511" i="10"/>
  <c r="AC97" i="10"/>
  <c r="AE413" i="5"/>
  <c r="AD413" i="5"/>
  <c r="AC500" i="5"/>
  <c r="AC245" i="5"/>
  <c r="AC458" i="5"/>
  <c r="AC53" i="5"/>
  <c r="AC232" i="5"/>
  <c r="AC69" i="5"/>
  <c r="AC234" i="5"/>
  <c r="AC331" i="5"/>
  <c r="AC252" i="5"/>
  <c r="AC325" i="5"/>
  <c r="AC158" i="5"/>
  <c r="AC207" i="5"/>
  <c r="AC512" i="5"/>
  <c r="AC175" i="5"/>
  <c r="AC129" i="5"/>
  <c r="AC308" i="5"/>
  <c r="AC183" i="5"/>
  <c r="AC61" i="5"/>
  <c r="AC507" i="5"/>
  <c r="AC128" i="5"/>
  <c r="AC427" i="5"/>
  <c r="AC339" i="5"/>
  <c r="AC81" i="5"/>
  <c r="AC485" i="5"/>
  <c r="AC390" i="5"/>
  <c r="AC219" i="5"/>
  <c r="AC367" i="5"/>
  <c r="AC388" i="5"/>
  <c r="AC153" i="5"/>
  <c r="AC47" i="5"/>
  <c r="AC544" i="5"/>
  <c r="AC554" i="5"/>
  <c r="AC227" i="5"/>
  <c r="AC551" i="5"/>
  <c r="AC120" i="5"/>
  <c r="AC300" i="5"/>
  <c r="AC493" i="5"/>
  <c r="AC459" i="5"/>
  <c r="AC475" i="5"/>
  <c r="AC464" i="5"/>
  <c r="AC258" i="5"/>
  <c r="AC43" i="5"/>
  <c r="AC66" i="5"/>
  <c r="AC337" i="5"/>
  <c r="AC180" i="5"/>
  <c r="AC241" i="5"/>
  <c r="AC429" i="5"/>
  <c r="AC72" i="5"/>
  <c r="AC24" i="5"/>
  <c r="AC50" i="5"/>
  <c r="AC135" i="5"/>
  <c r="AC330" i="5"/>
  <c r="AC210" i="5"/>
  <c r="AC169" i="5"/>
  <c r="AC412" i="5"/>
  <c r="AC375" i="5"/>
  <c r="AC64" i="5"/>
  <c r="AC506" i="5"/>
  <c r="AC233" i="5"/>
  <c r="AC366" i="5"/>
  <c r="AC340" i="5"/>
  <c r="AC334" i="5"/>
  <c r="AC469" i="5"/>
  <c r="AC302" i="5"/>
  <c r="AC95" i="5"/>
  <c r="AC508" i="5"/>
  <c r="AC80" i="5"/>
  <c r="AA124" i="10"/>
  <c r="AB124" i="10"/>
  <c r="AB120" i="10"/>
  <c r="AA120" i="10"/>
  <c r="AA523" i="10"/>
  <c r="AB523" i="10"/>
  <c r="AB65" i="10"/>
  <c r="AA65" i="10"/>
  <c r="AA310" i="10"/>
  <c r="AB310" i="10"/>
  <c r="AB40" i="10"/>
  <c r="AA40" i="10"/>
  <c r="AA191" i="10"/>
  <c r="AB191" i="10"/>
  <c r="AB195" i="10"/>
  <c r="AA195" i="10"/>
  <c r="AB480" i="10"/>
  <c r="AA480" i="10"/>
  <c r="AA542" i="10"/>
  <c r="AB542" i="10"/>
  <c r="AB173" i="10"/>
  <c r="AA173" i="10"/>
  <c r="AA34" i="10"/>
  <c r="AB34" i="10"/>
  <c r="AA512" i="10"/>
  <c r="AB512" i="10"/>
  <c r="AB311" i="10"/>
  <c r="AA311" i="10"/>
  <c r="AA127" i="10"/>
  <c r="AB127" i="10"/>
  <c r="AA250" i="10"/>
  <c r="AB250" i="10"/>
  <c r="AB530" i="10"/>
  <c r="AA530" i="10"/>
  <c r="AA434" i="10"/>
  <c r="AB434" i="10"/>
  <c r="AB423" i="10"/>
  <c r="AA423" i="10"/>
  <c r="AB222" i="10"/>
  <c r="AA222" i="10"/>
  <c r="AA357" i="10"/>
  <c r="AB357" i="10"/>
  <c r="AA235" i="10"/>
  <c r="AB235" i="10"/>
  <c r="AA484" i="10"/>
  <c r="AB484" i="10"/>
  <c r="AA525" i="10"/>
  <c r="AB525" i="10"/>
  <c r="AB242" i="10"/>
  <c r="AA242" i="10"/>
  <c r="AA219" i="10"/>
  <c r="AB219" i="10"/>
  <c r="AB145" i="10"/>
  <c r="AA145" i="10"/>
  <c r="AB432" i="10"/>
  <c r="AA432" i="10"/>
  <c r="AA485" i="10"/>
  <c r="AB485" i="10"/>
  <c r="AA125" i="10"/>
  <c r="AB125" i="10"/>
  <c r="AA513" i="10"/>
  <c r="AB513" i="10"/>
  <c r="AA189" i="10"/>
  <c r="AB189" i="10"/>
  <c r="AA24" i="10"/>
  <c r="AB24" i="10"/>
  <c r="AB403" i="10"/>
  <c r="AA403" i="10"/>
  <c r="AA150" i="10"/>
  <c r="AB150" i="10"/>
  <c r="AA118" i="10"/>
  <c r="AB118" i="10"/>
  <c r="AB470" i="10"/>
  <c r="AA470" i="10"/>
  <c r="AB433" i="10"/>
  <c r="AA433" i="10"/>
  <c r="AA198" i="10"/>
  <c r="AB198" i="10"/>
  <c r="AA355" i="10"/>
  <c r="AB355" i="10"/>
  <c r="AB462" i="10"/>
  <c r="AA462" i="10"/>
  <c r="AA303" i="10"/>
  <c r="AB303" i="10"/>
  <c r="AB478" i="10"/>
  <c r="AA478" i="10"/>
  <c r="AA477" i="10"/>
  <c r="AB477" i="10"/>
  <c r="AA212" i="10"/>
  <c r="AB212" i="10"/>
  <c r="AA244" i="10"/>
  <c r="AB244" i="10"/>
  <c r="AB304" i="10"/>
  <c r="AA304" i="10"/>
  <c r="AB89" i="10"/>
  <c r="AA89" i="10"/>
  <c r="AA372" i="10"/>
  <c r="AB372" i="10"/>
  <c r="AA421" i="10"/>
  <c r="AB421" i="10"/>
  <c r="AB236" i="10"/>
  <c r="AA236" i="10"/>
  <c r="AB533" i="10"/>
  <c r="AA533" i="10"/>
  <c r="AA471" i="10"/>
  <c r="AB471" i="10"/>
  <c r="AB307" i="10"/>
  <c r="AA307" i="10"/>
  <c r="AA43" i="10"/>
  <c r="AB43" i="10"/>
  <c r="AA263" i="10"/>
  <c r="AB263" i="10"/>
  <c r="AC484" i="10"/>
  <c r="AC543" i="10"/>
  <c r="AC134" i="10"/>
  <c r="AC195" i="10"/>
  <c r="AC231" i="10"/>
  <c r="AD548" i="10"/>
  <c r="AC301" i="10"/>
  <c r="AC382" i="10"/>
  <c r="AC66" i="10"/>
  <c r="AD319" i="10"/>
  <c r="AE319" i="10"/>
  <c r="AC560" i="10"/>
  <c r="AC120" i="10"/>
  <c r="AC297" i="10"/>
  <c r="AC70" i="10"/>
  <c r="AC37" i="10"/>
  <c r="AE446" i="10"/>
  <c r="AD446" i="10"/>
  <c r="AC167" i="10"/>
  <c r="AC385" i="10"/>
  <c r="AC138" i="10"/>
  <c r="AC50" i="10"/>
  <c r="AC497" i="10"/>
  <c r="AC330" i="10"/>
  <c r="AC244" i="10"/>
  <c r="AC508" i="10"/>
  <c r="AC160" i="10"/>
  <c r="AC455" i="10"/>
  <c r="AC93" i="10"/>
  <c r="AC60" i="10"/>
  <c r="AC11" i="10"/>
  <c r="AC421" i="10"/>
  <c r="AC353" i="10"/>
  <c r="AC205" i="10"/>
  <c r="AC367" i="10"/>
  <c r="AC8" i="10"/>
  <c r="AC194" i="10"/>
  <c r="AC280" i="10"/>
  <c r="AC111" i="10"/>
  <c r="AC181" i="10"/>
  <c r="AC432" i="10"/>
  <c r="AC237" i="10"/>
  <c r="AC415" i="10"/>
  <c r="AC43" i="10"/>
  <c r="AC149" i="10"/>
  <c r="AC495" i="10"/>
  <c r="AC428" i="10"/>
  <c r="AC270" i="10"/>
  <c r="AC42" i="10"/>
  <c r="AC328" i="10"/>
  <c r="AC208" i="10"/>
  <c r="AC202" i="10"/>
  <c r="AC155" i="10"/>
  <c r="AC348" i="10"/>
  <c r="AC451" i="10"/>
  <c r="AC98" i="10"/>
  <c r="AC408" i="10"/>
  <c r="AC218" i="10"/>
  <c r="AC169" i="10"/>
  <c r="AC467" i="10"/>
  <c r="AC349" i="10"/>
  <c r="AC264" i="10"/>
  <c r="AC51" i="10"/>
  <c r="AC141" i="10"/>
  <c r="AC140" i="10"/>
  <c r="AC226" i="10"/>
  <c r="AC357" i="10"/>
  <c r="AC200" i="10"/>
  <c r="AC282" i="10"/>
  <c r="AC231" i="5"/>
  <c r="AC553" i="5"/>
  <c r="AC126" i="5"/>
  <c r="AC193" i="5"/>
  <c r="AC291" i="5"/>
  <c r="AC46" i="5"/>
  <c r="AC257" i="5"/>
  <c r="AC373" i="5"/>
  <c r="AC23" i="5"/>
  <c r="AC147" i="5"/>
  <c r="AC29" i="5"/>
  <c r="AC437" i="5"/>
  <c r="AC341" i="5"/>
  <c r="AC447" i="5"/>
  <c r="AC22" i="5"/>
  <c r="AC501" i="5"/>
  <c r="AC133" i="5"/>
  <c r="AC411" i="5"/>
  <c r="AC287" i="5"/>
  <c r="AC268" i="5"/>
  <c r="AC185" i="5"/>
  <c r="AC89" i="5"/>
  <c r="AC298" i="5"/>
  <c r="AC134" i="5"/>
  <c r="AC349" i="5"/>
  <c r="AC33" i="5"/>
  <c r="AC213" i="5"/>
  <c r="AC112" i="5"/>
  <c r="AC547" i="5"/>
  <c r="AC356" i="5"/>
  <c r="AC48" i="5"/>
  <c r="AC229" i="5"/>
  <c r="AC520" i="5"/>
  <c r="AC159" i="5"/>
  <c r="AC380" i="5"/>
  <c r="AC297" i="5"/>
  <c r="AC255" i="5"/>
  <c r="AC56" i="5"/>
  <c r="AC324" i="5"/>
  <c r="AC444" i="5"/>
  <c r="AC104" i="5"/>
  <c r="AC378" i="5"/>
  <c r="AC435" i="5"/>
  <c r="AC264" i="5"/>
  <c r="AC439" i="5"/>
  <c r="AC465" i="5"/>
  <c r="AC542" i="5"/>
  <c r="AC173" i="5"/>
  <c r="AC288" i="5"/>
  <c r="AC454" i="5"/>
  <c r="AC97" i="5"/>
  <c r="AC383" i="5"/>
  <c r="AC98" i="5"/>
  <c r="AC425" i="5"/>
  <c r="AC68" i="5"/>
  <c r="AC110" i="5"/>
  <c r="AC221" i="5"/>
  <c r="AC218" i="5"/>
  <c r="AC236" i="5"/>
  <c r="AC440" i="5"/>
  <c r="AC108" i="5"/>
  <c r="AC418" i="5"/>
  <c r="AC21" i="5"/>
  <c r="AC246" i="5"/>
  <c r="AC271" i="5"/>
  <c r="AC343" i="5"/>
  <c r="AC123" i="5"/>
  <c r="AC100" i="5"/>
  <c r="AC179" i="5"/>
  <c r="AA76" i="5"/>
  <c r="AB76" i="5"/>
  <c r="AA119" i="5"/>
  <c r="AB119" i="5"/>
  <c r="AB197" i="5"/>
  <c r="AA197" i="5"/>
  <c r="AA257" i="5"/>
  <c r="AB257" i="5"/>
  <c r="AB452" i="5"/>
  <c r="AA452" i="5"/>
  <c r="AB481" i="5"/>
  <c r="AA481" i="5"/>
  <c r="AB88" i="5"/>
  <c r="AA88" i="5"/>
  <c r="AA297" i="5"/>
  <c r="AB297" i="5"/>
  <c r="AB511" i="5"/>
  <c r="AA511" i="5"/>
  <c r="AB347" i="5"/>
  <c r="AA347" i="5"/>
  <c r="AA459" i="5"/>
  <c r="AB459" i="5"/>
  <c r="AA109" i="5"/>
  <c r="AB109" i="5"/>
  <c r="AB282" i="5"/>
  <c r="AA282" i="5"/>
  <c r="AA349" i="5"/>
  <c r="AB349" i="5"/>
  <c r="AA61" i="5"/>
  <c r="AB61" i="5"/>
  <c r="AA250" i="5"/>
  <c r="AB250" i="5"/>
  <c r="AA453" i="5"/>
  <c r="AB453" i="5"/>
  <c r="AB532" i="5"/>
  <c r="AA532" i="5"/>
  <c r="AA557" i="5"/>
  <c r="AB557" i="5"/>
  <c r="AB485" i="5"/>
  <c r="AA485" i="5"/>
  <c r="AB433" i="5"/>
  <c r="AA433" i="5"/>
  <c r="AA382" i="5"/>
  <c r="AB382" i="5"/>
  <c r="AA538" i="5"/>
  <c r="AB538" i="5"/>
  <c r="AB521" i="5"/>
  <c r="AA521" i="5"/>
  <c r="AA448" i="5"/>
  <c r="AB448" i="5"/>
  <c r="AA415" i="5"/>
  <c r="AB415" i="5"/>
  <c r="AB529" i="5"/>
  <c r="AA529" i="5"/>
  <c r="AA8" i="5"/>
  <c r="AB8" i="5"/>
  <c r="AB428" i="5"/>
  <c r="AA428" i="5"/>
  <c r="AA137" i="10"/>
  <c r="AB137" i="10"/>
  <c r="AB510" i="10"/>
  <c r="AA510" i="10"/>
  <c r="AA458" i="10"/>
  <c r="AB458" i="10"/>
  <c r="AB77" i="10"/>
  <c r="AA77" i="10"/>
  <c r="AB532" i="10"/>
  <c r="AA532" i="10"/>
  <c r="AB349" i="10"/>
  <c r="AA349" i="10"/>
  <c r="AB400" i="10"/>
  <c r="AA400" i="10"/>
  <c r="AA202" i="10"/>
  <c r="AB202" i="10"/>
  <c r="AB324" i="10"/>
  <c r="AA324" i="10"/>
  <c r="AA187" i="10"/>
  <c r="AB187" i="10"/>
  <c r="AA494" i="10"/>
  <c r="AB494" i="10"/>
  <c r="AA518" i="10"/>
  <c r="AB518" i="10"/>
  <c r="AB27" i="10"/>
  <c r="AA27" i="10"/>
  <c r="AA331" i="10"/>
  <c r="AB331" i="10"/>
  <c r="AA292" i="10"/>
  <c r="AB292" i="10"/>
  <c r="AB166" i="10"/>
  <c r="AA166" i="10"/>
  <c r="AA469" i="10"/>
  <c r="AB469" i="10"/>
  <c r="AB507" i="10"/>
  <c r="AA507" i="10"/>
  <c r="AB133" i="10"/>
  <c r="AA133" i="10"/>
  <c r="AB549" i="10"/>
  <c r="AA549" i="10"/>
  <c r="AB320" i="10"/>
  <c r="AA320" i="10"/>
  <c r="AB481" i="10"/>
  <c r="AA481" i="10"/>
  <c r="AB312" i="10"/>
  <c r="AA312" i="10"/>
  <c r="AB496" i="10"/>
  <c r="AA496" i="10"/>
  <c r="AA559" i="10"/>
  <c r="AB559" i="10"/>
  <c r="AB498" i="10"/>
  <c r="AA498" i="10"/>
  <c r="AA387" i="10"/>
  <c r="AB387" i="10"/>
  <c r="AB50" i="10"/>
  <c r="AA50" i="10"/>
  <c r="AA409" i="10"/>
  <c r="AB409" i="10"/>
  <c r="AA134" i="10"/>
  <c r="AB134" i="10"/>
  <c r="AB162" i="10"/>
  <c r="AA162" i="10"/>
  <c r="AB223" i="10"/>
  <c r="AA223" i="10"/>
  <c r="AA337" i="10"/>
  <c r="AB337" i="10"/>
  <c r="AA238" i="10"/>
  <c r="AB238" i="10"/>
  <c r="AA374" i="10"/>
  <c r="AB374" i="10"/>
  <c r="AB107" i="10"/>
  <c r="AA107" i="10"/>
  <c r="AA180" i="10"/>
  <c r="AB180" i="10"/>
  <c r="AA232" i="10"/>
  <c r="AB232" i="10"/>
  <c r="AB116" i="10"/>
  <c r="AA116" i="10"/>
  <c r="AB167" i="10"/>
  <c r="AA167" i="10"/>
  <c r="AB23" i="10"/>
  <c r="AA23" i="10"/>
  <c r="AA226" i="10"/>
  <c r="AB226" i="10"/>
  <c r="AB430" i="10"/>
  <c r="AA430" i="10"/>
  <c r="AB110" i="10"/>
  <c r="AA110" i="10"/>
  <c r="AA302" i="10"/>
  <c r="AB302" i="10"/>
  <c r="AA474" i="10"/>
  <c r="AB474" i="10"/>
  <c r="AA217" i="10"/>
  <c r="AB217" i="10"/>
  <c r="AB82" i="10"/>
  <c r="AA82" i="10"/>
  <c r="AA527" i="10"/>
  <c r="AB527" i="10"/>
  <c r="AA442" i="10"/>
  <c r="AB442" i="10"/>
  <c r="AB207" i="10"/>
  <c r="AA207" i="10"/>
  <c r="AA333" i="10"/>
  <c r="AB333" i="10"/>
  <c r="AA344" i="10"/>
  <c r="AB344" i="10"/>
  <c r="AB490" i="10"/>
  <c r="AA490" i="10"/>
  <c r="AA130" i="10"/>
  <c r="AB130" i="10"/>
  <c r="AA181" i="10"/>
  <c r="AB181" i="10"/>
  <c r="AB482" i="10"/>
  <c r="AA482" i="10"/>
  <c r="AA325" i="10"/>
  <c r="AB325" i="10"/>
  <c r="AB399" i="10"/>
  <c r="AA399" i="10"/>
  <c r="AB259" i="10"/>
  <c r="AA259" i="10"/>
  <c r="AA441" i="10"/>
  <c r="AB441" i="10"/>
  <c r="AB364" i="10"/>
  <c r="AA364" i="10"/>
  <c r="AB241" i="10"/>
  <c r="AA241" i="10"/>
  <c r="AB63" i="10"/>
  <c r="AA63" i="10"/>
  <c r="AA200" i="10"/>
  <c r="AB200" i="10"/>
  <c r="AA285" i="10"/>
  <c r="AB285" i="10"/>
  <c r="AA193" i="10"/>
  <c r="AB193" i="10"/>
  <c r="AA468" i="10"/>
  <c r="AB468" i="10"/>
  <c r="AC302" i="10"/>
  <c r="AC390" i="10"/>
  <c r="AC405" i="10"/>
  <c r="AC95" i="10"/>
  <c r="AC196" i="10"/>
  <c r="AC182" i="10"/>
  <c r="AC174" i="10"/>
  <c r="AC540" i="10"/>
  <c r="AC318" i="10"/>
  <c r="AC113" i="10"/>
  <c r="AC374" i="10"/>
  <c r="AC498" i="10"/>
  <c r="AC75" i="10"/>
  <c r="AC290" i="10"/>
  <c r="AC456" i="10"/>
  <c r="AC228" i="10"/>
  <c r="AC494" i="10"/>
  <c r="AC144" i="10"/>
  <c r="AC470" i="10"/>
  <c r="AC34" i="10"/>
  <c r="AC33" i="10"/>
  <c r="AC551" i="10"/>
  <c r="AC389" i="10"/>
  <c r="AC230" i="10"/>
  <c r="AC524" i="10"/>
  <c r="AC236" i="10"/>
  <c r="AC502" i="10"/>
  <c r="AC542" i="10"/>
  <c r="AC233" i="10"/>
  <c r="AC109" i="10"/>
  <c r="AC500" i="10"/>
  <c r="AC366" i="10"/>
  <c r="AC161" i="10"/>
  <c r="AC345" i="10"/>
  <c r="AC452" i="10"/>
  <c r="AC143" i="10"/>
  <c r="AC324" i="10"/>
  <c r="AC132" i="10"/>
  <c r="AC28" i="10"/>
  <c r="AC472" i="10"/>
  <c r="AC68" i="10"/>
  <c r="AC435" i="10"/>
  <c r="AC165" i="10"/>
  <c r="AC99" i="10"/>
  <c r="AC64" i="10"/>
  <c r="AC445" i="10"/>
  <c r="AC400" i="10"/>
  <c r="AC299" i="10"/>
  <c r="AC262" i="10"/>
  <c r="AC439" i="10"/>
  <c r="AC209" i="10"/>
  <c r="AC309" i="10"/>
  <c r="AC172" i="10"/>
  <c r="AC23" i="10"/>
  <c r="AC482" i="10"/>
  <c r="AC119" i="10"/>
  <c r="AC443" i="10"/>
  <c r="AC159" i="10"/>
  <c r="AC291" i="10"/>
  <c r="AC528" i="10"/>
  <c r="AC403" i="10"/>
  <c r="AC117" i="10"/>
  <c r="AC479" i="10"/>
  <c r="AC157" i="10"/>
  <c r="AC56" i="10"/>
  <c r="AC283" i="10"/>
  <c r="AC118" i="10"/>
  <c r="AC315" i="10"/>
  <c r="AC142" i="10"/>
  <c r="AC113" i="5"/>
  <c r="AC456" i="5"/>
  <c r="AC86" i="5"/>
  <c r="AC490" i="5"/>
  <c r="AC491" i="5"/>
  <c r="AC250" i="5"/>
  <c r="AC548" i="5"/>
  <c r="AC528" i="5"/>
  <c r="AC259" i="5"/>
  <c r="AC484" i="5"/>
  <c r="AC8" i="5"/>
  <c r="AC149" i="5"/>
  <c r="AC224" i="5"/>
  <c r="AC433" i="5"/>
  <c r="AC293" i="5"/>
  <c r="AC354" i="5"/>
  <c r="AC186" i="5"/>
  <c r="AC265" i="5"/>
  <c r="AC34" i="5"/>
  <c r="AC461" i="5"/>
  <c r="AC140" i="5"/>
  <c r="AC453" i="5"/>
  <c r="AC511" i="5"/>
  <c r="AC311" i="5"/>
  <c r="AC359" i="5"/>
  <c r="AC90" i="5"/>
  <c r="AC509" i="5"/>
  <c r="AC96" i="5"/>
  <c r="AC267" i="5"/>
  <c r="AC532" i="5"/>
  <c r="AC204" i="5"/>
  <c r="AC85" i="5"/>
  <c r="AC407" i="5"/>
  <c r="AC30" i="5"/>
  <c r="AC294" i="5"/>
  <c r="AC198" i="5"/>
  <c r="AC394" i="5"/>
  <c r="AC65" i="5"/>
  <c r="AC409" i="5"/>
  <c r="AC317" i="5"/>
  <c r="AC199" i="5"/>
  <c r="AC355" i="5"/>
  <c r="AC536" i="5"/>
  <c r="AC292" i="5"/>
  <c r="AC102" i="5"/>
  <c r="AC321" i="5"/>
  <c r="AC19" i="5"/>
  <c r="AC277" i="5"/>
  <c r="AC417" i="5"/>
  <c r="AC323" i="5"/>
  <c r="AC405" i="5"/>
  <c r="AC385" i="5"/>
  <c r="AC492" i="5"/>
  <c r="AC395" i="5"/>
  <c r="AC364" i="5"/>
  <c r="AC306" i="5"/>
  <c r="AC466" i="5"/>
  <c r="AC237" i="5"/>
  <c r="AC393" i="5"/>
  <c r="AC127" i="5"/>
  <c r="AC260" i="5"/>
  <c r="AC376" i="5"/>
  <c r="AC223" i="5"/>
  <c r="AC363" i="5"/>
  <c r="AC550" i="5"/>
  <c r="AC36" i="5"/>
  <c r="AC463" i="5"/>
  <c r="AC206" i="5"/>
  <c r="AC455" i="5"/>
  <c r="AA325" i="5"/>
  <c r="AB325" i="5"/>
  <c r="AA465" i="5"/>
  <c r="AB465" i="5"/>
  <c r="AB47" i="5"/>
  <c r="AA47" i="5"/>
  <c r="AA123" i="5"/>
  <c r="AB123" i="5"/>
  <c r="AA556" i="5"/>
  <c r="AB556" i="5"/>
  <c r="AA321" i="5"/>
  <c r="AB321" i="5"/>
  <c r="AB344" i="5"/>
  <c r="AA344" i="5"/>
  <c r="AB273" i="5"/>
  <c r="AA273" i="5"/>
  <c r="AA112" i="5"/>
  <c r="AB112" i="5"/>
  <c r="AA355" i="5"/>
  <c r="AB355" i="5"/>
  <c r="AA316" i="5"/>
  <c r="AB316" i="5"/>
  <c r="AA100" i="5"/>
  <c r="AB100" i="5"/>
  <c r="AA460" i="5"/>
  <c r="AB460" i="5"/>
  <c r="AA278" i="5"/>
  <c r="AB278" i="5"/>
  <c r="AB490" i="5"/>
  <c r="AA490" i="5"/>
  <c r="AB371" i="5"/>
  <c r="AA371" i="5"/>
  <c r="AA527" i="5"/>
  <c r="AB527" i="5"/>
  <c r="AA296" i="5"/>
  <c r="AB296" i="5"/>
  <c r="AB504" i="5"/>
  <c r="AA504" i="5"/>
  <c r="AA560" i="5"/>
  <c r="AB560" i="5"/>
  <c r="AB44" i="5"/>
  <c r="AA44" i="5"/>
  <c r="AA427" i="5"/>
  <c r="AB427" i="5"/>
  <c r="AA535" i="5"/>
  <c r="AB535" i="5"/>
  <c r="AA523" i="5"/>
  <c r="AB523" i="5"/>
  <c r="AB136" i="5"/>
  <c r="AA136" i="5"/>
  <c r="AA313" i="5"/>
  <c r="AB313" i="5"/>
  <c r="AA559" i="5"/>
  <c r="AB559" i="5"/>
  <c r="AA531" i="10"/>
  <c r="AB531" i="10"/>
  <c r="AB497" i="10"/>
  <c r="AA497" i="10"/>
  <c r="AA220" i="10"/>
  <c r="AB220" i="10"/>
  <c r="AA274" i="10"/>
  <c r="AB274" i="10"/>
  <c r="AB522" i="10"/>
  <c r="AA522" i="10"/>
  <c r="AA541" i="10"/>
  <c r="AB541" i="10"/>
  <c r="AA48" i="10"/>
  <c r="AB48" i="10"/>
  <c r="AB543" i="10"/>
  <c r="AA543" i="10"/>
  <c r="AB361" i="10"/>
  <c r="AA361" i="10"/>
  <c r="AA537" i="10"/>
  <c r="AB537" i="10"/>
  <c r="AB269" i="10"/>
  <c r="AA269" i="10"/>
  <c r="AB459" i="10"/>
  <c r="AA459" i="10"/>
  <c r="AB275" i="10"/>
  <c r="AA275" i="10"/>
  <c r="AB332" i="10"/>
  <c r="AA332" i="10"/>
  <c r="AB221" i="10"/>
  <c r="AA221" i="10"/>
  <c r="AB239" i="10"/>
  <c r="AA239" i="10"/>
  <c r="AA117" i="10"/>
  <c r="AB117" i="10"/>
  <c r="AB454" i="10"/>
  <c r="AA454" i="10"/>
  <c r="AA343" i="10"/>
  <c r="AB343" i="10"/>
  <c r="AA450" i="10"/>
  <c r="AB450" i="10"/>
  <c r="AB205" i="10"/>
  <c r="AA205" i="10"/>
  <c r="AA356" i="10"/>
  <c r="AB356" i="10"/>
  <c r="AB46" i="10"/>
  <c r="AA46" i="10"/>
  <c r="AB35" i="10"/>
  <c r="AA35" i="10"/>
  <c r="AB413" i="10"/>
  <c r="AA413" i="10"/>
  <c r="AA540" i="10"/>
  <c r="AB540" i="10"/>
  <c r="AA73" i="10"/>
  <c r="AB73" i="10"/>
  <c r="AB144" i="10"/>
  <c r="AA144" i="10"/>
  <c r="AA66" i="10"/>
  <c r="AB66" i="10"/>
  <c r="AA547" i="10"/>
  <c r="AB547" i="10"/>
  <c r="AB141" i="10"/>
  <c r="AA141" i="10"/>
  <c r="AB538" i="10"/>
  <c r="AA538" i="10"/>
  <c r="AB128" i="10"/>
  <c r="AA128" i="10"/>
  <c r="AB386" i="10"/>
  <c r="AA386" i="10"/>
  <c r="AA342" i="10"/>
  <c r="AB342" i="10"/>
  <c r="AA327" i="10"/>
  <c r="AB327" i="10"/>
  <c r="AB108" i="10"/>
  <c r="AA108" i="10"/>
  <c r="AB444" i="10"/>
  <c r="AA444" i="10"/>
  <c r="AA122" i="10"/>
  <c r="AB122" i="10"/>
  <c r="AA158" i="10"/>
  <c r="AB158" i="10"/>
  <c r="AB436" i="10"/>
  <c r="AA436" i="10"/>
  <c r="AB318" i="10"/>
  <c r="AA318" i="10"/>
  <c r="AA204" i="10"/>
  <c r="AB204" i="10"/>
  <c r="AB406" i="10"/>
  <c r="AA406" i="10"/>
  <c r="AB350" i="10"/>
  <c r="AA350" i="10"/>
  <c r="AB418" i="10"/>
  <c r="AA418" i="10"/>
  <c r="AB152" i="10"/>
  <c r="AA152" i="10"/>
  <c r="AA558" i="10"/>
  <c r="AB558" i="10"/>
  <c r="AB419" i="10"/>
  <c r="AA419" i="10"/>
  <c r="AB254" i="10"/>
  <c r="AA254" i="10"/>
  <c r="AB453" i="10"/>
  <c r="AA453" i="10"/>
  <c r="AB171" i="10"/>
  <c r="AA171" i="10"/>
  <c r="AB45" i="10"/>
  <c r="AA45" i="10"/>
  <c r="AB321" i="10"/>
  <c r="AA321" i="10"/>
  <c r="AA106" i="10"/>
  <c r="AB106" i="10"/>
  <c r="AA165" i="10"/>
  <c r="AB165" i="10"/>
  <c r="AB271" i="10"/>
  <c r="AA271" i="10"/>
  <c r="AA276" i="10"/>
  <c r="AB276" i="10"/>
  <c r="AB449" i="10"/>
  <c r="AA449" i="10"/>
  <c r="AA176" i="10"/>
  <c r="AB176" i="10"/>
  <c r="AB448" i="10"/>
  <c r="AA448" i="10"/>
  <c r="AB234" i="10"/>
  <c r="AA234" i="10"/>
  <c r="AB439" i="10"/>
  <c r="AA439" i="10"/>
  <c r="AA142" i="10"/>
  <c r="AB142" i="10"/>
  <c r="AB446" i="10"/>
  <c r="AA446" i="10"/>
  <c r="AA557" i="10"/>
  <c r="AB557" i="10"/>
  <c r="AB294" i="10"/>
  <c r="AA294" i="10"/>
  <c r="AA151" i="10"/>
  <c r="AB151" i="10"/>
  <c r="AD57" i="10"/>
  <c r="AC21" i="10"/>
  <c r="AC361" i="10"/>
  <c r="AC449" i="10"/>
  <c r="AC477" i="10"/>
  <c r="AC507" i="10"/>
  <c r="AC499" i="10"/>
  <c r="AC185" i="10"/>
  <c r="AC406" i="10"/>
  <c r="AC39" i="10"/>
  <c r="AC310" i="10"/>
  <c r="AC338" i="10"/>
  <c r="AC255" i="10"/>
  <c r="AC460" i="10"/>
  <c r="AC305" i="10"/>
  <c r="AC214" i="10"/>
  <c r="AC535" i="10"/>
  <c r="AC220" i="10"/>
  <c r="AC487" i="10"/>
  <c r="AC554" i="10"/>
  <c r="AC213" i="10"/>
  <c r="AC52" i="10"/>
  <c r="AC491" i="10"/>
  <c r="AC359" i="10"/>
  <c r="AC10" i="10"/>
  <c r="AC222" i="10"/>
  <c r="AC516" i="10"/>
  <c r="AC419" i="10"/>
  <c r="AC104" i="10"/>
  <c r="AC63" i="10"/>
  <c r="AC407" i="10"/>
  <c r="AC87" i="10"/>
  <c r="AC358" i="10"/>
  <c r="AC340" i="10"/>
  <c r="AC201" i="10"/>
  <c r="AC388" i="10"/>
  <c r="AC288" i="10"/>
  <c r="AC276" i="10"/>
  <c r="AC525" i="10"/>
  <c r="AC192" i="10"/>
  <c r="AC483" i="10"/>
  <c r="AC513" i="10"/>
  <c r="AC127" i="10"/>
  <c r="AC153" i="10"/>
  <c r="AC503" i="10"/>
  <c r="AC437" i="10"/>
  <c r="AC82" i="10"/>
  <c r="AC392" i="10"/>
  <c r="AC281" i="10"/>
  <c r="AC35" i="10"/>
  <c r="AC410" i="10"/>
  <c r="AC210" i="10"/>
  <c r="AC383" i="10"/>
  <c r="AC461" i="10"/>
  <c r="AC96" i="10"/>
  <c r="AC474" i="10"/>
  <c r="AC275" i="10"/>
  <c r="AC106" i="10"/>
  <c r="AC177" i="10"/>
  <c r="AC489" i="10"/>
  <c r="AC387" i="10"/>
  <c r="AC215" i="10"/>
  <c r="AC74" i="10"/>
  <c r="AC481" i="10"/>
  <c r="AC447" i="10"/>
  <c r="AC505" i="10"/>
  <c r="AC156" i="10"/>
  <c r="AC394" i="10"/>
  <c r="AC495" i="5"/>
  <c r="AC182" i="5"/>
  <c r="AC314" i="5"/>
  <c r="AC470" i="5"/>
  <c r="AC155" i="5"/>
  <c r="AC203" i="5"/>
  <c r="AC449" i="5"/>
  <c r="AC386" i="5"/>
  <c r="AC214" i="5"/>
  <c r="AC261" i="5"/>
  <c r="AC301" i="5"/>
  <c r="AC384" i="5"/>
  <c r="AC431" i="5"/>
  <c r="AC251" i="5"/>
  <c r="AC432" i="5"/>
  <c r="AC496" i="5"/>
  <c r="AC151" i="5"/>
  <c r="AC167" i="5"/>
  <c r="AC281" i="5"/>
  <c r="AC91" i="5"/>
  <c r="AC396" i="5"/>
  <c r="AC284" i="5"/>
  <c r="AC242" i="5"/>
  <c r="AC137" i="5"/>
  <c r="AC558" i="5"/>
  <c r="AC342" i="5"/>
  <c r="AC307" i="5"/>
  <c r="AC111" i="5"/>
  <c r="AC290" i="5"/>
  <c r="AC352" i="5"/>
  <c r="AC146" i="5"/>
  <c r="AC400" i="5"/>
  <c r="AC76" i="5"/>
  <c r="AC303" i="5"/>
  <c r="AC243" i="5"/>
  <c r="AC125" i="5"/>
  <c r="AC415" i="5"/>
  <c r="AC191" i="5"/>
  <c r="AC543" i="5"/>
  <c r="AC94" i="5"/>
  <c r="AC374" i="5"/>
  <c r="AC239" i="5"/>
  <c r="AC285" i="5"/>
  <c r="AC51" i="5"/>
  <c r="AC510" i="5"/>
  <c r="AC197" i="5"/>
  <c r="AC368" i="5"/>
  <c r="AC479" i="5"/>
  <c r="AC521" i="5"/>
  <c r="AC406" i="5"/>
  <c r="AC122" i="5"/>
  <c r="AC215" i="5"/>
  <c r="AC279" i="5"/>
  <c r="AC401" i="5"/>
  <c r="AC315" i="5"/>
  <c r="AC329" i="5"/>
  <c r="AC517" i="5"/>
  <c r="AC276" i="5"/>
  <c r="AC530" i="5"/>
  <c r="AC195" i="5"/>
  <c r="AC11" i="5"/>
  <c r="AC124" i="5"/>
  <c r="AC37" i="5"/>
  <c r="AC247" i="5"/>
  <c r="AC422" i="5"/>
  <c r="AC139" i="5"/>
  <c r="AC482" i="5"/>
  <c r="AD7" i="5"/>
  <c r="AE7" i="5"/>
  <c r="AB97" i="5"/>
  <c r="AA97" i="5"/>
  <c r="AB243" i="5"/>
  <c r="AA243" i="5"/>
  <c r="AA32" i="5"/>
  <c r="AB32" i="5"/>
  <c r="AA156" i="5"/>
  <c r="AB156" i="5"/>
  <c r="AA473" i="5"/>
  <c r="AB473" i="5"/>
  <c r="AA385" i="5"/>
  <c r="AB385" i="5"/>
  <c r="AB477" i="5"/>
  <c r="AA477" i="5"/>
  <c r="AB172" i="5"/>
  <c r="AA172" i="5"/>
  <c r="AB80" i="5"/>
  <c r="AA80" i="5"/>
  <c r="AA409" i="5"/>
  <c r="AB409" i="5"/>
  <c r="AA233" i="5"/>
  <c r="AB233" i="5"/>
  <c r="AB414" i="5"/>
  <c r="AA414" i="5"/>
  <c r="AA378" i="5"/>
  <c r="AB378" i="5"/>
  <c r="AB50" i="5"/>
  <c r="AA50" i="5"/>
  <c r="AB421" i="5"/>
  <c r="AA421" i="5"/>
  <c r="AA429" i="5"/>
  <c r="AB429" i="5"/>
  <c r="AB42" i="5"/>
  <c r="AA42" i="5"/>
  <c r="AB120" i="5"/>
  <c r="AA120" i="5"/>
  <c r="AA550" i="5"/>
  <c r="AB550" i="5"/>
  <c r="AB137" i="5"/>
  <c r="AA137" i="5"/>
  <c r="AB210" i="5"/>
  <c r="AA210" i="5"/>
  <c r="AB178" i="5"/>
  <c r="AA178" i="5"/>
  <c r="AA480" i="5"/>
  <c r="AB480" i="5"/>
  <c r="AB353" i="5"/>
  <c r="AA353" i="5"/>
  <c r="AB456" i="5"/>
  <c r="AA456" i="5"/>
  <c r="AB495" i="5"/>
  <c r="AA495" i="5"/>
  <c r="AA475" i="5"/>
  <c r="AB475" i="5"/>
  <c r="AB104" i="5"/>
  <c r="AA104" i="5"/>
  <c r="AB58" i="5"/>
  <c r="AA58" i="5"/>
  <c r="AB549" i="5"/>
  <c r="AA549" i="5"/>
  <c r="AA464" i="5"/>
  <c r="AB464" i="5"/>
  <c r="AA34" i="5"/>
  <c r="AB34" i="5"/>
  <c r="AA178" i="10"/>
  <c r="AB178" i="10"/>
  <c r="AA72" i="10"/>
  <c r="AB72" i="10"/>
  <c r="AB390" i="10"/>
  <c r="AA390" i="10"/>
  <c r="AB314" i="10"/>
  <c r="AA314" i="10"/>
  <c r="AA389" i="10"/>
  <c r="AB389" i="10"/>
  <c r="AB369" i="10"/>
  <c r="AA369" i="10"/>
  <c r="AB404" i="10"/>
  <c r="AA404" i="10"/>
  <c r="AA115" i="10"/>
  <c r="AB115" i="10"/>
  <c r="AB486" i="10"/>
  <c r="AA486" i="10"/>
  <c r="AA279" i="10"/>
  <c r="AB279" i="10"/>
  <c r="AB405" i="10"/>
  <c r="AA405" i="10"/>
  <c r="AB119" i="10"/>
  <c r="AA119" i="10"/>
  <c r="AA334" i="10"/>
  <c r="AB334" i="10"/>
  <c r="AB228" i="10"/>
  <c r="AA228" i="10"/>
  <c r="AA489" i="10"/>
  <c r="AB489" i="10"/>
  <c r="AB296" i="10"/>
  <c r="AA296" i="10"/>
  <c r="AB60" i="10"/>
  <c r="AA60" i="10"/>
  <c r="AB392" i="10"/>
  <c r="AA392" i="10"/>
  <c r="AA370" i="10"/>
  <c r="AB370" i="10"/>
  <c r="AB70" i="10"/>
  <c r="AA70" i="10"/>
  <c r="AA315" i="10"/>
  <c r="AB315" i="10"/>
  <c r="AA435" i="10"/>
  <c r="AB435" i="10"/>
  <c r="AA233" i="10"/>
  <c r="AB233" i="10"/>
  <c r="AA56" i="10"/>
  <c r="AB56" i="10"/>
  <c r="AB206" i="10"/>
  <c r="AA206" i="10"/>
  <c r="AB245" i="10"/>
  <c r="AA245" i="10"/>
  <c r="AA466" i="10"/>
  <c r="AB466" i="10"/>
  <c r="AA264" i="10"/>
  <c r="AB264" i="10"/>
  <c r="AA295" i="10"/>
  <c r="AB295" i="10"/>
  <c r="AB465" i="10"/>
  <c r="AA465" i="10"/>
  <c r="AB30" i="10"/>
  <c r="AA30" i="10"/>
  <c r="AB182" i="10"/>
  <c r="AA182" i="10"/>
  <c r="AB460" i="10"/>
  <c r="AA460" i="10"/>
  <c r="AA7" i="10"/>
  <c r="AB7" i="10"/>
  <c r="AB267" i="10"/>
  <c r="AA267" i="10"/>
  <c r="AB146" i="10"/>
  <c r="AA146" i="10"/>
  <c r="AB91" i="10"/>
  <c r="AA91" i="10"/>
  <c r="AA186" i="10"/>
  <c r="AB186" i="10"/>
  <c r="AA143" i="10"/>
  <c r="AB143" i="10"/>
  <c r="AB203" i="10"/>
  <c r="AA203" i="10"/>
  <c r="AA101" i="10"/>
  <c r="AB101" i="10"/>
  <c r="AB32" i="10"/>
  <c r="AA32" i="10"/>
  <c r="AB514" i="10"/>
  <c r="AA514" i="10"/>
  <c r="AA41" i="10"/>
  <c r="AB41" i="10"/>
  <c r="AA109" i="10"/>
  <c r="AB109" i="10"/>
  <c r="AA548" i="10"/>
  <c r="AB548" i="10"/>
  <c r="AB132" i="10"/>
  <c r="AA132" i="10"/>
  <c r="AB309" i="10"/>
  <c r="AA309" i="10"/>
  <c r="AB29" i="10"/>
  <c r="AA29" i="10"/>
  <c r="AB224" i="10"/>
  <c r="AA224" i="10"/>
  <c r="AA104" i="10"/>
  <c r="AB104" i="10"/>
  <c r="AA54" i="10"/>
  <c r="AB54" i="10"/>
  <c r="AB440" i="10"/>
  <c r="AA440" i="10"/>
  <c r="AA464" i="10"/>
  <c r="AB464" i="10"/>
  <c r="AA375" i="10"/>
  <c r="AB375" i="10"/>
  <c r="AB378" i="10"/>
  <c r="AA378" i="10"/>
  <c r="AB225" i="10"/>
  <c r="AA225" i="10"/>
  <c r="AB329" i="10"/>
  <c r="AA329" i="10"/>
  <c r="AB284" i="10"/>
  <c r="AA284" i="10"/>
  <c r="AA555" i="10"/>
  <c r="AB555" i="10"/>
  <c r="AA354" i="10"/>
  <c r="AB354" i="10"/>
  <c r="AB61" i="10"/>
  <c r="AA61" i="10"/>
  <c r="AA184" i="10"/>
  <c r="AB184" i="10"/>
  <c r="AA87" i="10"/>
  <c r="AB87" i="10"/>
  <c r="AB78" i="10"/>
  <c r="AA78" i="10"/>
  <c r="AB177" i="10"/>
  <c r="AA177" i="10"/>
  <c r="AB550" i="10"/>
  <c r="AA550" i="10"/>
  <c r="AA425" i="10"/>
  <c r="AB425" i="10"/>
  <c r="AC360" i="10"/>
  <c r="AC294" i="10"/>
  <c r="AC114" i="10"/>
  <c r="AC135" i="10"/>
  <c r="AC112" i="10"/>
  <c r="AC379" i="10"/>
  <c r="AC271" i="10"/>
  <c r="AC536" i="10"/>
  <c r="AC377" i="10"/>
  <c r="AC130" i="10"/>
  <c r="AC398" i="10"/>
  <c r="AC232" i="10"/>
  <c r="AC40" i="10"/>
  <c r="AC465" i="10"/>
  <c r="AC298" i="10"/>
  <c r="AC343" i="10"/>
  <c r="AC206" i="10"/>
  <c r="AC531" i="10"/>
  <c r="AC373" i="10"/>
  <c r="AC84" i="10"/>
  <c r="AC41" i="10"/>
  <c r="AC559" i="10"/>
  <c r="AC337" i="10"/>
  <c r="AC44" i="10"/>
  <c r="AC351" i="10"/>
  <c r="AC7" i="10"/>
  <c r="AC257" i="10"/>
  <c r="AC248" i="10"/>
  <c r="AC241" i="10"/>
  <c r="AC411" i="10"/>
  <c r="AC425" i="10"/>
  <c r="AC221" i="10"/>
  <c r="AC399" i="10"/>
  <c r="AC136" i="10"/>
  <c r="AC295" i="10"/>
  <c r="AC436" i="10"/>
  <c r="AC332" i="10"/>
  <c r="AC261" i="10"/>
  <c r="AC532" i="10"/>
  <c r="AC268" i="10"/>
  <c r="AC509" i="10"/>
  <c r="AC380" i="10"/>
  <c r="AC148" i="10"/>
  <c r="AC71" i="10"/>
  <c r="AC116" i="10"/>
  <c r="AC448" i="10"/>
  <c r="AC103" i="10"/>
  <c r="AC431" i="10"/>
  <c r="AC203" i="10"/>
  <c r="AC81" i="10"/>
  <c r="AC466" i="10"/>
  <c r="AC317" i="10"/>
  <c r="AC166" i="10"/>
  <c r="AC523" i="10"/>
  <c r="AC239" i="10"/>
  <c r="AC504" i="10"/>
  <c r="AC490" i="10"/>
  <c r="AC171" i="10"/>
  <c r="AC46" i="10"/>
  <c r="AC538" i="10"/>
  <c r="AC163" i="10"/>
  <c r="AC193" i="10"/>
  <c r="AC370" i="10"/>
  <c r="AC556" i="10"/>
  <c r="AC207" i="10"/>
  <c r="AC240" i="10"/>
  <c r="AC308" i="10"/>
  <c r="AC158" i="10"/>
  <c r="AC487" i="5"/>
  <c r="AC503" i="5"/>
  <c r="AC88" i="5"/>
  <c r="AC460" i="5"/>
  <c r="AC145" i="5"/>
  <c r="AC421" i="5"/>
  <c r="AC494" i="5"/>
  <c r="AC450" i="5"/>
  <c r="AC282" i="5"/>
  <c r="AC497" i="5"/>
  <c r="AC472" i="5"/>
  <c r="AC552" i="5"/>
  <c r="AC333" i="5"/>
  <c r="AC244" i="5"/>
  <c r="AC220" i="5"/>
  <c r="AC160" i="5"/>
  <c r="AC514" i="5"/>
  <c r="AC274" i="5"/>
  <c r="AC87" i="5"/>
  <c r="AC402" i="5"/>
  <c r="AC132" i="5"/>
  <c r="AC505" i="5"/>
  <c r="AC369" i="5"/>
  <c r="AC428" i="5"/>
  <c r="AC365" i="5"/>
  <c r="AC392" i="5"/>
  <c r="AC371" i="5"/>
  <c r="AC83" i="5"/>
  <c r="AC263" i="5"/>
  <c r="AC273" i="5"/>
  <c r="AC253" i="5"/>
  <c r="AC328" i="5"/>
  <c r="AC109" i="5"/>
  <c r="AC372" i="5"/>
  <c r="AC77" i="5"/>
  <c r="AC78" i="5"/>
  <c r="AC489" i="5"/>
  <c r="AC117" i="5"/>
  <c r="AC188" i="5"/>
  <c r="AC516" i="5"/>
  <c r="AC42" i="5"/>
  <c r="AC192" i="5"/>
  <c r="AC121" i="5"/>
  <c r="AC326" i="5"/>
  <c r="AC9" i="5"/>
  <c r="AC79" i="5"/>
  <c r="AC71" i="5"/>
  <c r="AC189" i="5"/>
  <c r="AC304" i="5"/>
  <c r="AC148" i="5"/>
  <c r="AC557" i="5"/>
  <c r="AC106" i="5"/>
  <c r="AC403" i="5"/>
  <c r="AC370" i="5"/>
  <c r="AC410" i="5"/>
  <c r="AC25" i="5"/>
  <c r="AC525" i="5"/>
  <c r="AC216" i="5"/>
  <c r="AC45" i="5"/>
  <c r="AC316" i="5"/>
  <c r="AC208" i="5"/>
  <c r="AC217" i="5"/>
  <c r="AC20" i="5"/>
  <c r="AC131" i="5"/>
  <c r="AC488" i="5"/>
  <c r="AC211" i="5"/>
  <c r="AC226" i="5"/>
  <c r="AC101" i="5"/>
  <c r="AB255" i="5"/>
  <c r="AA255" i="5"/>
  <c r="AB25" i="5"/>
  <c r="AA25" i="5"/>
  <c r="AA133" i="5"/>
  <c r="AB133" i="5"/>
  <c r="AB516" i="5"/>
  <c r="AA516" i="5"/>
  <c r="AB268" i="5"/>
  <c r="AA268" i="5"/>
  <c r="AA356" i="5"/>
  <c r="AB356" i="5"/>
  <c r="AA298" i="5"/>
  <c r="AB298" i="5"/>
  <c r="AA59" i="5"/>
  <c r="AB59" i="5"/>
  <c r="AA553" i="5"/>
  <c r="AB553" i="5"/>
  <c r="AA146" i="5"/>
  <c r="AB146" i="5"/>
  <c r="AB284" i="5"/>
  <c r="AA284" i="5"/>
  <c r="AB466" i="5"/>
  <c r="AA466" i="5"/>
  <c r="AB56" i="5"/>
  <c r="AA56" i="5"/>
  <c r="AB412" i="5"/>
  <c r="AA412" i="5"/>
  <c r="AA432" i="5"/>
  <c r="AB432" i="5"/>
  <c r="AB69" i="5"/>
  <c r="AA69" i="5"/>
  <c r="AA384" i="5"/>
  <c r="AB384" i="5"/>
  <c r="AB162" i="5"/>
  <c r="AA162" i="5"/>
  <c r="AB328" i="5"/>
  <c r="AA328" i="5"/>
  <c r="AA552" i="5"/>
  <c r="AB552" i="5"/>
  <c r="AB397" i="5"/>
  <c r="AA397" i="5"/>
  <c r="AA534" i="5"/>
  <c r="AB534" i="5"/>
  <c r="AB496" i="5"/>
  <c r="AA496" i="5"/>
  <c r="AA216" i="5"/>
  <c r="AB216" i="5"/>
  <c r="AB413" i="5"/>
  <c r="AA413" i="5"/>
  <c r="AA528" i="5"/>
  <c r="AB528" i="5"/>
  <c r="AB502" i="5"/>
  <c r="AA502" i="5"/>
  <c r="AA295" i="5"/>
  <c r="AB295" i="5"/>
  <c r="AA381" i="5"/>
  <c r="AB381" i="5"/>
  <c r="AA223" i="5"/>
  <c r="AB223" i="5"/>
  <c r="AB11" i="10"/>
  <c r="AA11" i="10"/>
  <c r="AA326" i="10"/>
  <c r="AB326" i="10"/>
  <c r="AB208" i="10"/>
  <c r="AA208" i="10"/>
  <c r="AA301" i="10"/>
  <c r="AB301" i="10"/>
  <c r="AA428" i="10"/>
  <c r="AB428" i="10"/>
  <c r="AB93" i="10"/>
  <c r="AA93" i="10"/>
  <c r="AB74" i="10"/>
  <c r="AA74" i="10"/>
  <c r="AB503" i="10"/>
  <c r="AA503" i="10"/>
  <c r="AA551" i="10"/>
  <c r="AB551" i="10"/>
  <c r="AA431" i="10"/>
  <c r="AB431" i="10"/>
  <c r="AB456" i="10"/>
  <c r="AA456" i="10"/>
  <c r="AB289" i="10"/>
  <c r="AA289" i="10"/>
  <c r="AB96" i="10"/>
  <c r="AA96" i="10"/>
  <c r="AA322" i="10"/>
  <c r="AB322" i="10"/>
  <c r="AB69" i="10"/>
  <c r="AA69" i="10"/>
  <c r="AB416" i="10"/>
  <c r="AA416" i="10"/>
  <c r="AB414" i="10"/>
  <c r="AA414" i="10"/>
  <c r="AA554" i="10"/>
  <c r="AB554" i="10"/>
  <c r="AB84" i="10"/>
  <c r="AA84" i="10"/>
  <c r="AB499" i="10"/>
  <c r="AA499" i="10"/>
  <c r="AB363" i="10"/>
  <c r="AA363" i="10"/>
  <c r="AA270" i="10"/>
  <c r="AB270" i="10"/>
  <c r="AB427" i="10"/>
  <c r="AA427" i="10"/>
  <c r="AA451" i="10"/>
  <c r="AB451" i="10"/>
  <c r="AB135" i="10"/>
  <c r="AA135" i="10"/>
  <c r="AA277" i="10"/>
  <c r="AB277" i="10"/>
  <c r="AA8" i="10"/>
  <c r="AB8" i="10"/>
  <c r="AA410" i="10"/>
  <c r="AB410" i="10"/>
  <c r="AA103" i="10"/>
  <c r="AB103" i="10"/>
  <c r="AA308" i="10"/>
  <c r="AB308" i="10"/>
  <c r="AB282" i="10"/>
  <c r="AA282" i="10"/>
  <c r="AB44" i="10"/>
  <c r="AA44" i="10"/>
  <c r="AB185" i="10"/>
  <c r="AA185" i="10"/>
  <c r="AA62" i="10"/>
  <c r="AB62" i="10"/>
  <c r="AA348" i="10"/>
  <c r="AB348" i="10"/>
  <c r="AA371" i="10"/>
  <c r="AB371" i="10"/>
  <c r="AA506" i="10"/>
  <c r="AB506" i="10"/>
  <c r="AB272" i="10"/>
  <c r="AA272" i="10"/>
  <c r="AB256" i="10"/>
  <c r="AA256" i="10"/>
  <c r="AA300" i="10"/>
  <c r="AB300" i="10"/>
  <c r="AB373" i="10"/>
  <c r="AA373" i="10"/>
  <c r="AB139" i="10"/>
  <c r="AA139" i="10"/>
  <c r="AA351" i="10"/>
  <c r="AB351" i="10"/>
  <c r="AB153" i="10"/>
  <c r="AA153" i="10"/>
  <c r="AA388" i="10"/>
  <c r="AB388" i="10"/>
  <c r="AB140" i="10"/>
  <c r="AA140" i="10"/>
  <c r="AB42" i="10"/>
  <c r="AA42" i="10"/>
  <c r="AA161" i="10"/>
  <c r="AB161" i="10"/>
  <c r="AB376" i="10"/>
  <c r="AA376" i="10"/>
  <c r="AA246" i="10"/>
  <c r="AB246" i="10"/>
  <c r="AB383" i="10"/>
  <c r="AA383" i="10"/>
  <c r="AB483" i="10"/>
  <c r="AA483" i="10"/>
  <c r="AA286" i="10"/>
  <c r="AB286" i="10"/>
  <c r="AA509" i="10"/>
  <c r="AB509" i="10"/>
  <c r="AB64" i="10"/>
  <c r="AA64" i="10"/>
  <c r="AA463" i="10"/>
  <c r="AB463" i="10"/>
  <c r="AB556" i="10"/>
  <c r="AA556" i="10"/>
  <c r="AA544" i="10"/>
  <c r="AB544" i="10"/>
  <c r="AB452" i="10"/>
  <c r="AA452" i="10"/>
  <c r="AA504" i="10"/>
  <c r="AB504" i="10"/>
  <c r="AA426" i="10"/>
  <c r="AB426" i="10"/>
  <c r="AB25" i="10"/>
  <c r="AA25" i="10"/>
  <c r="AB528" i="10"/>
  <c r="AA528" i="10"/>
  <c r="AA172" i="10"/>
  <c r="AB172" i="10"/>
  <c r="AB52" i="10"/>
  <c r="AA52" i="10"/>
  <c r="AA257" i="10"/>
  <c r="AB257" i="10"/>
  <c r="AB341" i="10"/>
  <c r="AA341" i="10"/>
  <c r="AB57" i="10"/>
  <c r="AA57" i="10"/>
  <c r="AB192" i="10"/>
  <c r="AA192" i="10"/>
  <c r="AC514" i="10"/>
  <c r="AC404" i="10"/>
  <c r="AC424" i="10"/>
  <c r="AC464" i="10"/>
  <c r="AC441" i="10"/>
  <c r="AC469" i="10"/>
  <c r="AC476" i="10"/>
  <c r="AC433" i="10"/>
  <c r="AC462" i="10"/>
  <c r="AC151" i="10"/>
  <c r="AC369" i="10"/>
  <c r="AC225" i="10"/>
  <c r="AC25" i="10"/>
  <c r="AC553" i="10"/>
  <c r="AC468" i="10"/>
  <c r="AC321" i="10"/>
  <c r="AC85" i="10"/>
  <c r="AC335" i="10"/>
  <c r="AC555" i="10"/>
  <c r="AC323" i="10"/>
  <c r="AC216" i="10"/>
  <c r="AC217" i="10"/>
  <c r="AC429" i="10"/>
  <c r="AC350" i="10"/>
  <c r="AC145" i="10"/>
  <c r="AC329" i="10"/>
  <c r="AC450" i="10"/>
  <c r="AC187" i="10"/>
  <c r="AC363" i="10"/>
  <c r="AC108" i="10"/>
  <c r="AC102" i="10"/>
  <c r="AC475" i="10"/>
  <c r="AC199" i="10"/>
  <c r="AC417" i="10"/>
  <c r="AC91" i="10"/>
  <c r="AC125" i="10"/>
  <c r="AC529" i="10"/>
  <c r="AC396" i="10"/>
  <c r="AC320" i="10"/>
  <c r="AC36" i="10"/>
  <c r="AC253" i="10"/>
  <c r="AC549" i="10"/>
  <c r="AC272" i="10"/>
  <c r="AC170" i="10"/>
  <c r="AC131" i="10"/>
  <c r="AC457" i="10"/>
  <c r="AC493" i="10"/>
  <c r="AC80" i="10"/>
  <c r="AC440" i="10"/>
  <c r="AC279" i="10"/>
  <c r="AC251" i="10"/>
  <c r="AC530" i="10"/>
  <c r="AC418" i="10"/>
  <c r="AC293" i="10"/>
  <c r="AC547" i="10"/>
  <c r="AC300" i="10"/>
  <c r="AC517" i="10"/>
  <c r="AC250" i="10"/>
  <c r="AC188" i="10"/>
  <c r="AC110" i="10"/>
  <c r="AC197" i="10"/>
  <c r="AC557" i="10"/>
  <c r="AC346" i="10"/>
  <c r="AC179" i="10"/>
  <c r="AC453" i="10"/>
  <c r="AC29" i="10"/>
  <c r="AC101" i="10"/>
  <c r="AC65" i="10"/>
  <c r="AC72" i="10"/>
  <c r="AC269" i="5"/>
  <c r="AC196" i="5"/>
  <c r="AC353" i="5"/>
  <c r="AC228" i="5"/>
  <c r="AC73" i="5"/>
  <c r="AC351" i="5"/>
  <c r="AC212" i="5"/>
  <c r="AC93" i="5"/>
  <c r="AC546" i="5"/>
  <c r="AC513" i="5"/>
  <c r="AC498" i="5"/>
  <c r="AC176" i="5"/>
  <c r="AC119" i="5"/>
  <c r="AC559" i="5"/>
  <c r="AC480" i="5"/>
  <c r="AC52" i="5"/>
  <c r="AC230" i="5"/>
  <c r="AC200" i="5"/>
  <c r="AC54" i="5"/>
  <c r="AC529" i="5"/>
  <c r="AC416" i="5"/>
  <c r="AC519" i="5"/>
  <c r="AC27" i="5"/>
  <c r="AC426" i="5"/>
  <c r="AC420" i="5"/>
  <c r="AC397" i="5"/>
  <c r="AC441" i="5"/>
  <c r="AC346" i="5"/>
  <c r="AC116" i="5"/>
  <c r="AC537" i="5"/>
  <c r="AC99" i="5"/>
  <c r="AC502" i="5"/>
  <c r="AC382" i="5"/>
  <c r="AC202" i="5"/>
  <c r="AC107" i="5"/>
  <c r="AC424" i="5"/>
  <c r="AC379" i="5"/>
  <c r="AC320" i="5"/>
  <c r="AC499" i="5"/>
  <c r="AC138" i="5"/>
  <c r="AC319" i="5"/>
  <c r="AC222" i="5"/>
  <c r="AC201" i="5"/>
  <c r="AC448" i="5"/>
  <c r="AC162" i="5"/>
  <c r="AC348" i="5"/>
  <c r="AC35" i="5"/>
  <c r="AC84" i="5"/>
  <c r="AC545" i="5"/>
  <c r="AC154" i="5"/>
  <c r="AC55" i="5"/>
  <c r="AC41" i="5"/>
  <c r="AC248" i="5"/>
  <c r="AC31" i="5"/>
  <c r="AC63" i="5"/>
  <c r="AC150" i="5"/>
  <c r="AC58" i="5"/>
  <c r="AC105" i="5"/>
  <c r="AC526" i="5"/>
  <c r="AC115" i="5"/>
  <c r="AC442" i="5"/>
  <c r="AC555" i="5"/>
  <c r="AC313" i="5"/>
  <c r="AC270" i="5"/>
  <c r="AC345" i="5"/>
  <c r="AC142" i="5"/>
  <c r="AC168" i="5"/>
  <c r="AC419" i="5"/>
  <c r="BY139" i="4"/>
  <c r="BZ139" i="4" s="1"/>
  <c r="BY121" i="4"/>
  <c r="BZ121" i="4" s="1"/>
  <c r="BY153" i="4"/>
  <c r="BZ153" i="4" s="1"/>
  <c r="AR123" i="4"/>
  <c r="AS123" i="4" s="1"/>
  <c r="AR137" i="4"/>
  <c r="AS137" i="4" s="1"/>
  <c r="BY151" i="4"/>
  <c r="BZ151" i="4" s="1"/>
  <c r="BY15" i="4"/>
  <c r="BZ15" i="4" s="1"/>
  <c r="BY93" i="4"/>
  <c r="BZ93" i="4" s="1"/>
  <c r="BY53" i="4"/>
  <c r="BZ53" i="4" s="1"/>
  <c r="BY17" i="4"/>
  <c r="BZ17" i="4" s="1"/>
  <c r="BY39" i="4"/>
  <c r="BZ39" i="4" s="1"/>
  <c r="BY66" i="4"/>
  <c r="BZ66" i="4" s="1"/>
  <c r="BY98" i="4"/>
  <c r="BZ98" i="4" s="1"/>
  <c r="BY11" i="4"/>
  <c r="BZ11" i="4" s="1"/>
  <c r="BY78" i="4"/>
  <c r="BZ78" i="4" s="1"/>
  <c r="BY115" i="4"/>
  <c r="BZ115" i="4" s="1"/>
  <c r="BY129" i="4"/>
  <c r="BZ129" i="4" s="1"/>
  <c r="BY85" i="4"/>
  <c r="BZ85" i="4" s="1"/>
  <c r="BY36" i="4"/>
  <c r="BZ36" i="4" s="1"/>
  <c r="BY60" i="4"/>
  <c r="BZ60" i="4" s="1"/>
  <c r="BY35" i="4"/>
  <c r="BZ35" i="4" s="1"/>
  <c r="BY42" i="4"/>
  <c r="BZ42" i="4" s="1"/>
  <c r="BY105" i="4"/>
  <c r="BZ105" i="4" s="1"/>
  <c r="BY138" i="4"/>
  <c r="BZ138" i="4" s="1"/>
  <c r="BY9" i="4"/>
  <c r="BZ9" i="4" s="1"/>
  <c r="BY111" i="4"/>
  <c r="BZ111" i="4" s="1"/>
  <c r="BY40" i="4"/>
  <c r="BZ40" i="4" s="1"/>
  <c r="BY68" i="4"/>
  <c r="BZ68" i="4" s="1"/>
  <c r="BY20" i="4"/>
  <c r="BZ20" i="4" s="1"/>
  <c r="BY74" i="4"/>
  <c r="BZ74" i="4" s="1"/>
  <c r="BY99" i="4"/>
  <c r="BZ99" i="4" s="1"/>
  <c r="BY86" i="4"/>
  <c r="BZ86" i="4" s="1"/>
  <c r="BY71" i="4"/>
  <c r="BZ71" i="4" s="1"/>
  <c r="BY147" i="4"/>
  <c r="BZ147" i="4" s="1"/>
  <c r="BY14" i="4"/>
  <c r="BZ14" i="4" s="1"/>
  <c r="BY77" i="4"/>
  <c r="BZ77" i="4" s="1"/>
  <c r="BY22" i="4"/>
  <c r="BZ22" i="4" s="1"/>
  <c r="BY18" i="4"/>
  <c r="BZ18" i="4" s="1"/>
  <c r="BY125" i="4"/>
  <c r="BZ125" i="4" s="1"/>
  <c r="BY59" i="4"/>
  <c r="BZ59" i="4" s="1"/>
  <c r="BY87" i="4"/>
  <c r="BZ87" i="4" s="1"/>
  <c r="BY102" i="4"/>
  <c r="BZ102" i="4" s="1"/>
  <c r="BY91" i="4"/>
  <c r="BZ91" i="4" s="1"/>
  <c r="BY135" i="4"/>
  <c r="BZ135" i="4" s="1"/>
  <c r="BY95" i="4"/>
  <c r="BZ95" i="4" s="1"/>
  <c r="BY45" i="4"/>
  <c r="BZ45" i="4" s="1"/>
  <c r="BY55" i="4"/>
  <c r="BZ55" i="4" s="1"/>
  <c r="BY33" i="4"/>
  <c r="BZ33" i="4" s="1"/>
  <c r="BY37" i="4"/>
  <c r="BZ37" i="4" s="1"/>
  <c r="BY56" i="4"/>
  <c r="BZ56" i="4" s="1"/>
  <c r="BY10" i="4"/>
  <c r="BZ10" i="4" s="1"/>
  <c r="BY83" i="4"/>
  <c r="BZ83" i="4" s="1"/>
  <c r="BY120" i="4"/>
  <c r="BZ120" i="4" s="1"/>
  <c r="BY62" i="4"/>
  <c r="BZ62" i="4" s="1"/>
  <c r="BY72" i="4"/>
  <c r="BZ72" i="4" s="1"/>
  <c r="BY84" i="4"/>
  <c r="BZ84" i="4" s="1"/>
  <c r="BY13" i="4"/>
  <c r="BZ13" i="4" s="1"/>
  <c r="BY101" i="4"/>
  <c r="BZ101" i="4" s="1"/>
  <c r="BY28" i="4"/>
  <c r="BZ28" i="4" s="1"/>
  <c r="BY16" i="4"/>
  <c r="BY70" i="4"/>
  <c r="BY31" i="4"/>
  <c r="BZ31" i="4" s="1"/>
  <c r="BY97" i="4"/>
  <c r="BY94" i="4"/>
  <c r="BZ94" i="4" s="1"/>
  <c r="BY89" i="4"/>
  <c r="BZ89" i="4" s="1"/>
  <c r="BY90" i="4"/>
  <c r="BZ90" i="4" s="1"/>
  <c r="BY80" i="4"/>
  <c r="BZ80" i="4" s="1"/>
  <c r="BY52" i="4"/>
  <c r="BY73" i="4"/>
  <c r="BZ73" i="4" s="1"/>
  <c r="BY12" i="4"/>
  <c r="BZ12" i="4" s="1"/>
  <c r="BY109" i="4"/>
  <c r="BZ109" i="4" s="1"/>
  <c r="AS65" i="4"/>
  <c r="BY27" i="4"/>
  <c r="BZ27" i="4" s="1"/>
  <c r="BY119" i="4"/>
  <c r="BY133" i="4"/>
  <c r="BZ133" i="4" s="1"/>
  <c r="BY43" i="4"/>
  <c r="BZ43" i="4" s="1"/>
  <c r="BY25" i="4"/>
  <c r="BZ25" i="4" s="1"/>
  <c r="BY58" i="4"/>
  <c r="BZ58" i="4" s="1"/>
  <c r="BY103" i="4"/>
  <c r="BZ103" i="4" s="1"/>
  <c r="AS124" i="4"/>
  <c r="BY61" i="4"/>
  <c r="BZ61" i="4" s="1"/>
  <c r="BY150" i="4"/>
  <c r="BZ150" i="4" s="1"/>
  <c r="AS24" i="4"/>
  <c r="BY69" i="4"/>
  <c r="BZ69" i="4" s="1"/>
  <c r="BY50" i="4"/>
  <c r="BZ50" i="4" s="1"/>
  <c r="AS113" i="4"/>
  <c r="AS116" i="4"/>
  <c r="BY76" i="4"/>
  <c r="BZ76" i="4" s="1"/>
  <c r="BY41" i="4"/>
  <c r="BZ41" i="4" s="1"/>
  <c r="AS156" i="4"/>
  <c r="AS21" i="4"/>
  <c r="AS54" i="4"/>
  <c r="BY34" i="4"/>
  <c r="BZ34" i="4" s="1"/>
  <c r="AY8" i="4"/>
  <c r="AV8" i="4"/>
  <c r="BY23" i="4"/>
  <c r="BZ23" i="4" s="1"/>
  <c r="AS143" i="4"/>
  <c r="AS145" i="4"/>
  <c r="AS110" i="4"/>
  <c r="AS146" i="4"/>
  <c r="BY63" i="4"/>
  <c r="BZ63" i="4" s="1"/>
  <c r="BY29" i="4"/>
  <c r="BZ29" i="4" s="1"/>
  <c r="AS108" i="4"/>
  <c r="AS149" i="4"/>
  <c r="AS140" i="4"/>
  <c r="AS142" i="4"/>
  <c r="AS46" i="4"/>
  <c r="AS47" i="4"/>
  <c r="AS104" i="4"/>
  <c r="AS118" i="4"/>
  <c r="AE362" i="10" l="1"/>
  <c r="AD238" i="10"/>
  <c r="AD92" i="10"/>
  <c r="AD381" i="10"/>
  <c r="AD242" i="10"/>
  <c r="AE376" i="10"/>
  <c r="AE518" i="10"/>
  <c r="AE539" i="10"/>
  <c r="AE478" i="10"/>
  <c r="AD364" i="10"/>
  <c r="AD53" i="10"/>
  <c r="AD434" i="10"/>
  <c r="AE269" i="10"/>
  <c r="AE235" i="10"/>
  <c r="AE69" i="10"/>
  <c r="AD416" i="10"/>
  <c r="AE333" i="10"/>
  <c r="AD393" i="10"/>
  <c r="AD83" i="10"/>
  <c r="AD463" i="10"/>
  <c r="AE61" i="10"/>
  <c r="AD49" i="10"/>
  <c r="AD423" i="10"/>
  <c r="AD173" i="10"/>
  <c r="AE550" i="10"/>
  <c r="AE304" i="10"/>
  <c r="AE520" i="10"/>
  <c r="AD249" i="10"/>
  <c r="AE278" i="10"/>
  <c r="AE146" i="10"/>
  <c r="AD327" i="10"/>
  <c r="AE336" i="10"/>
  <c r="AE401" i="10"/>
  <c r="AD486" i="10"/>
  <c r="AD545" i="10"/>
  <c r="AE545" i="10"/>
  <c r="AE311" i="10"/>
  <c r="AE124" i="10"/>
  <c r="AE320" i="5"/>
  <c r="AD320" i="5"/>
  <c r="AE91" i="10"/>
  <c r="AD91" i="10"/>
  <c r="AD489" i="5"/>
  <c r="AE489" i="5"/>
  <c r="AE399" i="10"/>
  <c r="AD399" i="10"/>
  <c r="AE94" i="5"/>
  <c r="AD94" i="5"/>
  <c r="AD345" i="5"/>
  <c r="AE345" i="5"/>
  <c r="AE150" i="5"/>
  <c r="AD150" i="5"/>
  <c r="AE84" i="5"/>
  <c r="AD84" i="5"/>
  <c r="AD138" i="5"/>
  <c r="AE138" i="5"/>
  <c r="AE502" i="5"/>
  <c r="AD502" i="5"/>
  <c r="AD426" i="5"/>
  <c r="AE426" i="5"/>
  <c r="AE52" i="5"/>
  <c r="AD52" i="5"/>
  <c r="AE93" i="5"/>
  <c r="AD93" i="5"/>
  <c r="AD72" i="10"/>
  <c r="AE72" i="10"/>
  <c r="AD197" i="10"/>
  <c r="AE197" i="10"/>
  <c r="AE418" i="10"/>
  <c r="AD418" i="10"/>
  <c r="AE131" i="10"/>
  <c r="AD131" i="10"/>
  <c r="AD529" i="10"/>
  <c r="AE529" i="10"/>
  <c r="AD363" i="10"/>
  <c r="AE363" i="10"/>
  <c r="AD216" i="10"/>
  <c r="AE216" i="10"/>
  <c r="AE25" i="10"/>
  <c r="AD25" i="10"/>
  <c r="AD441" i="10"/>
  <c r="AE441" i="10"/>
  <c r="AD20" i="5"/>
  <c r="AE20" i="5"/>
  <c r="AE410" i="5"/>
  <c r="AD410" i="5"/>
  <c r="AE71" i="5"/>
  <c r="AD71" i="5"/>
  <c r="AD188" i="5"/>
  <c r="AE188" i="5"/>
  <c r="AE253" i="5"/>
  <c r="AD253" i="5"/>
  <c r="AE369" i="5"/>
  <c r="AD369" i="5"/>
  <c r="AD220" i="5"/>
  <c r="AE220" i="5"/>
  <c r="AD494" i="5"/>
  <c r="AE494" i="5"/>
  <c r="AE308" i="10"/>
  <c r="AD308" i="10"/>
  <c r="AD46" i="10"/>
  <c r="AE46" i="10"/>
  <c r="AE466" i="10"/>
  <c r="AD466" i="10"/>
  <c r="AD148" i="10"/>
  <c r="AE148" i="10"/>
  <c r="AD295" i="10"/>
  <c r="AE295" i="10"/>
  <c r="AD257" i="10"/>
  <c r="AE257" i="10"/>
  <c r="AD373" i="10"/>
  <c r="AE373" i="10"/>
  <c r="AD232" i="10"/>
  <c r="AE232" i="10"/>
  <c r="AE135" i="10"/>
  <c r="AD135" i="10"/>
  <c r="AD139" i="5"/>
  <c r="AE139" i="5"/>
  <c r="AE276" i="5"/>
  <c r="AD276" i="5"/>
  <c r="AE406" i="5"/>
  <c r="AD406" i="5"/>
  <c r="AE239" i="5"/>
  <c r="AD239" i="5"/>
  <c r="AD243" i="5"/>
  <c r="AE243" i="5"/>
  <c r="AE307" i="5"/>
  <c r="AD307" i="5"/>
  <c r="AD281" i="5"/>
  <c r="AE281" i="5"/>
  <c r="AD301" i="5"/>
  <c r="AE301" i="5"/>
  <c r="AD314" i="5"/>
  <c r="AE314" i="5"/>
  <c r="AD74" i="10"/>
  <c r="AE74" i="10"/>
  <c r="AE96" i="10"/>
  <c r="AD96" i="10"/>
  <c r="AD82" i="10"/>
  <c r="AE82" i="10"/>
  <c r="AD525" i="10"/>
  <c r="AE525" i="10"/>
  <c r="AD407" i="10"/>
  <c r="AE407" i="10"/>
  <c r="AE359" i="10"/>
  <c r="AD359" i="10"/>
  <c r="AD214" i="10"/>
  <c r="AE214" i="10"/>
  <c r="AD185" i="10"/>
  <c r="AE185" i="10"/>
  <c r="AD455" i="5"/>
  <c r="AE455" i="5"/>
  <c r="AD260" i="5"/>
  <c r="AE260" i="5"/>
  <c r="AE492" i="5"/>
  <c r="AD492" i="5"/>
  <c r="AD102" i="5"/>
  <c r="AE102" i="5"/>
  <c r="AD394" i="5"/>
  <c r="AE394" i="5"/>
  <c r="AE267" i="5"/>
  <c r="AD267" i="5"/>
  <c r="AD140" i="5"/>
  <c r="AE140" i="5"/>
  <c r="AD224" i="5"/>
  <c r="AE224" i="5"/>
  <c r="AE491" i="5"/>
  <c r="AD491" i="5"/>
  <c r="AE283" i="10"/>
  <c r="AD283" i="10"/>
  <c r="AE159" i="10"/>
  <c r="AD159" i="10"/>
  <c r="AE439" i="10"/>
  <c r="AD439" i="10"/>
  <c r="AD435" i="10"/>
  <c r="AE435" i="10"/>
  <c r="AE345" i="10"/>
  <c r="AD345" i="10"/>
  <c r="AD236" i="10"/>
  <c r="AE236" i="10"/>
  <c r="AE144" i="10"/>
  <c r="AD144" i="10"/>
  <c r="AD113" i="10"/>
  <c r="AE113" i="10"/>
  <c r="AE390" i="10"/>
  <c r="AD390" i="10"/>
  <c r="AD179" i="5"/>
  <c r="AE179" i="5"/>
  <c r="AE108" i="5"/>
  <c r="AD108" i="5"/>
  <c r="AE98" i="5"/>
  <c r="AD98" i="5"/>
  <c r="AD439" i="5"/>
  <c r="AE439" i="5"/>
  <c r="AD255" i="5"/>
  <c r="AE255" i="5"/>
  <c r="AD547" i="5"/>
  <c r="AE547" i="5"/>
  <c r="AD185" i="5"/>
  <c r="AE185" i="5"/>
  <c r="AE341" i="5"/>
  <c r="AD341" i="5"/>
  <c r="AE291" i="5"/>
  <c r="AD291" i="5"/>
  <c r="AD226" i="10"/>
  <c r="AE226" i="10"/>
  <c r="AE218" i="10"/>
  <c r="AD218" i="10"/>
  <c r="AD149" i="10"/>
  <c r="AE149" i="10"/>
  <c r="AE194" i="10"/>
  <c r="AD194" i="10"/>
  <c r="AD93" i="10"/>
  <c r="AE93" i="10"/>
  <c r="AD138" i="10"/>
  <c r="AE138" i="10"/>
  <c r="AD297" i="10"/>
  <c r="AE297" i="10"/>
  <c r="AD301" i="10"/>
  <c r="AE301" i="10"/>
  <c r="AD484" i="10"/>
  <c r="AE484" i="10"/>
  <c r="AE366" i="5"/>
  <c r="AD366" i="5"/>
  <c r="AD210" i="5"/>
  <c r="AE210" i="5"/>
  <c r="AD180" i="5"/>
  <c r="AE180" i="5"/>
  <c r="AE493" i="5"/>
  <c r="AD493" i="5"/>
  <c r="AD153" i="5"/>
  <c r="AE153" i="5"/>
  <c r="AE427" i="5"/>
  <c r="AD427" i="5"/>
  <c r="AD512" i="5"/>
  <c r="AE512" i="5"/>
  <c r="AE232" i="5"/>
  <c r="AD232" i="5"/>
  <c r="AE97" i="10"/>
  <c r="AD97" i="10"/>
  <c r="AD272" i="5"/>
  <c r="AE272" i="5"/>
  <c r="AE194" i="5"/>
  <c r="AD194" i="5"/>
  <c r="AD310" i="5"/>
  <c r="AE310" i="5"/>
  <c r="AE26" i="5"/>
  <c r="AD26" i="5"/>
  <c r="AD438" i="5"/>
  <c r="AE438" i="5"/>
  <c r="AE462" i="5"/>
  <c r="AD462" i="5"/>
  <c r="AD295" i="5"/>
  <c r="AE295" i="5"/>
  <c r="AE527" i="5"/>
  <c r="AD527" i="5"/>
  <c r="AE123" i="10"/>
  <c r="AD123" i="10"/>
  <c r="AE341" i="10"/>
  <c r="AD341" i="10"/>
  <c r="AE147" i="10"/>
  <c r="AD147" i="10"/>
  <c r="AD121" i="10"/>
  <c r="AE121" i="10"/>
  <c r="AE522" i="10"/>
  <c r="AD522" i="10"/>
  <c r="AD180" i="10"/>
  <c r="AE180" i="10"/>
  <c r="AE274" i="10"/>
  <c r="AD274" i="10"/>
  <c r="AE485" i="10"/>
  <c r="AD485" i="10"/>
  <c r="AE164" i="10"/>
  <c r="AD164" i="10"/>
  <c r="AE443" i="5"/>
  <c r="AD443" i="5"/>
  <c r="AE344" i="5"/>
  <c r="AD344" i="5"/>
  <c r="AD225" i="5"/>
  <c r="AE225" i="5"/>
  <c r="AD457" i="5"/>
  <c r="AE457" i="5"/>
  <c r="AE518" i="5"/>
  <c r="AD518" i="5"/>
  <c r="AE446" i="5"/>
  <c r="AD446" i="5"/>
  <c r="AD436" i="5"/>
  <c r="AE436" i="5"/>
  <c r="AE483" i="5"/>
  <c r="AD483" i="5"/>
  <c r="AE181" i="5"/>
  <c r="AD181" i="5"/>
  <c r="AE289" i="10"/>
  <c r="AD289" i="10"/>
  <c r="AD352" i="10"/>
  <c r="AE352" i="10"/>
  <c r="AE292" i="10"/>
  <c r="AD292" i="10"/>
  <c r="AE444" i="10"/>
  <c r="AD444" i="10"/>
  <c r="AD256" i="10"/>
  <c r="AE256" i="10"/>
  <c r="AD88" i="10"/>
  <c r="AE88" i="10"/>
  <c r="AD22" i="10"/>
  <c r="AE22" i="10"/>
  <c r="AE427" i="10"/>
  <c r="AD427" i="10"/>
  <c r="AD537" i="5"/>
  <c r="AE537" i="5"/>
  <c r="AE450" i="10"/>
  <c r="AD450" i="10"/>
  <c r="AD403" i="5"/>
  <c r="AE403" i="5"/>
  <c r="AE490" i="10"/>
  <c r="AD490" i="10"/>
  <c r="AE479" i="5"/>
  <c r="AD479" i="5"/>
  <c r="AD270" i="5"/>
  <c r="AE270" i="5"/>
  <c r="AE313" i="5"/>
  <c r="AD313" i="5"/>
  <c r="AD63" i="5"/>
  <c r="AE63" i="5"/>
  <c r="AD35" i="5"/>
  <c r="AE35" i="5"/>
  <c r="AD499" i="5"/>
  <c r="AE499" i="5"/>
  <c r="AD99" i="5"/>
  <c r="AE99" i="5"/>
  <c r="AE27" i="5"/>
  <c r="AD27" i="5"/>
  <c r="AE480" i="5"/>
  <c r="AD480" i="5"/>
  <c r="AD212" i="5"/>
  <c r="AE212" i="5"/>
  <c r="AD65" i="10"/>
  <c r="AE65" i="10"/>
  <c r="AE110" i="10"/>
  <c r="AD110" i="10"/>
  <c r="AD530" i="10"/>
  <c r="AE530" i="10"/>
  <c r="AE170" i="10"/>
  <c r="AD170" i="10"/>
  <c r="AE125" i="10"/>
  <c r="AD125" i="10"/>
  <c r="AE187" i="10"/>
  <c r="AD187" i="10"/>
  <c r="AE323" i="10"/>
  <c r="AD323" i="10"/>
  <c r="AD225" i="10"/>
  <c r="AE225" i="10"/>
  <c r="AE464" i="10"/>
  <c r="AD464" i="10"/>
  <c r="AD217" i="5"/>
  <c r="AE217" i="5"/>
  <c r="AD370" i="5"/>
  <c r="AE370" i="5"/>
  <c r="AD79" i="5"/>
  <c r="AE79" i="5"/>
  <c r="AD117" i="5"/>
  <c r="AE117" i="5"/>
  <c r="AE273" i="5"/>
  <c r="AD273" i="5"/>
  <c r="AD505" i="5"/>
  <c r="AE505" i="5"/>
  <c r="AE244" i="5"/>
  <c r="AD244" i="5"/>
  <c r="AE421" i="5"/>
  <c r="AD421" i="5"/>
  <c r="AD240" i="10"/>
  <c r="AE240" i="10"/>
  <c r="AE171" i="10"/>
  <c r="AD171" i="10"/>
  <c r="AE81" i="10"/>
  <c r="AD81" i="10"/>
  <c r="AE380" i="10"/>
  <c r="AD380" i="10"/>
  <c r="AE136" i="10"/>
  <c r="AD136" i="10"/>
  <c r="AD7" i="10"/>
  <c r="AE7" i="10"/>
  <c r="AD531" i="10"/>
  <c r="AE531" i="10"/>
  <c r="AE398" i="10"/>
  <c r="AD398" i="10"/>
  <c r="AE114" i="10"/>
  <c r="AD114" i="10"/>
  <c r="AE422" i="5"/>
  <c r="AD422" i="5"/>
  <c r="AE517" i="5"/>
  <c r="AD517" i="5"/>
  <c r="AE521" i="5"/>
  <c r="AD521" i="5"/>
  <c r="AE374" i="5"/>
  <c r="AD374" i="5"/>
  <c r="AE303" i="5"/>
  <c r="AD303" i="5"/>
  <c r="AD342" i="5"/>
  <c r="AE342" i="5"/>
  <c r="AD167" i="5"/>
  <c r="AE167" i="5"/>
  <c r="AE261" i="5"/>
  <c r="AD261" i="5"/>
  <c r="AE182" i="5"/>
  <c r="AD182" i="5"/>
  <c r="AE215" i="10"/>
  <c r="AD215" i="10"/>
  <c r="AD461" i="10"/>
  <c r="AE461" i="10"/>
  <c r="AE437" i="10"/>
  <c r="AD437" i="10"/>
  <c r="AD276" i="10"/>
  <c r="AE276" i="10"/>
  <c r="AE491" i="10"/>
  <c r="AD491" i="10"/>
  <c r="AD305" i="10"/>
  <c r="AE305" i="10"/>
  <c r="AD499" i="10"/>
  <c r="AE499" i="10"/>
  <c r="AD206" i="5"/>
  <c r="AE206" i="5"/>
  <c r="AE127" i="5"/>
  <c r="AD127" i="5"/>
  <c r="AE385" i="5"/>
  <c r="AD385" i="5"/>
  <c r="AD292" i="5"/>
  <c r="AE292" i="5"/>
  <c r="AE198" i="5"/>
  <c r="AD198" i="5"/>
  <c r="AE96" i="5"/>
  <c r="AD96" i="5"/>
  <c r="AD461" i="5"/>
  <c r="AE461" i="5"/>
  <c r="AE149" i="5"/>
  <c r="AD149" i="5"/>
  <c r="AE490" i="5"/>
  <c r="AD490" i="5"/>
  <c r="AD56" i="10"/>
  <c r="AE56" i="10"/>
  <c r="AD443" i="10"/>
  <c r="AE443" i="10"/>
  <c r="AD262" i="10"/>
  <c r="AE262" i="10"/>
  <c r="AD68" i="10"/>
  <c r="AE68" i="10"/>
  <c r="AE161" i="10"/>
  <c r="AD161" i="10"/>
  <c r="AD524" i="10"/>
  <c r="AE524" i="10"/>
  <c r="AD494" i="10"/>
  <c r="AE494" i="10"/>
  <c r="AE318" i="10"/>
  <c r="AD318" i="10"/>
  <c r="AE302" i="10"/>
  <c r="AD302" i="10"/>
  <c r="AE100" i="5"/>
  <c r="AD100" i="5"/>
  <c r="AD440" i="5"/>
  <c r="AE440" i="5"/>
  <c r="AE383" i="5"/>
  <c r="AD383" i="5"/>
  <c r="AD264" i="5"/>
  <c r="AE264" i="5"/>
  <c r="AE297" i="5"/>
  <c r="AD297" i="5"/>
  <c r="AE112" i="5"/>
  <c r="AD112" i="5"/>
  <c r="AE268" i="5"/>
  <c r="AD268" i="5"/>
  <c r="AD437" i="5"/>
  <c r="AE437" i="5"/>
  <c r="AE193" i="5"/>
  <c r="AD193" i="5"/>
  <c r="AD140" i="10"/>
  <c r="AE140" i="10"/>
  <c r="AE408" i="10"/>
  <c r="AD408" i="10"/>
  <c r="AD43" i="10"/>
  <c r="AE43" i="10"/>
  <c r="AE8" i="10"/>
  <c r="AD8" i="10"/>
  <c r="AE455" i="10"/>
  <c r="AD455" i="10"/>
  <c r="AE385" i="10"/>
  <c r="AD385" i="10"/>
  <c r="AE120" i="10"/>
  <c r="AD120" i="10"/>
  <c r="AE80" i="5"/>
  <c r="AD80" i="5"/>
  <c r="AE233" i="5"/>
  <c r="AD233" i="5"/>
  <c r="AD330" i="5"/>
  <c r="AE330" i="5"/>
  <c r="AE337" i="5"/>
  <c r="AD337" i="5"/>
  <c r="AE300" i="5"/>
  <c r="AD300" i="5"/>
  <c r="AD388" i="5"/>
  <c r="AE388" i="5"/>
  <c r="AE128" i="5"/>
  <c r="AD128" i="5"/>
  <c r="AE207" i="5"/>
  <c r="AD207" i="5"/>
  <c r="AD53" i="5"/>
  <c r="AE53" i="5"/>
  <c r="AD511" i="10"/>
  <c r="AE511" i="10"/>
  <c r="AD190" i="5"/>
  <c r="AE190" i="5"/>
  <c r="AD473" i="5"/>
  <c r="AE473" i="5"/>
  <c r="AE312" i="5"/>
  <c r="AD312" i="5"/>
  <c r="AE286" i="5"/>
  <c r="AD286" i="5"/>
  <c r="AD130" i="5"/>
  <c r="AE130" i="5"/>
  <c r="AD414" i="5"/>
  <c r="AE414" i="5"/>
  <c r="AE362" i="5"/>
  <c r="AD362" i="5"/>
  <c r="AD327" i="5"/>
  <c r="AE327" i="5"/>
  <c r="AE365" i="10"/>
  <c r="AD365" i="10"/>
  <c r="AD122" i="10"/>
  <c r="AE122" i="10"/>
  <c r="AD488" i="10"/>
  <c r="AE488" i="10"/>
  <c r="AD347" i="10"/>
  <c r="AE347" i="10"/>
  <c r="AE496" i="10"/>
  <c r="AD496" i="10"/>
  <c r="AD430" i="10"/>
  <c r="AE430" i="10"/>
  <c r="AD326" i="10"/>
  <c r="AE326" i="10"/>
  <c r="AE204" i="10"/>
  <c r="AD204" i="10"/>
  <c r="AD191" i="10"/>
  <c r="AE191" i="10"/>
  <c r="AE477" i="5"/>
  <c r="AD477" i="5"/>
  <c r="AD283" i="5"/>
  <c r="AE283" i="5"/>
  <c r="AE361" i="5"/>
  <c r="AD361" i="5"/>
  <c r="AD144" i="5"/>
  <c r="AE144" i="5"/>
  <c r="AE38" i="5"/>
  <c r="AD38" i="5"/>
  <c r="AD474" i="5"/>
  <c r="AE474" i="5"/>
  <c r="AD423" i="5"/>
  <c r="AE423" i="5"/>
  <c r="AE59" i="5"/>
  <c r="AD59" i="5"/>
  <c r="AD19" i="10"/>
  <c r="AE19" i="10"/>
  <c r="AE243" i="10"/>
  <c r="AD243" i="10"/>
  <c r="AD442" i="10"/>
  <c r="AE442" i="10"/>
  <c r="AD152" i="10"/>
  <c r="AE152" i="10"/>
  <c r="AD30" i="10"/>
  <c r="AE30" i="10"/>
  <c r="AE354" i="10"/>
  <c r="AD354" i="10"/>
  <c r="AD331" i="10"/>
  <c r="AE331" i="10"/>
  <c r="AE150" i="10"/>
  <c r="AD150" i="10"/>
  <c r="AD137" i="10"/>
  <c r="AE137" i="10"/>
  <c r="AE183" i="10"/>
  <c r="AD183" i="10"/>
  <c r="AD519" i="5"/>
  <c r="AE519" i="5"/>
  <c r="AD555" i="10"/>
  <c r="AE555" i="10"/>
  <c r="AD333" i="5"/>
  <c r="AE333" i="5"/>
  <c r="AD509" i="10"/>
  <c r="AE509" i="10"/>
  <c r="AE558" i="5"/>
  <c r="AD558" i="5"/>
  <c r="AE214" i="5"/>
  <c r="AD214" i="5"/>
  <c r="AD387" i="10"/>
  <c r="AE387" i="10"/>
  <c r="AD383" i="10"/>
  <c r="AE383" i="10"/>
  <c r="AD288" i="10"/>
  <c r="AE288" i="10"/>
  <c r="AE63" i="10"/>
  <c r="AD63" i="10"/>
  <c r="AD52" i="10"/>
  <c r="AE52" i="10"/>
  <c r="AD460" i="10"/>
  <c r="AE460" i="10"/>
  <c r="AD507" i="10"/>
  <c r="AE507" i="10"/>
  <c r="AE463" i="5"/>
  <c r="AD463" i="5"/>
  <c r="AE393" i="5"/>
  <c r="AD393" i="5"/>
  <c r="AE405" i="5"/>
  <c r="AD405" i="5"/>
  <c r="AD536" i="5"/>
  <c r="AE536" i="5"/>
  <c r="AE294" i="5"/>
  <c r="AD294" i="5"/>
  <c r="AD509" i="5"/>
  <c r="AE509" i="5"/>
  <c r="AD34" i="5"/>
  <c r="AE34" i="5"/>
  <c r="AD8" i="5"/>
  <c r="B255" i="2" s="1"/>
  <c r="B256" i="2" s="1"/>
  <c r="B257" i="2" s="1"/>
  <c r="F86" i="1" s="1"/>
  <c r="AE8" i="5"/>
  <c r="AD86" i="5"/>
  <c r="AE86" i="5"/>
  <c r="AD157" i="10"/>
  <c r="AE157" i="10"/>
  <c r="AE119" i="10"/>
  <c r="AD119" i="10"/>
  <c r="AE299" i="10"/>
  <c r="AD299" i="10"/>
  <c r="AD472" i="10"/>
  <c r="AE472" i="10"/>
  <c r="AE366" i="10"/>
  <c r="AD366" i="10"/>
  <c r="AE230" i="10"/>
  <c r="AD230" i="10"/>
  <c r="AD228" i="10"/>
  <c r="AE228" i="10"/>
  <c r="AE540" i="10"/>
  <c r="AD540" i="10"/>
  <c r="AD123" i="5"/>
  <c r="AE123" i="5"/>
  <c r="AE236" i="5"/>
  <c r="AD236" i="5"/>
  <c r="AD97" i="5"/>
  <c r="AE97" i="5"/>
  <c r="AD435" i="5"/>
  <c r="AE435" i="5"/>
  <c r="AE380" i="5"/>
  <c r="AD380" i="5"/>
  <c r="AD213" i="5"/>
  <c r="AE213" i="5"/>
  <c r="AD287" i="5"/>
  <c r="AE287" i="5"/>
  <c r="AD29" i="5"/>
  <c r="AE29" i="5"/>
  <c r="AE126" i="5"/>
  <c r="AD126" i="5"/>
  <c r="AD141" i="10"/>
  <c r="AE141" i="10"/>
  <c r="AE98" i="10"/>
  <c r="AD98" i="10"/>
  <c r="AD415" i="10"/>
  <c r="AE415" i="10"/>
  <c r="AD367" i="10"/>
  <c r="AE367" i="10"/>
  <c r="AD160" i="10"/>
  <c r="AE160" i="10"/>
  <c r="AE167" i="10"/>
  <c r="AD167" i="10"/>
  <c r="AD560" i="10"/>
  <c r="AE560" i="10"/>
  <c r="AD508" i="5"/>
  <c r="AE508" i="5"/>
  <c r="AD506" i="5"/>
  <c r="AE506" i="5"/>
  <c r="AD135" i="5"/>
  <c r="AE135" i="5"/>
  <c r="AE66" i="5"/>
  <c r="AD66" i="5"/>
  <c r="AD120" i="5"/>
  <c r="AE120" i="5"/>
  <c r="AE367" i="5"/>
  <c r="AD367" i="5"/>
  <c r="AD507" i="5"/>
  <c r="AE507" i="5"/>
  <c r="AE158" i="5"/>
  <c r="AD158" i="5"/>
  <c r="AE458" i="5"/>
  <c r="AD458" i="5"/>
  <c r="AE247" i="10"/>
  <c r="AD247" i="10"/>
  <c r="AD32" i="5"/>
  <c r="AE32" i="5"/>
  <c r="AD404" i="5"/>
  <c r="AE404" i="5"/>
  <c r="AD254" i="5"/>
  <c r="AE254" i="5"/>
  <c r="AE39" i="5"/>
  <c r="AD39" i="5"/>
  <c r="AD249" i="5"/>
  <c r="AE249" i="5"/>
  <c r="AE408" i="5"/>
  <c r="AD408" i="5"/>
  <c r="AE309" i="5"/>
  <c r="AD309" i="5"/>
  <c r="AD62" i="5"/>
  <c r="AE62" i="5"/>
  <c r="AD467" i="5"/>
  <c r="AE467" i="5"/>
  <c r="AE307" i="10"/>
  <c r="AD307" i="10"/>
  <c r="AE537" i="10"/>
  <c r="AD537" i="10"/>
  <c r="AE533" i="10"/>
  <c r="AD533" i="10"/>
  <c r="AE246" i="10"/>
  <c r="AD246" i="10"/>
  <c r="AD252" i="10"/>
  <c r="AE252" i="10"/>
  <c r="AD162" i="10"/>
  <c r="AE162" i="10"/>
  <c r="AD58" i="10"/>
  <c r="AE58" i="10"/>
  <c r="AD526" i="10"/>
  <c r="AE526" i="10"/>
  <c r="AD126" i="10"/>
  <c r="AE126" i="10"/>
  <c r="AD141" i="5"/>
  <c r="AE141" i="5"/>
  <c r="AE161" i="5"/>
  <c r="AD161" i="5"/>
  <c r="AE118" i="5"/>
  <c r="AD118" i="5"/>
  <c r="AE332" i="5"/>
  <c r="AD332" i="5"/>
  <c r="AE549" i="5"/>
  <c r="AD549" i="5"/>
  <c r="AE156" i="5"/>
  <c r="AD156" i="5"/>
  <c r="AD533" i="5"/>
  <c r="AE533" i="5"/>
  <c r="AD114" i="5"/>
  <c r="AE114" i="5"/>
  <c r="AE459" i="10"/>
  <c r="AD459" i="10"/>
  <c r="AE175" i="10"/>
  <c r="AD175" i="10"/>
  <c r="AD89" i="10"/>
  <c r="AE89" i="10"/>
  <c r="AD356" i="10"/>
  <c r="AE356" i="10"/>
  <c r="AD79" i="10"/>
  <c r="AE79" i="10"/>
  <c r="AE59" i="10"/>
  <c r="AD59" i="10"/>
  <c r="AE76" i="10"/>
  <c r="AD76" i="10"/>
  <c r="AD54" i="10"/>
  <c r="AE54" i="10"/>
  <c r="AD115" i="10"/>
  <c r="AE115" i="10"/>
  <c r="AE20" i="10"/>
  <c r="AD20" i="10"/>
  <c r="AD31" i="5"/>
  <c r="AE31" i="5"/>
  <c r="AE188" i="10"/>
  <c r="AD188" i="10"/>
  <c r="AD208" i="5"/>
  <c r="AE208" i="5"/>
  <c r="AE207" i="10"/>
  <c r="AD207" i="10"/>
  <c r="AE206" i="10"/>
  <c r="AD206" i="10"/>
  <c r="AD151" i="5"/>
  <c r="AE151" i="5"/>
  <c r="AE495" i="5"/>
  <c r="AD495" i="5"/>
  <c r="AD503" i="10"/>
  <c r="AE503" i="10"/>
  <c r="AD442" i="5"/>
  <c r="AE442" i="5"/>
  <c r="AD248" i="5"/>
  <c r="AE248" i="5"/>
  <c r="AD162" i="5"/>
  <c r="AE162" i="5"/>
  <c r="AE379" i="5"/>
  <c r="AD379" i="5"/>
  <c r="AE116" i="5"/>
  <c r="AD116" i="5"/>
  <c r="AE416" i="5"/>
  <c r="AD416" i="5"/>
  <c r="AD119" i="5"/>
  <c r="AE119" i="5"/>
  <c r="AE73" i="5"/>
  <c r="AD73" i="5"/>
  <c r="AD29" i="10"/>
  <c r="AE29" i="10"/>
  <c r="AE250" i="10"/>
  <c r="AD250" i="10"/>
  <c r="AE279" i="10"/>
  <c r="AD279" i="10"/>
  <c r="AE549" i="10"/>
  <c r="AD549" i="10"/>
  <c r="AE417" i="10"/>
  <c r="AD417" i="10"/>
  <c r="AE329" i="10"/>
  <c r="AD329" i="10"/>
  <c r="AD335" i="10"/>
  <c r="AE335" i="10"/>
  <c r="AE151" i="10"/>
  <c r="AD151" i="10"/>
  <c r="AD404" i="10"/>
  <c r="AE404" i="10"/>
  <c r="AE101" i="5"/>
  <c r="AD101" i="5"/>
  <c r="AD316" i="5"/>
  <c r="AE316" i="5"/>
  <c r="AD106" i="5"/>
  <c r="AE106" i="5"/>
  <c r="AE326" i="5"/>
  <c r="AD326" i="5"/>
  <c r="AD78" i="5"/>
  <c r="AE78" i="5"/>
  <c r="AD83" i="5"/>
  <c r="AE83" i="5"/>
  <c r="AE402" i="5"/>
  <c r="AD402" i="5"/>
  <c r="AD552" i="5"/>
  <c r="AE552" i="5"/>
  <c r="AD460" i="5"/>
  <c r="AE460" i="5"/>
  <c r="AE556" i="10"/>
  <c r="AD556" i="10"/>
  <c r="AE504" i="10"/>
  <c r="AD504" i="10"/>
  <c r="AE431" i="10"/>
  <c r="AD431" i="10"/>
  <c r="AE268" i="10"/>
  <c r="AD268" i="10"/>
  <c r="AE221" i="10"/>
  <c r="AD221" i="10"/>
  <c r="AE44" i="10"/>
  <c r="AD44" i="10"/>
  <c r="AE377" i="10"/>
  <c r="AD377" i="10"/>
  <c r="AD360" i="10"/>
  <c r="AE360" i="10"/>
  <c r="AE37" i="5"/>
  <c r="AD37" i="5"/>
  <c r="AE315" i="5"/>
  <c r="AD315" i="5"/>
  <c r="AE368" i="5"/>
  <c r="AD368" i="5"/>
  <c r="AE543" i="5"/>
  <c r="AD543" i="5"/>
  <c r="AE400" i="5"/>
  <c r="AD400" i="5"/>
  <c r="AE137" i="5"/>
  <c r="AD137" i="5"/>
  <c r="AD496" i="5"/>
  <c r="AE496" i="5"/>
  <c r="AE386" i="5"/>
  <c r="AD386" i="5"/>
  <c r="AE394" i="10"/>
  <c r="AD394" i="10"/>
  <c r="AE489" i="10"/>
  <c r="AD489" i="10"/>
  <c r="AE210" i="10"/>
  <c r="AD210" i="10"/>
  <c r="AE153" i="10"/>
  <c r="AD153" i="10"/>
  <c r="AE388" i="10"/>
  <c r="AD388" i="10"/>
  <c r="AD104" i="10"/>
  <c r="AE104" i="10"/>
  <c r="AD213" i="10"/>
  <c r="AE213" i="10"/>
  <c r="AD255" i="10"/>
  <c r="AE255" i="10"/>
  <c r="AE477" i="10"/>
  <c r="AD477" i="10"/>
  <c r="AD36" i="5"/>
  <c r="AE36" i="5"/>
  <c r="AD237" i="5"/>
  <c r="AE237" i="5"/>
  <c r="AD323" i="5"/>
  <c r="AE323" i="5"/>
  <c r="AD355" i="5"/>
  <c r="AE355" i="5"/>
  <c r="AD30" i="5"/>
  <c r="AE30" i="5"/>
  <c r="AE90" i="5"/>
  <c r="AD90" i="5"/>
  <c r="AD265" i="5"/>
  <c r="AE265" i="5"/>
  <c r="AE484" i="5"/>
  <c r="AD484" i="5"/>
  <c r="AD456" i="5"/>
  <c r="AE456" i="5"/>
  <c r="AD479" i="10"/>
  <c r="AE479" i="10"/>
  <c r="AD482" i="10"/>
  <c r="AE482" i="10"/>
  <c r="AE400" i="10"/>
  <c r="AD400" i="10"/>
  <c r="AE28" i="10"/>
  <c r="AD28" i="10"/>
  <c r="AE500" i="10"/>
  <c r="AD500" i="10"/>
  <c r="AD389" i="10"/>
  <c r="AE389" i="10"/>
  <c r="AE456" i="10"/>
  <c r="AD456" i="10"/>
  <c r="AD174" i="10"/>
  <c r="AE174" i="10"/>
  <c r="AD343" i="5"/>
  <c r="AE343" i="5"/>
  <c r="AD218" i="5"/>
  <c r="AE218" i="5"/>
  <c r="AD454" i="5"/>
  <c r="AE454" i="5"/>
  <c r="AD378" i="5"/>
  <c r="AE378" i="5"/>
  <c r="AD159" i="5"/>
  <c r="AE159" i="5"/>
  <c r="AE33" i="5"/>
  <c r="AD33" i="5"/>
  <c r="AE411" i="5"/>
  <c r="AD411" i="5"/>
  <c r="AE147" i="5"/>
  <c r="AD147" i="5"/>
  <c r="AE553" i="5"/>
  <c r="AD553" i="5"/>
  <c r="AD51" i="10"/>
  <c r="AE51" i="10"/>
  <c r="AE451" i="10"/>
  <c r="AD451" i="10"/>
  <c r="AD328" i="10"/>
  <c r="AE328" i="10"/>
  <c r="AD237" i="10"/>
  <c r="AE237" i="10"/>
  <c r="AD205" i="10"/>
  <c r="AE205" i="10"/>
  <c r="AD508" i="10"/>
  <c r="AE508" i="10"/>
  <c r="AE95" i="5"/>
  <c r="AD95" i="5"/>
  <c r="AE64" i="5"/>
  <c r="AD64" i="5"/>
  <c r="AE50" i="5"/>
  <c r="AD50" i="5"/>
  <c r="AE43" i="5"/>
  <c r="AD43" i="5"/>
  <c r="AD551" i="5"/>
  <c r="AE551" i="5"/>
  <c r="AE219" i="5"/>
  <c r="AD219" i="5"/>
  <c r="AE61" i="5"/>
  <c r="AD61" i="5"/>
  <c r="AD325" i="5"/>
  <c r="AE325" i="5"/>
  <c r="AE245" i="5"/>
  <c r="AD245" i="5"/>
  <c r="AE168" i="10"/>
  <c r="AD168" i="10"/>
  <c r="AD381" i="5"/>
  <c r="AE381" i="5"/>
  <c r="AE205" i="5"/>
  <c r="AD205" i="5"/>
  <c r="AD357" i="5"/>
  <c r="AE357" i="5"/>
  <c r="AE335" i="5"/>
  <c r="AD335" i="5"/>
  <c r="AD398" i="5"/>
  <c r="AE398" i="5"/>
  <c r="AE350" i="5"/>
  <c r="AD350" i="5"/>
  <c r="AD240" i="5"/>
  <c r="AE240" i="5"/>
  <c r="AD305" i="5"/>
  <c r="AE305" i="5"/>
  <c r="AE174" i="5"/>
  <c r="AD174" i="5"/>
  <c r="AE48" i="10"/>
  <c r="AD48" i="10"/>
  <c r="AE344" i="10"/>
  <c r="AD344" i="10"/>
  <c r="AD284" i="10"/>
  <c r="AE284" i="10"/>
  <c r="AE267" i="10"/>
  <c r="AD267" i="10"/>
  <c r="AE541" i="10"/>
  <c r="AD541" i="10"/>
  <c r="AE409" i="10"/>
  <c r="AD409" i="10"/>
  <c r="AE422" i="10"/>
  <c r="AD422" i="10"/>
  <c r="AD198" i="10"/>
  <c r="AE198" i="10"/>
  <c r="AE152" i="5"/>
  <c r="AD152" i="5"/>
  <c r="AD75" i="5"/>
  <c r="AE75" i="5"/>
  <c r="AE541" i="5"/>
  <c r="AD541" i="5"/>
  <c r="AD318" i="5"/>
  <c r="AE318" i="5"/>
  <c r="AE296" i="5"/>
  <c r="AD296" i="5"/>
  <c r="AD391" i="5"/>
  <c r="AE391" i="5"/>
  <c r="AD70" i="5"/>
  <c r="AE70" i="5"/>
  <c r="AD560" i="5"/>
  <c r="AE560" i="5"/>
  <c r="AE412" i="10"/>
  <c r="AD412" i="10"/>
  <c r="AE234" i="10"/>
  <c r="AD234" i="10"/>
  <c r="AD86" i="10"/>
  <c r="AE86" i="10"/>
  <c r="AD375" i="10"/>
  <c r="AE375" i="10"/>
  <c r="AD47" i="10"/>
  <c r="AE47" i="10"/>
  <c r="AD325" i="10"/>
  <c r="AE325" i="10"/>
  <c r="AE501" i="10"/>
  <c r="AD501" i="10"/>
  <c r="AE454" i="10"/>
  <c r="AD454" i="10"/>
  <c r="AD296" i="10"/>
  <c r="AE296" i="10"/>
  <c r="AD402" i="10"/>
  <c r="AE402" i="10"/>
  <c r="AD351" i="5"/>
  <c r="AE351" i="5"/>
  <c r="AE369" i="10"/>
  <c r="AD369" i="10"/>
  <c r="AD145" i="5"/>
  <c r="AE145" i="5"/>
  <c r="AD351" i="10"/>
  <c r="AE351" i="10"/>
  <c r="AD419" i="5"/>
  <c r="AE419" i="5"/>
  <c r="AE448" i="5"/>
  <c r="AD448" i="5"/>
  <c r="AD529" i="5"/>
  <c r="AE529" i="5"/>
  <c r="AD228" i="5"/>
  <c r="AE228" i="5"/>
  <c r="AE440" i="10"/>
  <c r="AD440" i="10"/>
  <c r="AE253" i="10"/>
  <c r="AD253" i="10"/>
  <c r="AD199" i="10"/>
  <c r="AE199" i="10"/>
  <c r="AE145" i="10"/>
  <c r="AD145" i="10"/>
  <c r="AD85" i="10"/>
  <c r="AE85" i="10"/>
  <c r="AE462" i="10"/>
  <c r="AD462" i="10"/>
  <c r="AE514" i="10"/>
  <c r="AD514" i="10"/>
  <c r="AD226" i="5"/>
  <c r="AE226" i="5"/>
  <c r="AE45" i="5"/>
  <c r="AD45" i="5"/>
  <c r="AE557" i="5"/>
  <c r="AD557" i="5"/>
  <c r="AD121" i="5"/>
  <c r="AE121" i="5"/>
  <c r="AD77" i="5"/>
  <c r="AE77" i="5"/>
  <c r="AE371" i="5"/>
  <c r="AD371" i="5"/>
  <c r="AE87" i="5"/>
  <c r="AD87" i="5"/>
  <c r="AD472" i="5"/>
  <c r="AE472" i="5"/>
  <c r="AD88" i="5"/>
  <c r="AE88" i="5"/>
  <c r="AD370" i="10"/>
  <c r="AE370" i="10"/>
  <c r="AE239" i="10"/>
  <c r="AD239" i="10"/>
  <c r="AE103" i="10"/>
  <c r="AD103" i="10"/>
  <c r="AE532" i="10"/>
  <c r="AD532" i="10"/>
  <c r="AD425" i="10"/>
  <c r="AE425" i="10"/>
  <c r="AE337" i="10"/>
  <c r="AD337" i="10"/>
  <c r="AE343" i="10"/>
  <c r="AD343" i="10"/>
  <c r="AD536" i="10"/>
  <c r="AE536" i="10"/>
  <c r="AD124" i="5"/>
  <c r="AE124" i="5"/>
  <c r="AE401" i="5"/>
  <c r="AD401" i="5"/>
  <c r="AD197" i="5"/>
  <c r="AE197" i="5"/>
  <c r="AE191" i="5"/>
  <c r="AD191" i="5"/>
  <c r="AD146" i="5"/>
  <c r="AE146" i="5"/>
  <c r="AD242" i="5"/>
  <c r="AE242" i="5"/>
  <c r="AE432" i="5"/>
  <c r="AD432" i="5"/>
  <c r="AE449" i="5"/>
  <c r="AD449" i="5"/>
  <c r="AE156" i="10"/>
  <c r="AD156" i="10"/>
  <c r="AD177" i="10"/>
  <c r="AE177" i="10"/>
  <c r="AE410" i="10"/>
  <c r="AD410" i="10"/>
  <c r="AD127" i="10"/>
  <c r="AE127" i="10"/>
  <c r="AE201" i="10"/>
  <c r="AD201" i="10"/>
  <c r="AD419" i="10"/>
  <c r="AE419" i="10"/>
  <c r="AE554" i="10"/>
  <c r="AD554" i="10"/>
  <c r="AE338" i="10"/>
  <c r="AD338" i="10"/>
  <c r="AE449" i="10"/>
  <c r="AD449" i="10"/>
  <c r="AE550" i="5"/>
  <c r="AD550" i="5"/>
  <c r="AD466" i="5"/>
  <c r="AE466" i="5"/>
  <c r="AE417" i="5"/>
  <c r="AD417" i="5"/>
  <c r="AE199" i="5"/>
  <c r="AD199" i="5"/>
  <c r="AE407" i="5"/>
  <c r="AD407" i="5"/>
  <c r="AE359" i="5"/>
  <c r="AD359" i="5"/>
  <c r="AE186" i="5"/>
  <c r="AD186" i="5"/>
  <c r="AE259" i="5"/>
  <c r="AD259" i="5"/>
  <c r="AD113" i="5"/>
  <c r="AE113" i="5"/>
  <c r="AE117" i="10"/>
  <c r="AD117" i="10"/>
  <c r="AD23" i="10"/>
  <c r="AE23" i="10"/>
  <c r="AD445" i="10"/>
  <c r="AE445" i="10"/>
  <c r="AE132" i="10"/>
  <c r="AD132" i="10"/>
  <c r="AD109" i="10"/>
  <c r="AE109" i="10"/>
  <c r="AE551" i="10"/>
  <c r="AD551" i="10"/>
  <c r="AD290" i="10"/>
  <c r="AE290" i="10"/>
  <c r="AE182" i="10"/>
  <c r="AD182" i="10"/>
  <c r="AE271" i="5"/>
  <c r="AD271" i="5"/>
  <c r="AE221" i="5"/>
  <c r="AD221" i="5"/>
  <c r="AD288" i="5"/>
  <c r="AE288" i="5"/>
  <c r="AD104" i="5"/>
  <c r="AE104" i="5"/>
  <c r="AD520" i="5"/>
  <c r="AE520" i="5"/>
  <c r="AD349" i="5"/>
  <c r="AE349" i="5"/>
  <c r="AD133" i="5"/>
  <c r="AE133" i="5"/>
  <c r="AE23" i="5"/>
  <c r="AD23" i="5"/>
  <c r="AD231" i="5"/>
  <c r="AE231" i="5"/>
  <c r="AE264" i="10"/>
  <c r="AD264" i="10"/>
  <c r="AD348" i="10"/>
  <c r="AE348" i="10"/>
  <c r="AE42" i="10"/>
  <c r="AD42" i="10"/>
  <c r="AE432" i="10"/>
  <c r="AD432" i="10"/>
  <c r="AE353" i="10"/>
  <c r="AD353" i="10"/>
  <c r="AD244" i="10"/>
  <c r="AE244" i="10"/>
  <c r="AE231" i="10"/>
  <c r="AD231" i="10"/>
  <c r="AD302" i="5"/>
  <c r="AE302" i="5"/>
  <c r="AD375" i="5"/>
  <c r="AE375" i="5"/>
  <c r="AD24" i="5"/>
  <c r="AE24" i="5"/>
  <c r="AE258" i="5"/>
  <c r="AD258" i="5"/>
  <c r="AD227" i="5"/>
  <c r="AE227" i="5"/>
  <c r="AD390" i="5"/>
  <c r="AE390" i="5"/>
  <c r="AE183" i="5"/>
  <c r="AD183" i="5"/>
  <c r="AE252" i="5"/>
  <c r="AD252" i="5"/>
  <c r="AE500" i="5"/>
  <c r="AD500" i="5"/>
  <c r="AE430" i="5"/>
  <c r="AD430" i="5"/>
  <c r="AE275" i="5"/>
  <c r="AD275" i="5"/>
  <c r="AD515" i="5"/>
  <c r="AE515" i="5"/>
  <c r="AE67" i="5"/>
  <c r="AD67" i="5"/>
  <c r="AE445" i="5"/>
  <c r="AD445" i="5"/>
  <c r="AE82" i="5"/>
  <c r="AD82" i="5"/>
  <c r="AD187" i="5"/>
  <c r="AE187" i="5"/>
  <c r="AD522" i="5"/>
  <c r="AE522" i="5"/>
  <c r="AD143" i="5"/>
  <c r="AE143" i="5"/>
  <c r="AD521" i="10"/>
  <c r="AE521" i="10"/>
  <c r="AD45" i="10"/>
  <c r="AE45" i="10"/>
  <c r="AD546" i="10"/>
  <c r="AE546" i="10"/>
  <c r="AD384" i="10"/>
  <c r="AE384" i="10"/>
  <c r="AE245" i="10"/>
  <c r="AD245" i="10"/>
  <c r="AD186" i="10"/>
  <c r="AE186" i="10"/>
  <c r="AE544" i="10"/>
  <c r="AD544" i="10"/>
  <c r="AD368" i="10"/>
  <c r="AE368" i="10"/>
  <c r="AE451" i="5"/>
  <c r="AD451" i="5"/>
  <c r="AE531" i="5"/>
  <c r="AD531" i="5"/>
  <c r="AE278" i="5"/>
  <c r="AD278" i="5"/>
  <c r="AD468" i="5"/>
  <c r="AE468" i="5"/>
  <c r="AD289" i="5"/>
  <c r="AE289" i="5"/>
  <c r="AE299" i="5"/>
  <c r="AD299" i="5"/>
  <c r="AD256" i="5"/>
  <c r="AE256" i="5"/>
  <c r="AE177" i="5"/>
  <c r="AD177" i="5"/>
  <c r="AD306" i="10"/>
  <c r="AE306" i="10"/>
  <c r="AE219" i="10"/>
  <c r="AD219" i="10"/>
  <c r="AD26" i="10"/>
  <c r="AE26" i="10"/>
  <c r="AE397" i="10"/>
  <c r="AD397" i="10"/>
  <c r="AD471" i="10"/>
  <c r="AE471" i="10"/>
  <c r="AE342" i="10"/>
  <c r="AD342" i="10"/>
  <c r="AE313" i="10"/>
  <c r="AD313" i="10"/>
  <c r="AD128" i="10"/>
  <c r="AE128" i="10"/>
  <c r="AE105" i="10"/>
  <c r="AD105" i="10"/>
  <c r="AD555" i="5"/>
  <c r="AE555" i="5"/>
  <c r="AE101" i="10"/>
  <c r="AD101" i="10"/>
  <c r="AE424" i="10"/>
  <c r="AD424" i="10"/>
  <c r="AD9" i="5"/>
  <c r="AE9" i="5"/>
  <c r="AE130" i="10"/>
  <c r="AD130" i="10"/>
  <c r="AD247" i="5"/>
  <c r="AE247" i="5"/>
  <c r="AE115" i="5"/>
  <c r="AD115" i="5"/>
  <c r="AE424" i="5"/>
  <c r="AD424" i="5"/>
  <c r="AE176" i="5"/>
  <c r="AD176" i="5"/>
  <c r="AD517" i="10"/>
  <c r="AE517" i="10"/>
  <c r="AD168" i="5"/>
  <c r="AE168" i="5"/>
  <c r="AE526" i="5"/>
  <c r="AD526" i="5"/>
  <c r="AD55" i="5"/>
  <c r="AE55" i="5"/>
  <c r="AD201" i="5"/>
  <c r="AE201" i="5"/>
  <c r="AE107" i="5"/>
  <c r="AD107" i="5"/>
  <c r="AE441" i="5"/>
  <c r="AD441" i="5"/>
  <c r="AE54" i="5"/>
  <c r="AD54" i="5"/>
  <c r="AE498" i="5"/>
  <c r="AD498" i="5"/>
  <c r="AE353" i="5"/>
  <c r="AD353" i="5"/>
  <c r="AE179" i="10"/>
  <c r="AD179" i="10"/>
  <c r="AE300" i="10"/>
  <c r="AD300" i="10"/>
  <c r="AE80" i="10"/>
  <c r="AD80" i="10"/>
  <c r="AD36" i="10"/>
  <c r="AE36" i="10"/>
  <c r="AD475" i="10"/>
  <c r="AE475" i="10"/>
  <c r="AD350" i="10"/>
  <c r="AE350" i="10"/>
  <c r="AD321" i="10"/>
  <c r="AE321" i="10"/>
  <c r="AE433" i="10"/>
  <c r="AD433" i="10"/>
  <c r="AD211" i="5"/>
  <c r="AE211" i="5"/>
  <c r="AE216" i="5"/>
  <c r="AD216" i="5"/>
  <c r="AE148" i="5"/>
  <c r="AD148" i="5"/>
  <c r="AD192" i="5"/>
  <c r="AE192" i="5"/>
  <c r="AD372" i="5"/>
  <c r="AE372" i="5"/>
  <c r="AE392" i="5"/>
  <c r="AD392" i="5"/>
  <c r="AD274" i="5"/>
  <c r="AE274" i="5"/>
  <c r="AD497" i="5"/>
  <c r="AE497" i="5"/>
  <c r="AE503" i="5"/>
  <c r="AD503" i="5"/>
  <c r="AD193" i="10"/>
  <c r="AE193" i="10"/>
  <c r="AE523" i="10"/>
  <c r="AD523" i="10"/>
  <c r="AE448" i="10"/>
  <c r="AD448" i="10"/>
  <c r="AE261" i="10"/>
  <c r="AD261" i="10"/>
  <c r="AE411" i="10"/>
  <c r="AD411" i="10"/>
  <c r="AE559" i="10"/>
  <c r="AD559" i="10"/>
  <c r="AD298" i="10"/>
  <c r="AE298" i="10"/>
  <c r="AD271" i="10"/>
  <c r="AE271" i="10"/>
  <c r="AE11" i="5"/>
  <c r="AD11" i="5"/>
  <c r="AD279" i="5"/>
  <c r="AE279" i="5"/>
  <c r="AD510" i="5"/>
  <c r="AE510" i="5"/>
  <c r="AD352" i="5"/>
  <c r="AE352" i="5"/>
  <c r="AD284" i="5"/>
  <c r="AE284" i="5"/>
  <c r="AE251" i="5"/>
  <c r="AD251" i="5"/>
  <c r="AD203" i="5"/>
  <c r="AE203" i="5"/>
  <c r="AE505" i="10"/>
  <c r="AD505" i="10"/>
  <c r="AE106" i="10"/>
  <c r="AD106" i="10"/>
  <c r="AD35" i="10"/>
  <c r="AE35" i="10"/>
  <c r="AD513" i="10"/>
  <c r="AE513" i="10"/>
  <c r="AD340" i="10"/>
  <c r="AE340" i="10"/>
  <c r="AD516" i="10"/>
  <c r="AE516" i="10"/>
  <c r="AE487" i="10"/>
  <c r="AD487" i="10"/>
  <c r="AE310" i="10"/>
  <c r="AD310" i="10"/>
  <c r="AE361" i="10"/>
  <c r="AD361" i="10"/>
  <c r="AD363" i="5"/>
  <c r="AE363" i="5"/>
  <c r="AE306" i="5"/>
  <c r="AD306" i="5"/>
  <c r="AE277" i="5"/>
  <c r="AD277" i="5"/>
  <c r="AD317" i="5"/>
  <c r="AE317" i="5"/>
  <c r="AE85" i="5"/>
  <c r="AD85" i="5"/>
  <c r="AE311" i="5"/>
  <c r="AD311" i="5"/>
  <c r="AD354" i="5"/>
  <c r="AE354" i="5"/>
  <c r="AD528" i="5"/>
  <c r="AE528" i="5"/>
  <c r="AD142" i="10"/>
  <c r="AE142" i="10"/>
  <c r="AD403" i="10"/>
  <c r="AE403" i="10"/>
  <c r="AE172" i="10"/>
  <c r="AD172" i="10"/>
  <c r="AE64" i="10"/>
  <c r="AD64" i="10"/>
  <c r="AE324" i="10"/>
  <c r="AD324" i="10"/>
  <c r="AE233" i="10"/>
  <c r="AD233" i="10"/>
  <c r="AE33" i="10"/>
  <c r="AD33" i="10"/>
  <c r="AD75" i="10"/>
  <c r="AE75" i="10"/>
  <c r="AD196" i="10"/>
  <c r="AE196" i="10"/>
  <c r="AE246" i="5"/>
  <c r="AD246" i="5"/>
  <c r="AE110" i="5"/>
  <c r="AD110" i="5"/>
  <c r="AD173" i="5"/>
  <c r="AE173" i="5"/>
  <c r="AE444" i="5"/>
  <c r="AD444" i="5"/>
  <c r="AD229" i="5"/>
  <c r="AE229" i="5"/>
  <c r="AE134" i="5"/>
  <c r="AD134" i="5"/>
  <c r="AD501" i="5"/>
  <c r="AE501" i="5"/>
  <c r="AD373" i="5"/>
  <c r="AE373" i="5"/>
  <c r="AD282" i="10"/>
  <c r="AE282" i="10"/>
  <c r="AE349" i="10"/>
  <c r="AD349" i="10"/>
  <c r="AE155" i="10"/>
  <c r="AD155" i="10"/>
  <c r="AE270" i="10"/>
  <c r="AD270" i="10"/>
  <c r="AE181" i="10"/>
  <c r="AD181" i="10"/>
  <c r="AE421" i="10"/>
  <c r="AD421" i="10"/>
  <c r="AE330" i="10"/>
  <c r="AD330" i="10"/>
  <c r="AD195" i="10"/>
  <c r="AE195" i="10"/>
  <c r="AD469" i="5"/>
  <c r="AE469" i="5"/>
  <c r="AD72" i="5"/>
  <c r="AE72" i="5"/>
  <c r="AD464" i="5"/>
  <c r="AE464" i="5"/>
  <c r="AE554" i="5"/>
  <c r="AD554" i="5"/>
  <c r="AD485" i="5"/>
  <c r="AE485" i="5"/>
  <c r="AE308" i="5"/>
  <c r="AD308" i="5"/>
  <c r="AD331" i="5"/>
  <c r="AE331" i="5"/>
  <c r="AE92" i="5"/>
  <c r="AD92" i="5"/>
  <c r="AE539" i="5"/>
  <c r="AD539" i="5"/>
  <c r="AE40" i="5"/>
  <c r="AD40" i="5"/>
  <c r="AD166" i="5"/>
  <c r="AE166" i="5"/>
  <c r="AE478" i="5"/>
  <c r="AD478" i="5"/>
  <c r="AE338" i="5"/>
  <c r="AD338" i="5"/>
  <c r="AE389" i="5"/>
  <c r="AD389" i="5"/>
  <c r="AD74" i="5"/>
  <c r="AE74" i="5"/>
  <c r="AD535" i="5"/>
  <c r="AE535" i="5"/>
  <c r="AD27" i="10"/>
  <c r="AE27" i="10"/>
  <c r="AE286" i="10"/>
  <c r="AD286" i="10"/>
  <c r="AD277" i="10"/>
  <c r="AE277" i="10"/>
  <c r="AE506" i="10"/>
  <c r="AD506" i="10"/>
  <c r="AE386" i="10"/>
  <c r="AD386" i="10"/>
  <c r="AD224" i="10"/>
  <c r="AE224" i="10"/>
  <c r="AE38" i="10"/>
  <c r="AD38" i="10"/>
  <c r="AD273" i="10"/>
  <c r="AE273" i="10"/>
  <c r="AD387" i="5"/>
  <c r="AE387" i="5"/>
  <c r="AD434" i="5"/>
  <c r="AE434" i="5"/>
  <c r="AD164" i="5"/>
  <c r="AE164" i="5"/>
  <c r="AD358" i="5"/>
  <c r="AE358" i="5"/>
  <c r="AD262" i="5"/>
  <c r="AE262" i="5"/>
  <c r="AE44" i="5"/>
  <c r="AD44" i="5"/>
  <c r="AD534" i="5"/>
  <c r="AE534" i="5"/>
  <c r="AE172" i="5"/>
  <c r="AD172" i="5"/>
  <c r="AD49" i="5"/>
  <c r="AE49" i="5"/>
  <c r="AD372" i="10"/>
  <c r="AE372" i="10"/>
  <c r="AE552" i="10"/>
  <c r="AD552" i="10"/>
  <c r="AD480" i="10"/>
  <c r="AE480" i="10"/>
  <c r="AE312" i="10"/>
  <c r="AD312" i="10"/>
  <c r="AE176" i="10"/>
  <c r="AD176" i="10"/>
  <c r="AE67" i="10"/>
  <c r="AD67" i="10"/>
  <c r="AE129" i="10"/>
  <c r="AD129" i="10"/>
  <c r="AE492" i="10"/>
  <c r="AD492" i="10"/>
  <c r="AD94" i="10"/>
  <c r="AE94" i="10"/>
  <c r="AE287" i="10"/>
  <c r="AD287" i="10"/>
  <c r="AD348" i="5"/>
  <c r="AE348" i="5"/>
  <c r="AD251" i="10"/>
  <c r="AE251" i="10"/>
  <c r="AE132" i="5"/>
  <c r="AD132" i="5"/>
  <c r="AD203" i="10"/>
  <c r="AE203" i="10"/>
  <c r="AD76" i="5"/>
  <c r="AE76" i="5"/>
  <c r="AE41" i="5"/>
  <c r="AD41" i="5"/>
  <c r="AE346" i="5"/>
  <c r="AD346" i="5"/>
  <c r="AD453" i="10"/>
  <c r="AE453" i="10"/>
  <c r="AD142" i="5"/>
  <c r="AE142" i="5"/>
  <c r="AE105" i="5"/>
  <c r="AD105" i="5"/>
  <c r="AE154" i="5"/>
  <c r="AD154" i="5"/>
  <c r="AE222" i="5"/>
  <c r="AD222" i="5"/>
  <c r="AE202" i="5"/>
  <c r="AD202" i="5"/>
  <c r="AD397" i="5"/>
  <c r="AE397" i="5"/>
  <c r="AE200" i="5"/>
  <c r="AD200" i="5"/>
  <c r="AE513" i="5"/>
  <c r="AD513" i="5"/>
  <c r="AE196" i="5"/>
  <c r="AD196" i="5"/>
  <c r="AE346" i="10"/>
  <c r="AD346" i="10"/>
  <c r="AE547" i="10"/>
  <c r="AD547" i="10"/>
  <c r="AD493" i="10"/>
  <c r="AE493" i="10"/>
  <c r="AE320" i="10"/>
  <c r="AD320" i="10"/>
  <c r="AE102" i="10"/>
  <c r="AD102" i="10"/>
  <c r="AD429" i="10"/>
  <c r="AE429" i="10"/>
  <c r="AE468" i="10"/>
  <c r="AD468" i="10"/>
  <c r="AD476" i="10"/>
  <c r="AE476" i="10"/>
  <c r="AE488" i="5"/>
  <c r="AD488" i="5"/>
  <c r="AE525" i="5"/>
  <c r="AD525" i="5"/>
  <c r="AE304" i="5"/>
  <c r="AD304" i="5"/>
  <c r="AE42" i="5"/>
  <c r="AD42" i="5"/>
  <c r="AD109" i="5"/>
  <c r="AE109" i="5"/>
  <c r="AD365" i="5"/>
  <c r="AE365" i="5"/>
  <c r="AE514" i="5"/>
  <c r="AD514" i="5"/>
  <c r="AE282" i="5"/>
  <c r="AD282" i="5"/>
  <c r="AD487" i="5"/>
  <c r="AE487" i="5"/>
  <c r="AE163" i="10"/>
  <c r="AD163" i="10"/>
  <c r="AD166" i="10"/>
  <c r="AE166" i="10"/>
  <c r="AE116" i="10"/>
  <c r="AD116" i="10"/>
  <c r="AD332" i="10"/>
  <c r="AE332" i="10"/>
  <c r="AE241" i="10"/>
  <c r="AD241" i="10"/>
  <c r="AD41" i="10"/>
  <c r="AE41" i="10"/>
  <c r="AE465" i="10"/>
  <c r="AD465" i="10"/>
  <c r="AD379" i="10"/>
  <c r="AE379" i="10"/>
  <c r="AE195" i="5"/>
  <c r="AD195" i="5"/>
  <c r="AD215" i="5"/>
  <c r="AE215" i="5"/>
  <c r="AD51" i="5"/>
  <c r="AE51" i="5"/>
  <c r="AE415" i="5"/>
  <c r="AD415" i="5"/>
  <c r="AD290" i="5"/>
  <c r="AE290" i="5"/>
  <c r="AE396" i="5"/>
  <c r="AD396" i="5"/>
  <c r="AD431" i="5"/>
  <c r="AE431" i="5"/>
  <c r="AD155" i="5"/>
  <c r="AE155" i="5"/>
  <c r="AE447" i="10"/>
  <c r="AD447" i="10"/>
  <c r="AD275" i="10"/>
  <c r="AE275" i="10"/>
  <c r="AD281" i="10"/>
  <c r="AE281" i="10"/>
  <c r="AE483" i="10"/>
  <c r="AD483" i="10"/>
  <c r="AE358" i="10"/>
  <c r="AD358" i="10"/>
  <c r="AD222" i="10"/>
  <c r="AE222" i="10"/>
  <c r="AD220" i="10"/>
  <c r="AE220" i="10"/>
  <c r="AE39" i="10"/>
  <c r="AD39" i="10"/>
  <c r="AD21" i="10"/>
  <c r="AE21" i="10"/>
  <c r="AE223" i="5"/>
  <c r="AD223" i="5"/>
  <c r="AD364" i="5"/>
  <c r="AE364" i="5"/>
  <c r="AE19" i="5"/>
  <c r="AD19" i="5"/>
  <c r="AE409" i="5"/>
  <c r="AD409" i="5"/>
  <c r="AE204" i="5"/>
  <c r="AD204" i="5"/>
  <c r="AD511" i="5"/>
  <c r="AE511" i="5"/>
  <c r="AD293" i="5"/>
  <c r="AE293" i="5"/>
  <c r="AD548" i="5"/>
  <c r="AE548" i="5"/>
  <c r="AE315" i="10"/>
  <c r="AD315" i="10"/>
  <c r="AD528" i="10"/>
  <c r="AE528" i="10"/>
  <c r="AE309" i="10"/>
  <c r="AD309" i="10"/>
  <c r="AD99" i="10"/>
  <c r="AE99" i="10"/>
  <c r="AE143" i="10"/>
  <c r="AD143" i="10"/>
  <c r="AD542" i="10"/>
  <c r="AE542" i="10"/>
  <c r="AE34" i="10"/>
  <c r="AD34" i="10"/>
  <c r="AD498" i="10"/>
  <c r="AE498" i="10"/>
  <c r="AE95" i="10"/>
  <c r="AD95" i="10"/>
  <c r="AE21" i="5"/>
  <c r="AD21" i="5"/>
  <c r="AD68" i="5"/>
  <c r="AE68" i="5"/>
  <c r="AE542" i="5"/>
  <c r="AD542" i="5"/>
  <c r="AE324" i="5"/>
  <c r="AD324" i="5"/>
  <c r="AE48" i="5"/>
  <c r="AD48" i="5"/>
  <c r="AE298" i="5"/>
  <c r="AD298" i="5"/>
  <c r="AE22" i="5"/>
  <c r="AD22" i="5"/>
  <c r="AD257" i="5"/>
  <c r="AE257" i="5"/>
  <c r="AD200" i="10"/>
  <c r="AE200" i="10"/>
  <c r="AE467" i="10"/>
  <c r="AD467" i="10"/>
  <c r="AD202" i="10"/>
  <c r="AE202" i="10"/>
  <c r="AE428" i="10"/>
  <c r="AD428" i="10"/>
  <c r="AE111" i="10"/>
  <c r="AD111" i="10"/>
  <c r="AE11" i="10"/>
  <c r="AD11" i="10"/>
  <c r="AD497" i="10"/>
  <c r="AE497" i="10"/>
  <c r="AD37" i="10"/>
  <c r="AE37" i="10"/>
  <c r="AD66" i="10"/>
  <c r="AE66" i="10"/>
  <c r="AE134" i="10"/>
  <c r="AD134" i="10"/>
  <c r="AD334" i="5"/>
  <c r="AE334" i="5"/>
  <c r="AE412" i="5"/>
  <c r="AD412" i="5"/>
  <c r="AD429" i="5"/>
  <c r="AE429" i="5"/>
  <c r="AD475" i="5"/>
  <c r="AE475" i="5"/>
  <c r="AD544" i="5"/>
  <c r="AE544" i="5"/>
  <c r="AD81" i="5"/>
  <c r="AE81" i="5"/>
  <c r="AE129" i="5"/>
  <c r="AD129" i="5"/>
  <c r="AE234" i="5"/>
  <c r="AD234" i="5"/>
  <c r="AE171" i="5"/>
  <c r="AD171" i="5"/>
  <c r="AD165" i="5"/>
  <c r="AE165" i="5"/>
  <c r="AE360" i="5"/>
  <c r="AD360" i="5"/>
  <c r="AE266" i="5"/>
  <c r="AD266" i="5"/>
  <c r="AD322" i="5"/>
  <c r="AE322" i="5"/>
  <c r="AE280" i="5"/>
  <c r="AD280" i="5"/>
  <c r="AE504" i="5"/>
  <c r="AD504" i="5"/>
  <c r="AD336" i="5"/>
  <c r="AE336" i="5"/>
  <c r="AE481" i="5"/>
  <c r="AD481" i="5"/>
  <c r="AD9" i="10"/>
  <c r="AE9" i="10"/>
  <c r="AD527" i="10"/>
  <c r="AE527" i="10"/>
  <c r="AD178" i="10"/>
  <c r="AE178" i="10"/>
  <c r="AE133" i="10"/>
  <c r="AD133" i="10"/>
  <c r="AD413" i="10"/>
  <c r="AE413" i="10"/>
  <c r="AD322" i="10"/>
  <c r="AE322" i="10"/>
  <c r="AE303" i="10"/>
  <c r="AD303" i="10"/>
  <c r="AD77" i="10"/>
  <c r="AE77" i="10"/>
  <c r="AE170" i="5"/>
  <c r="AD170" i="5"/>
  <c r="AE28" i="5"/>
  <c r="AD28" i="5"/>
  <c r="AD524" i="5"/>
  <c r="AE524" i="5"/>
  <c r="AE523" i="5"/>
  <c r="AD523" i="5"/>
  <c r="AD57" i="5"/>
  <c r="AE57" i="5"/>
  <c r="AD476" i="5"/>
  <c r="AE476" i="5"/>
  <c r="AD136" i="5"/>
  <c r="AE136" i="5"/>
  <c r="AD235" i="5"/>
  <c r="AE235" i="5"/>
  <c r="AD209" i="5"/>
  <c r="AE209" i="5"/>
  <c r="AD355" i="10"/>
  <c r="AE355" i="10"/>
  <c r="AE285" i="10"/>
  <c r="AD285" i="10"/>
  <c r="AE223" i="10"/>
  <c r="AD223" i="10"/>
  <c r="AE32" i="10"/>
  <c r="AD32" i="10"/>
  <c r="AD515" i="10"/>
  <c r="AE515" i="10"/>
  <c r="AD391" i="10"/>
  <c r="AE391" i="10"/>
  <c r="AE334" i="10"/>
  <c r="AD334" i="10"/>
  <c r="AD212" i="10"/>
  <c r="AE212" i="10"/>
  <c r="AE316" i="10"/>
  <c r="AD316" i="10"/>
  <c r="AD559" i="5"/>
  <c r="AE559" i="5"/>
  <c r="AD272" i="10"/>
  <c r="AE272" i="10"/>
  <c r="AE263" i="5"/>
  <c r="AD263" i="5"/>
  <c r="AD294" i="10"/>
  <c r="AE294" i="10"/>
  <c r="AE329" i="5"/>
  <c r="AD329" i="5"/>
  <c r="AE58" i="5"/>
  <c r="AD58" i="5"/>
  <c r="AD545" i="5"/>
  <c r="AE545" i="5"/>
  <c r="AD319" i="5"/>
  <c r="AE319" i="5"/>
  <c r="AE382" i="5"/>
  <c r="AD382" i="5"/>
  <c r="AD420" i="5"/>
  <c r="AE420" i="5"/>
  <c r="AE230" i="5"/>
  <c r="AD230" i="5"/>
  <c r="AD546" i="5"/>
  <c r="AE546" i="5"/>
  <c r="AE269" i="5"/>
  <c r="AD269" i="5"/>
  <c r="AD557" i="10"/>
  <c r="AE557" i="10"/>
  <c r="AD293" i="10"/>
  <c r="AE293" i="10"/>
  <c r="AD457" i="10"/>
  <c r="AE457" i="10"/>
  <c r="AE396" i="10"/>
  <c r="AD396" i="10"/>
  <c r="AE108" i="10"/>
  <c r="AD108" i="10"/>
  <c r="AE217" i="10"/>
  <c r="AD217" i="10"/>
  <c r="AD553" i="10"/>
  <c r="AE553" i="10"/>
  <c r="AE469" i="10"/>
  <c r="AD469" i="10"/>
  <c r="AE131" i="5"/>
  <c r="AD131" i="5"/>
  <c r="AD25" i="5"/>
  <c r="AE25" i="5"/>
  <c r="AD189" i="5"/>
  <c r="AE189" i="5"/>
  <c r="AE516" i="5"/>
  <c r="AD516" i="5"/>
  <c r="AE328" i="5"/>
  <c r="AD328" i="5"/>
  <c r="AE428" i="5"/>
  <c r="AD428" i="5"/>
  <c r="AD160" i="5"/>
  <c r="AE160" i="5"/>
  <c r="AE450" i="5"/>
  <c r="AD450" i="5"/>
  <c r="AD158" i="10"/>
  <c r="AE158" i="10"/>
  <c r="AD538" i="10"/>
  <c r="AE538" i="10"/>
  <c r="AD317" i="10"/>
  <c r="AE317" i="10"/>
  <c r="AD71" i="10"/>
  <c r="AE71" i="10"/>
  <c r="AE436" i="10"/>
  <c r="AD436" i="10"/>
  <c r="AD248" i="10"/>
  <c r="AE248" i="10"/>
  <c r="AD84" i="10"/>
  <c r="AE84" i="10"/>
  <c r="AD40" i="10"/>
  <c r="AE40" i="10"/>
  <c r="AD112" i="10"/>
  <c r="AE112" i="10"/>
  <c r="AE482" i="5"/>
  <c r="AD482" i="5"/>
  <c r="AD530" i="5"/>
  <c r="AE530" i="5"/>
  <c r="AD122" i="5"/>
  <c r="AE122" i="5"/>
  <c r="AE285" i="5"/>
  <c r="AD285" i="5"/>
  <c r="AE125" i="5"/>
  <c r="AD125" i="5"/>
  <c r="AD111" i="5"/>
  <c r="AE111" i="5"/>
  <c r="AD91" i="5"/>
  <c r="AE91" i="5"/>
  <c r="AE384" i="5"/>
  <c r="AD384" i="5"/>
  <c r="AD470" i="5"/>
  <c r="AE470" i="5"/>
  <c r="AD481" i="10"/>
  <c r="AE481" i="10"/>
  <c r="AE474" i="10"/>
  <c r="AD474" i="10"/>
  <c r="AE392" i="10"/>
  <c r="AD392" i="10"/>
  <c r="AE192" i="10"/>
  <c r="AD192" i="10"/>
  <c r="AD87" i="10"/>
  <c r="AE87" i="10"/>
  <c r="AD10" i="10"/>
  <c r="AE10" i="10"/>
  <c r="AE535" i="10"/>
  <c r="AD535" i="10"/>
  <c r="AD406" i="10"/>
  <c r="AE406" i="10"/>
  <c r="AD376" i="5"/>
  <c r="AE376" i="5"/>
  <c r="AD395" i="5"/>
  <c r="AE395" i="5"/>
  <c r="AD321" i="5"/>
  <c r="AE321" i="5"/>
  <c r="AD65" i="5"/>
  <c r="AE65" i="5"/>
  <c r="AD532" i="5"/>
  <c r="AE532" i="5"/>
  <c r="AE453" i="5"/>
  <c r="AD453" i="5"/>
  <c r="AE433" i="5"/>
  <c r="AD433" i="5"/>
  <c r="AE250" i="5"/>
  <c r="AD250" i="5"/>
  <c r="AD118" i="10"/>
  <c r="AE118" i="10"/>
  <c r="AE291" i="10"/>
  <c r="AD291" i="10"/>
  <c r="AE209" i="10"/>
  <c r="AD209" i="10"/>
  <c r="AE165" i="10"/>
  <c r="AD165" i="10"/>
  <c r="AE452" i="10"/>
  <c r="AD452" i="10"/>
  <c r="AE502" i="10"/>
  <c r="AD502" i="10"/>
  <c r="AD470" i="10"/>
  <c r="AE470" i="10"/>
  <c r="AD374" i="10"/>
  <c r="AE374" i="10"/>
  <c r="AE405" i="10"/>
  <c r="AD405" i="10"/>
  <c r="AD418" i="5"/>
  <c r="AE418" i="5"/>
  <c r="AE425" i="5"/>
  <c r="AD425" i="5"/>
  <c r="AD465" i="5"/>
  <c r="AE465" i="5"/>
  <c r="AE56" i="5"/>
  <c r="AD56" i="5"/>
  <c r="AD356" i="5"/>
  <c r="AE356" i="5"/>
  <c r="AD89" i="5"/>
  <c r="AE89" i="5"/>
  <c r="AE447" i="5"/>
  <c r="AD447" i="5"/>
  <c r="AD46" i="5"/>
  <c r="AE46" i="5"/>
  <c r="AD357" i="10"/>
  <c r="AE357" i="10"/>
  <c r="AD169" i="10"/>
  <c r="AE169" i="10"/>
  <c r="AD208" i="10"/>
  <c r="AE208" i="10"/>
  <c r="AD495" i="10"/>
  <c r="AE495" i="10"/>
  <c r="AD280" i="10"/>
  <c r="AE280" i="10"/>
  <c r="AD60" i="10"/>
  <c r="AE60" i="10"/>
  <c r="AD50" i="10"/>
  <c r="AE50" i="10"/>
  <c r="AD70" i="10"/>
  <c r="AE70" i="10"/>
  <c r="AD382" i="10"/>
  <c r="AE382" i="10"/>
  <c r="AE543" i="10"/>
  <c r="AD543" i="10"/>
  <c r="AD340" i="5"/>
  <c r="AE340" i="5"/>
  <c r="AE169" i="5"/>
  <c r="AD169" i="5"/>
  <c r="AE241" i="5"/>
  <c r="AD241" i="5"/>
  <c r="AD459" i="5"/>
  <c r="AE459" i="5"/>
  <c r="AE47" i="5"/>
  <c r="AD47" i="5"/>
  <c r="AD339" i="5"/>
  <c r="AE339" i="5"/>
  <c r="AE175" i="5"/>
  <c r="AD175" i="5"/>
  <c r="AD69" i="5"/>
  <c r="AE69" i="5"/>
  <c r="AD55" i="10"/>
  <c r="AE55" i="10"/>
  <c r="AE163" i="5"/>
  <c r="AD163" i="5"/>
  <c r="AE399" i="5"/>
  <c r="AD399" i="5"/>
  <c r="AD178" i="5"/>
  <c r="AE178" i="5"/>
  <c r="AD452" i="5"/>
  <c r="AE452" i="5"/>
  <c r="AE238" i="5"/>
  <c r="AD238" i="5"/>
  <c r="AD184" i="5"/>
  <c r="AE184" i="5"/>
  <c r="AE157" i="5"/>
  <c r="AD157" i="5"/>
  <c r="AD10" i="5"/>
  <c r="AE10" i="5"/>
  <c r="AE184" i="10"/>
  <c r="AD184" i="10"/>
  <c r="AD211" i="10"/>
  <c r="AE211" i="10"/>
  <c r="AE259" i="10"/>
  <c r="AD259" i="10"/>
  <c r="AD420" i="10"/>
  <c r="AE420" i="10"/>
  <c r="AD107" i="10"/>
  <c r="AE107" i="10"/>
  <c r="AD24" i="10"/>
  <c r="AE24" i="10"/>
  <c r="AE31" i="10"/>
  <c r="AD31" i="10"/>
  <c r="AE438" i="10"/>
  <c r="AD438" i="10"/>
  <c r="AD78" i="10"/>
  <c r="AE78" i="10"/>
  <c r="AE540" i="5"/>
  <c r="AD540" i="5"/>
  <c r="AE556" i="5"/>
  <c r="AD556" i="5"/>
  <c r="AE471" i="5"/>
  <c r="AD471" i="5"/>
  <c r="AD60" i="5"/>
  <c r="AE60" i="5"/>
  <c r="AD486" i="5"/>
  <c r="AE486" i="5"/>
  <c r="AD103" i="5"/>
  <c r="AE103" i="5"/>
  <c r="AE347" i="5"/>
  <c r="AD347" i="5"/>
  <c r="AD538" i="5"/>
  <c r="AE538" i="5"/>
  <c r="AD377" i="5"/>
  <c r="AE377" i="5"/>
  <c r="AD229" i="10"/>
  <c r="AE229" i="10"/>
  <c r="AE263" i="10"/>
  <c r="AD263" i="10"/>
  <c r="AD510" i="10"/>
  <c r="AE510" i="10"/>
  <c r="AE254" i="10"/>
  <c r="AD254" i="10"/>
  <c r="AD260" i="10"/>
  <c r="AE260" i="10"/>
  <c r="AE100" i="10"/>
  <c r="AD100" i="10"/>
  <c r="AD473" i="10"/>
  <c r="AE473" i="10"/>
  <c r="AE266" i="10"/>
  <c r="AD266" i="10"/>
  <c r="AD458" i="10"/>
  <c r="AE458" i="10"/>
  <c r="BY152" i="4"/>
  <c r="BZ152" i="4" s="1"/>
  <c r="BY155" i="4"/>
  <c r="BZ155" i="4" s="1"/>
  <c r="BY127" i="4"/>
  <c r="BZ127" i="4" s="1"/>
  <c r="BY131" i="4"/>
  <c r="BZ131" i="4" s="1"/>
  <c r="BY154" i="4"/>
  <c r="BZ154" i="4" s="1"/>
  <c r="BY8" i="4"/>
  <c r="BZ8" i="4" s="1"/>
  <c r="BY126" i="4"/>
  <c r="BZ126" i="4" s="1"/>
  <c r="BY128" i="4"/>
  <c r="BZ128" i="4" s="1"/>
  <c r="BY96" i="4"/>
  <c r="BZ96" i="4" s="1"/>
  <c r="BY44" i="4"/>
  <c r="BZ44" i="4" s="1"/>
  <c r="BY26" i="4"/>
  <c r="BZ26" i="4" s="1"/>
  <c r="BY48" i="4"/>
  <c r="BZ48" i="4" s="1"/>
  <c r="BY19" i="4"/>
  <c r="BZ19" i="4" s="1"/>
  <c r="BY79" i="4"/>
  <c r="BZ79" i="4" s="1"/>
  <c r="BY112" i="4"/>
  <c r="BZ112" i="4" s="1"/>
  <c r="BY134" i="4"/>
  <c r="BZ134" i="4" s="1"/>
  <c r="BY49" i="4"/>
  <c r="BZ49" i="4" s="1"/>
  <c r="BY144" i="4"/>
  <c r="BZ144" i="4" s="1"/>
  <c r="BY141" i="4"/>
  <c r="BZ141" i="4" s="1"/>
  <c r="BY117" i="4"/>
  <c r="BZ117" i="4" s="1"/>
  <c r="BZ70" i="4"/>
  <c r="BY30" i="4"/>
  <c r="BZ30" i="4" s="1"/>
  <c r="BY67" i="4"/>
  <c r="BZ67" i="4" s="1"/>
  <c r="BZ52" i="4"/>
  <c r="BY88" i="4"/>
  <c r="BZ88" i="4" s="1"/>
  <c r="BY38" i="4"/>
  <c r="BZ38" i="4" s="1"/>
  <c r="BY57" i="4"/>
  <c r="BZ57" i="4" s="1"/>
  <c r="BY75" i="4"/>
  <c r="BZ75" i="4" s="1"/>
  <c r="BY92" i="4"/>
  <c r="BZ92" i="4" s="1"/>
  <c r="BY81" i="4"/>
  <c r="BZ81" i="4" s="1"/>
  <c r="BY122" i="4"/>
  <c r="BZ122" i="4" s="1"/>
  <c r="BY132" i="4"/>
  <c r="BZ132" i="4" s="1"/>
  <c r="BY32" i="4"/>
  <c r="BZ32" i="4" s="1"/>
  <c r="BY64" i="4"/>
  <c r="BZ64" i="4" s="1"/>
  <c r="BY114" i="4"/>
  <c r="BZ114" i="4" s="1"/>
  <c r="BY136" i="4"/>
  <c r="BZ136" i="4" s="1"/>
  <c r="BY130" i="4"/>
  <c r="BZ130" i="4" s="1"/>
  <c r="BY100" i="4"/>
  <c r="BZ100" i="4" s="1"/>
  <c r="BY106" i="4"/>
  <c r="BZ106" i="4" s="1"/>
  <c r="BY157" i="4"/>
  <c r="BZ157" i="4" s="1"/>
  <c r="BZ119" i="4"/>
  <c r="BZ97" i="4"/>
  <c r="BZ16" i="4"/>
  <c r="BY51" i="4"/>
  <c r="BZ51" i="4" s="1"/>
  <c r="BY82" i="4"/>
  <c r="BZ82" i="4" s="1"/>
  <c r="BY148" i="4"/>
  <c r="BZ148" i="4" s="1"/>
  <c r="BY21" i="4"/>
  <c r="BZ21" i="4" s="1"/>
  <c r="BY65" i="4"/>
  <c r="BZ65" i="4" s="1"/>
  <c r="BY116" i="4"/>
  <c r="BZ116" i="4" s="1"/>
  <c r="BY54" i="4"/>
  <c r="BY108" i="4"/>
  <c r="BZ108" i="4" s="1"/>
  <c r="BY156" i="4"/>
  <c r="BZ156" i="4" s="1"/>
  <c r="BY110" i="4"/>
  <c r="BZ110" i="4" s="1"/>
  <c r="BY149" i="4"/>
  <c r="BZ149" i="4" s="1"/>
  <c r="BY123" i="4"/>
  <c r="B229" i="2" l="1"/>
  <c r="B268" i="2"/>
  <c r="BY146" i="4"/>
  <c r="BZ146" i="4" s="1"/>
  <c r="BY142" i="4"/>
  <c r="BZ142" i="4" s="1"/>
  <c r="BY46" i="4"/>
  <c r="BZ46" i="4" s="1"/>
  <c r="BY47" i="4"/>
  <c r="BZ47" i="4" s="1"/>
  <c r="BY113" i="4"/>
  <c r="BZ113" i="4" s="1"/>
  <c r="BY140" i="4"/>
  <c r="BZ140" i="4" s="1"/>
  <c r="BY124" i="4"/>
  <c r="BZ124" i="4" s="1"/>
  <c r="BY143" i="4"/>
  <c r="BZ143" i="4" s="1"/>
  <c r="BY104" i="4"/>
  <c r="BZ104" i="4" s="1"/>
  <c r="BY118" i="4"/>
  <c r="BZ118" i="4" s="1"/>
  <c r="BZ123" i="4"/>
  <c r="BY145" i="4"/>
  <c r="BZ145" i="4" s="1"/>
  <c r="BZ54" i="4"/>
  <c r="BY24" i="4"/>
  <c r="BZ24" i="4" s="1"/>
  <c r="BY137" i="4"/>
  <c r="BZ137" i="4" s="1"/>
  <c r="B65" i="5" l="1"/>
  <c r="B269" i="2"/>
  <c r="F87" i="1" s="1"/>
  <c r="B271" i="2"/>
  <c r="F88" i="1" s="1"/>
  <c r="B272" i="2" s="1"/>
  <c r="B65" i="10"/>
  <c r="E230" i="2"/>
  <c r="B230" i="2"/>
  <c r="B67" i="10" l="1"/>
  <c r="B67" i="5"/>
  <c r="B231" i="2"/>
  <c r="B270" i="2"/>
  <c r="B66" i="5" l="1"/>
  <c r="B71" i="5"/>
  <c r="B72" i="5"/>
  <c r="B70" i="5"/>
  <c r="B72" i="10"/>
  <c r="B69" i="10"/>
  <c r="B66" i="10"/>
  <c r="B73" i="10"/>
  <c r="O13" i="10" s="1"/>
  <c r="B70" i="10"/>
  <c r="B71" i="10"/>
  <c r="AG13" i="10" l="1"/>
  <c r="AM13" i="10"/>
  <c r="AP13" i="10"/>
  <c r="T13" i="10"/>
  <c r="W13" i="10"/>
  <c r="Q13" i="10"/>
  <c r="Z13" i="10"/>
  <c r="AJ25" i="10"/>
  <c r="AJ57" i="10"/>
  <c r="AJ89" i="10"/>
  <c r="AJ121" i="10"/>
  <c r="AJ153" i="10"/>
  <c r="AJ185" i="10"/>
  <c r="AJ217" i="10"/>
  <c r="AJ249" i="10"/>
  <c r="AJ281" i="10"/>
  <c r="AJ313" i="10"/>
  <c r="AJ48" i="10"/>
  <c r="AJ80" i="10"/>
  <c r="AJ112" i="10"/>
  <c r="AJ144" i="10"/>
  <c r="AJ176" i="10"/>
  <c r="AJ208" i="10"/>
  <c r="AJ240" i="10"/>
  <c r="AJ272" i="10"/>
  <c r="AJ31" i="10"/>
  <c r="AJ95" i="10"/>
  <c r="AJ159" i="10"/>
  <c r="AJ223" i="10"/>
  <c r="AJ287" i="10"/>
  <c r="AJ329" i="10"/>
  <c r="AJ361" i="10"/>
  <c r="AJ393" i="10"/>
  <c r="AJ425" i="10"/>
  <c r="AJ457" i="10"/>
  <c r="AJ42" i="10"/>
  <c r="AJ126" i="10"/>
  <c r="AJ211" i="10"/>
  <c r="AJ298" i="10"/>
  <c r="AJ344" i="10"/>
  <c r="AJ387" i="10"/>
  <c r="AJ430" i="10"/>
  <c r="AJ472" i="10"/>
  <c r="AJ507" i="10"/>
  <c r="AJ539" i="10"/>
  <c r="AJ50" i="10"/>
  <c r="AJ134" i="10"/>
  <c r="AJ219" i="10"/>
  <c r="AJ303" i="10"/>
  <c r="AJ348" i="10"/>
  <c r="AJ391" i="10"/>
  <c r="AJ434" i="10"/>
  <c r="AJ476" i="10"/>
  <c r="AJ510" i="10"/>
  <c r="AJ542" i="10"/>
  <c r="AJ86" i="10"/>
  <c r="AJ258" i="10"/>
  <c r="AJ367" i="10"/>
  <c r="AJ452" i="10"/>
  <c r="AJ524" i="10"/>
  <c r="AJ99" i="10"/>
  <c r="AJ270" i="10"/>
  <c r="AJ374" i="10"/>
  <c r="AJ459" i="10"/>
  <c r="AJ529" i="10"/>
  <c r="AJ154" i="10"/>
  <c r="AJ400" i="10"/>
  <c r="AJ549" i="10"/>
  <c r="AJ319" i="10"/>
  <c r="AJ488" i="10"/>
  <c r="AJ182" i="10"/>
  <c r="AJ415" i="10"/>
  <c r="AJ560" i="10"/>
  <c r="AJ347" i="10"/>
  <c r="AJ90" i="10"/>
  <c r="AJ29" i="10"/>
  <c r="AJ61" i="10"/>
  <c r="AJ93" i="10"/>
  <c r="AJ125" i="10"/>
  <c r="AJ157" i="10"/>
  <c r="AJ189" i="10"/>
  <c r="AJ221" i="10"/>
  <c r="AJ253" i="10"/>
  <c r="AJ285" i="10"/>
  <c r="AJ20" i="10"/>
  <c r="AJ52" i="10"/>
  <c r="AJ84" i="10"/>
  <c r="AJ116" i="10"/>
  <c r="AJ148" i="10"/>
  <c r="AJ180" i="10"/>
  <c r="AJ212" i="10"/>
  <c r="AJ244" i="10"/>
  <c r="AJ276" i="10"/>
  <c r="AJ39" i="10"/>
  <c r="AJ103" i="10"/>
  <c r="AJ167" i="10"/>
  <c r="AJ231" i="10"/>
  <c r="AJ295" i="10"/>
  <c r="AJ333" i="10"/>
  <c r="AJ365" i="10"/>
  <c r="AJ397" i="10"/>
  <c r="AJ429" i="10"/>
  <c r="AJ461" i="10"/>
  <c r="AJ51" i="10"/>
  <c r="AJ138" i="10"/>
  <c r="AJ222" i="10"/>
  <c r="AJ304" i="10"/>
  <c r="AJ350" i="10"/>
  <c r="AJ392" i="10"/>
  <c r="AJ435" i="10"/>
  <c r="AJ478" i="10"/>
  <c r="AJ511" i="10"/>
  <c r="AJ543" i="10"/>
  <c r="AJ59" i="10"/>
  <c r="AJ146" i="10"/>
  <c r="AJ230" i="10"/>
  <c r="AJ310" i="10"/>
  <c r="AJ354" i="10"/>
  <c r="AJ396" i="10"/>
  <c r="AJ439" i="10"/>
  <c r="AJ482" i="10"/>
  <c r="AJ514" i="10"/>
  <c r="AJ546" i="10"/>
  <c r="AJ107" i="10"/>
  <c r="AJ278" i="10"/>
  <c r="AJ378" i="10"/>
  <c r="AJ463" i="10"/>
  <c r="AJ532" i="10"/>
  <c r="AJ122" i="10"/>
  <c r="AJ291" i="10"/>
  <c r="AJ384" i="10"/>
  <c r="AJ470" i="10"/>
  <c r="AJ537" i="10"/>
  <c r="AJ195" i="10"/>
  <c r="AJ422" i="10"/>
  <c r="AJ34" i="10"/>
  <c r="AJ340" i="10"/>
  <c r="AJ504" i="10"/>
  <c r="AJ226" i="10"/>
  <c r="AJ436" i="10"/>
  <c r="AJ174" i="10"/>
  <c r="AJ432" i="10"/>
  <c r="AJ525" i="10"/>
  <c r="AJ33" i="10"/>
  <c r="AJ65" i="10"/>
  <c r="AJ97" i="10"/>
  <c r="AJ129" i="10"/>
  <c r="AJ161" i="10"/>
  <c r="AJ193" i="10"/>
  <c r="AJ225" i="10"/>
  <c r="AJ257" i="10"/>
  <c r="AJ289" i="10"/>
  <c r="AJ24" i="10"/>
  <c r="AJ56" i="10"/>
  <c r="AJ88" i="10"/>
  <c r="AJ120" i="10"/>
  <c r="AJ152" i="10"/>
  <c r="AJ184" i="10"/>
  <c r="AJ216" i="10"/>
  <c r="AJ248" i="10"/>
  <c r="AJ280" i="10"/>
  <c r="AJ47" i="10"/>
  <c r="AJ111" i="10"/>
  <c r="AJ175" i="10"/>
  <c r="AJ239" i="10"/>
  <c r="AJ302" i="10"/>
  <c r="AJ337" i="10"/>
  <c r="AJ369" i="10"/>
  <c r="AJ401" i="10"/>
  <c r="AJ433" i="10"/>
  <c r="AJ465" i="10"/>
  <c r="AJ62" i="10"/>
  <c r="AJ147" i="10"/>
  <c r="AJ234" i="10"/>
  <c r="AJ311" i="10"/>
  <c r="AJ355" i="10"/>
  <c r="AJ398" i="10"/>
  <c r="AJ440" i="10"/>
  <c r="AJ483" i="10"/>
  <c r="AJ515" i="10"/>
  <c r="AJ547" i="10"/>
  <c r="AJ70" i="10"/>
  <c r="AJ155" i="10"/>
  <c r="AJ242" i="10"/>
  <c r="AJ316" i="10"/>
  <c r="AJ359" i="10"/>
  <c r="AJ402" i="10"/>
  <c r="AJ444" i="10"/>
  <c r="AJ486" i="10"/>
  <c r="AJ518" i="10"/>
  <c r="AJ550" i="10"/>
  <c r="AJ130" i="10"/>
  <c r="AJ299" i="10"/>
  <c r="AJ388" i="10"/>
  <c r="AJ474" i="10"/>
  <c r="AJ540" i="10"/>
  <c r="AJ142" i="10"/>
  <c r="AJ308" i="10"/>
  <c r="AJ395" i="10"/>
  <c r="AJ480" i="10"/>
  <c r="AJ545" i="10"/>
  <c r="AJ238" i="10"/>
  <c r="AJ443" i="10"/>
  <c r="AJ75" i="10"/>
  <c r="AJ362" i="10"/>
  <c r="AJ520" i="10"/>
  <c r="AJ267" i="10"/>
  <c r="AJ458" i="10"/>
  <c r="AJ326" i="10"/>
  <c r="AJ509" i="10"/>
  <c r="AJ259" i="10"/>
  <c r="AJ37" i="10"/>
  <c r="AJ69" i="10"/>
  <c r="AJ101" i="10"/>
  <c r="AJ133" i="10"/>
  <c r="AJ165" i="10"/>
  <c r="AJ197" i="10"/>
  <c r="AJ229" i="10"/>
  <c r="AJ261" i="10"/>
  <c r="AJ293" i="10"/>
  <c r="AJ28" i="10"/>
  <c r="AJ60" i="10"/>
  <c r="AJ92" i="10"/>
  <c r="AJ124" i="10"/>
  <c r="AJ156" i="10"/>
  <c r="AJ188" i="10"/>
  <c r="AJ220" i="10"/>
  <c r="AJ252" i="10"/>
  <c r="AJ284" i="10"/>
  <c r="AJ55" i="10"/>
  <c r="AJ119" i="10"/>
  <c r="AJ183" i="10"/>
  <c r="AJ247" i="10"/>
  <c r="AJ307" i="10"/>
  <c r="AJ341" i="10"/>
  <c r="AJ373" i="10"/>
  <c r="AJ405" i="10"/>
  <c r="AJ437" i="10"/>
  <c r="AJ469" i="10"/>
  <c r="AJ74" i="10"/>
  <c r="AJ158" i="10"/>
  <c r="AJ243" i="10"/>
  <c r="AJ318" i="10"/>
  <c r="AJ360" i="10"/>
  <c r="AJ403" i="10"/>
  <c r="AJ446" i="10"/>
  <c r="AJ487" i="10"/>
  <c r="AJ519" i="10"/>
  <c r="AJ551" i="10"/>
  <c r="AJ82" i="10"/>
  <c r="AJ166" i="10"/>
  <c r="AJ251" i="10"/>
  <c r="AJ322" i="10"/>
  <c r="AJ364" i="10"/>
  <c r="AJ407" i="10"/>
  <c r="AJ450" i="10"/>
  <c r="AJ490" i="10"/>
  <c r="AJ522" i="10"/>
  <c r="AJ554" i="10"/>
  <c r="AJ150" i="10"/>
  <c r="AJ314" i="10"/>
  <c r="AJ399" i="10"/>
  <c r="AJ484" i="10"/>
  <c r="AJ548" i="10"/>
  <c r="AJ163" i="10"/>
  <c r="AJ320" i="10"/>
  <c r="AJ406" i="10"/>
  <c r="AJ489" i="10"/>
  <c r="AJ553" i="10"/>
  <c r="AJ282" i="10"/>
  <c r="AJ464" i="10"/>
  <c r="AJ118" i="10"/>
  <c r="AJ383" i="10"/>
  <c r="AJ536" i="10"/>
  <c r="AJ306" i="10"/>
  <c r="AJ479" i="10"/>
  <c r="AJ411" i="10"/>
  <c r="AJ131" i="10"/>
  <c r="AJ454" i="10"/>
  <c r="AJ41" i="10"/>
  <c r="AJ73" i="10"/>
  <c r="AJ105" i="10"/>
  <c r="AJ137" i="10"/>
  <c r="AJ169" i="10"/>
  <c r="AJ201" i="10"/>
  <c r="AJ233" i="10"/>
  <c r="AJ265" i="10"/>
  <c r="AJ297" i="10"/>
  <c r="AJ32" i="10"/>
  <c r="AJ64" i="10"/>
  <c r="AJ96" i="10"/>
  <c r="AJ128" i="10"/>
  <c r="AJ160" i="10"/>
  <c r="AJ192" i="10"/>
  <c r="AJ224" i="10"/>
  <c r="AJ256" i="10"/>
  <c r="AJ288" i="10"/>
  <c r="AJ63" i="10"/>
  <c r="AJ127" i="10"/>
  <c r="AJ191" i="10"/>
  <c r="AJ255" i="10"/>
  <c r="AJ312" i="10"/>
  <c r="AJ345" i="10"/>
  <c r="AJ377" i="10"/>
  <c r="AJ409" i="10"/>
  <c r="AJ441" i="10"/>
  <c r="AJ473" i="10"/>
  <c r="AJ83" i="10"/>
  <c r="AJ170" i="10"/>
  <c r="AJ254" i="10"/>
  <c r="AJ323" i="10"/>
  <c r="AJ366" i="10"/>
  <c r="AJ408" i="10"/>
  <c r="AJ451" i="10"/>
  <c r="AJ491" i="10"/>
  <c r="AJ523" i="10"/>
  <c r="AJ555" i="10"/>
  <c r="AJ91" i="10"/>
  <c r="AJ178" i="10"/>
  <c r="AJ262" i="10"/>
  <c r="AJ327" i="10"/>
  <c r="AJ370" i="10"/>
  <c r="AJ412" i="10"/>
  <c r="AJ455" i="10"/>
  <c r="AJ494" i="10"/>
  <c r="AJ526" i="10"/>
  <c r="AJ558" i="10"/>
  <c r="AJ171" i="10"/>
  <c r="AJ324" i="10"/>
  <c r="AJ410" i="10"/>
  <c r="AJ492" i="10"/>
  <c r="AJ556" i="10"/>
  <c r="AJ186" i="10"/>
  <c r="AJ331" i="10"/>
  <c r="AJ416" i="10"/>
  <c r="AJ497" i="10"/>
  <c r="AJ19" i="10"/>
  <c r="AJ315" i="10"/>
  <c r="AJ485" i="10"/>
  <c r="AJ162" i="10"/>
  <c r="AJ404" i="10"/>
  <c r="AJ552" i="10"/>
  <c r="AJ330" i="10"/>
  <c r="AJ496" i="10"/>
  <c r="AJ493" i="10"/>
  <c r="AJ300" i="10"/>
  <c r="AJ368" i="10"/>
  <c r="AJ45" i="10"/>
  <c r="AJ77" i="10"/>
  <c r="AJ109" i="10"/>
  <c r="AJ141" i="10"/>
  <c r="AJ173" i="10"/>
  <c r="AJ205" i="10"/>
  <c r="AJ237" i="10"/>
  <c r="AJ269" i="10"/>
  <c r="AJ301" i="10"/>
  <c r="AJ36" i="10"/>
  <c r="AJ68" i="10"/>
  <c r="AJ100" i="10"/>
  <c r="AJ132" i="10"/>
  <c r="AJ164" i="10"/>
  <c r="AJ196" i="10"/>
  <c r="AJ228" i="10"/>
  <c r="AJ260" i="10"/>
  <c r="AJ292" i="10"/>
  <c r="AJ71" i="10"/>
  <c r="AJ135" i="10"/>
  <c r="AJ199" i="10"/>
  <c r="AJ263" i="10"/>
  <c r="AJ317" i="10"/>
  <c r="AJ349" i="10"/>
  <c r="AJ381" i="10"/>
  <c r="AJ413" i="10"/>
  <c r="AJ445" i="10"/>
  <c r="AJ477" i="10"/>
  <c r="AJ94" i="10"/>
  <c r="AJ179" i="10"/>
  <c r="AJ266" i="10"/>
  <c r="AJ328" i="10"/>
  <c r="AJ371" i="10"/>
  <c r="AJ414" i="10"/>
  <c r="AJ456" i="10"/>
  <c r="AJ495" i="10"/>
  <c r="AJ527" i="10"/>
  <c r="AJ559" i="10"/>
  <c r="AJ102" i="10"/>
  <c r="AJ187" i="10"/>
  <c r="AJ274" i="10"/>
  <c r="AJ332" i="10"/>
  <c r="AJ375" i="10"/>
  <c r="AJ418" i="10"/>
  <c r="AJ460" i="10"/>
  <c r="AJ498" i="10"/>
  <c r="AJ530" i="10"/>
  <c r="AJ22" i="10"/>
  <c r="AJ194" i="10"/>
  <c r="AJ335" i="10"/>
  <c r="AJ420" i="10"/>
  <c r="AJ500" i="10"/>
  <c r="AJ35" i="10"/>
  <c r="AJ206" i="10"/>
  <c r="AJ342" i="10"/>
  <c r="AJ427" i="10"/>
  <c r="AJ505" i="10"/>
  <c r="AJ26" i="10"/>
  <c r="AJ336" i="10"/>
  <c r="AJ501" i="10"/>
  <c r="AJ203" i="10"/>
  <c r="AJ426" i="10"/>
  <c r="AJ54" i="10"/>
  <c r="AJ351" i="10"/>
  <c r="AJ512" i="10"/>
  <c r="AJ557" i="10"/>
  <c r="AJ390" i="10"/>
  <c r="AJ49" i="10"/>
  <c r="AJ81" i="10"/>
  <c r="AJ113" i="10"/>
  <c r="AJ145" i="10"/>
  <c r="AJ177" i="10"/>
  <c r="AJ209" i="10"/>
  <c r="AJ241" i="10"/>
  <c r="AJ273" i="10"/>
  <c r="AJ305" i="10"/>
  <c r="AJ40" i="10"/>
  <c r="AJ72" i="10"/>
  <c r="AJ104" i="10"/>
  <c r="AJ136" i="10"/>
  <c r="AJ168" i="10"/>
  <c r="AJ200" i="10"/>
  <c r="AJ232" i="10"/>
  <c r="AJ264" i="10"/>
  <c r="AJ296" i="10"/>
  <c r="AJ79" i="10"/>
  <c r="AJ143" i="10"/>
  <c r="AJ207" i="10"/>
  <c r="AJ271" i="10"/>
  <c r="AJ321" i="10"/>
  <c r="AJ353" i="10"/>
  <c r="AJ385" i="10"/>
  <c r="AJ417" i="10"/>
  <c r="AJ449" i="10"/>
  <c r="AJ481" i="10"/>
  <c r="AJ106" i="10"/>
  <c r="AJ190" i="10"/>
  <c r="AJ275" i="10"/>
  <c r="AJ334" i="10"/>
  <c r="AJ376" i="10"/>
  <c r="AJ419" i="10"/>
  <c r="AJ462" i="10"/>
  <c r="AJ499" i="10"/>
  <c r="AJ531" i="10"/>
  <c r="AJ27" i="10"/>
  <c r="AJ114" i="10"/>
  <c r="AJ198" i="10"/>
  <c r="AJ283" i="10"/>
  <c r="AJ338" i="10"/>
  <c r="AJ380" i="10"/>
  <c r="AJ423" i="10"/>
  <c r="AJ466" i="10"/>
  <c r="AJ502" i="10"/>
  <c r="AJ534" i="10"/>
  <c r="AJ43" i="10"/>
  <c r="AJ214" i="10"/>
  <c r="AJ346" i="10"/>
  <c r="AJ431" i="10"/>
  <c r="AJ508" i="10"/>
  <c r="AJ58" i="10"/>
  <c r="AJ227" i="10"/>
  <c r="AJ352" i="10"/>
  <c r="AJ438" i="10"/>
  <c r="AJ513" i="10"/>
  <c r="AJ67" i="10"/>
  <c r="AJ358" i="10"/>
  <c r="AJ517" i="10"/>
  <c r="AJ246" i="10"/>
  <c r="AJ447" i="10"/>
  <c r="AJ98" i="10"/>
  <c r="AJ372" i="10"/>
  <c r="AJ528" i="10"/>
  <c r="AJ46" i="10"/>
  <c r="AJ475" i="10"/>
  <c r="AJ21" i="10"/>
  <c r="AJ53" i="10"/>
  <c r="AJ85" i="10"/>
  <c r="AJ117" i="10"/>
  <c r="AJ149" i="10"/>
  <c r="AJ181" i="10"/>
  <c r="AJ213" i="10"/>
  <c r="AJ245" i="10"/>
  <c r="AJ277" i="10"/>
  <c r="AJ309" i="10"/>
  <c r="AJ44" i="10"/>
  <c r="AJ76" i="10"/>
  <c r="AJ108" i="10"/>
  <c r="AJ140" i="10"/>
  <c r="AJ172" i="10"/>
  <c r="AJ204" i="10"/>
  <c r="AJ236" i="10"/>
  <c r="AJ268" i="10"/>
  <c r="AJ23" i="10"/>
  <c r="AJ87" i="10"/>
  <c r="AJ151" i="10"/>
  <c r="AJ215" i="10"/>
  <c r="AJ279" i="10"/>
  <c r="AJ325" i="10"/>
  <c r="AJ357" i="10"/>
  <c r="AJ389" i="10"/>
  <c r="AJ421" i="10"/>
  <c r="AJ453" i="10"/>
  <c r="AJ30" i="10"/>
  <c r="AJ115" i="10"/>
  <c r="AJ202" i="10"/>
  <c r="AJ286" i="10"/>
  <c r="AJ339" i="10"/>
  <c r="AJ382" i="10"/>
  <c r="AJ424" i="10"/>
  <c r="AJ467" i="10"/>
  <c r="AJ503" i="10"/>
  <c r="AJ535" i="10"/>
  <c r="AJ38" i="10"/>
  <c r="AJ123" i="10"/>
  <c r="AJ210" i="10"/>
  <c r="AJ294" i="10"/>
  <c r="AJ343" i="10"/>
  <c r="AJ386" i="10"/>
  <c r="AJ428" i="10"/>
  <c r="AJ471" i="10"/>
  <c r="AJ506" i="10"/>
  <c r="AJ538" i="10"/>
  <c r="AJ66" i="10"/>
  <c r="AJ235" i="10"/>
  <c r="AJ356" i="10"/>
  <c r="AJ442" i="10"/>
  <c r="AJ516" i="10"/>
  <c r="AJ78" i="10"/>
  <c r="AJ250" i="10"/>
  <c r="AJ363" i="10"/>
  <c r="AJ448" i="10"/>
  <c r="AJ521" i="10"/>
  <c r="AJ110" i="10"/>
  <c r="AJ379" i="10"/>
  <c r="AJ533" i="10"/>
  <c r="AJ290" i="10"/>
  <c r="AJ468" i="10"/>
  <c r="AJ139" i="10"/>
  <c r="AJ394" i="10"/>
  <c r="AJ544" i="10"/>
  <c r="AJ218" i="10"/>
  <c r="AJ541" i="10"/>
  <c r="AJ8" i="10"/>
  <c r="AJ7" i="10"/>
  <c r="AJ13" i="10"/>
  <c r="AJ10" i="10"/>
  <c r="AJ9" i="10"/>
  <c r="AJ11" i="10"/>
  <c r="AF8" i="10"/>
  <c r="AF19" i="10"/>
  <c r="AF13" i="10"/>
  <c r="AF7" i="10"/>
  <c r="AF11" i="10"/>
  <c r="AF12" i="10"/>
  <c r="AF10" i="10"/>
  <c r="AF9" i="10"/>
  <c r="AF558" i="10"/>
  <c r="AF547" i="10"/>
  <c r="AF542" i="10"/>
  <c r="AF528" i="10"/>
  <c r="AF526" i="10"/>
  <c r="AF495" i="10"/>
  <c r="AF525" i="10"/>
  <c r="AF508" i="10"/>
  <c r="AF492" i="10"/>
  <c r="AF461" i="10"/>
  <c r="AF490" i="10"/>
  <c r="AF463" i="10"/>
  <c r="AF466" i="10"/>
  <c r="AF482" i="10"/>
  <c r="AF432" i="10"/>
  <c r="AF413" i="10"/>
  <c r="AF381" i="10"/>
  <c r="AF554" i="10"/>
  <c r="AF557" i="10"/>
  <c r="AF535" i="10"/>
  <c r="AF524" i="10"/>
  <c r="AF522" i="10"/>
  <c r="AF523" i="10"/>
  <c r="AF513" i="10"/>
  <c r="AF505" i="10"/>
  <c r="AF488" i="10"/>
  <c r="AF457" i="10"/>
  <c r="AF486" i="10"/>
  <c r="AF459" i="10"/>
  <c r="AF462" i="10"/>
  <c r="AF478" i="10"/>
  <c r="AF438" i="10"/>
  <c r="AF409" i="10"/>
  <c r="AF377" i="10"/>
  <c r="AF556" i="10"/>
  <c r="AF546" i="10"/>
  <c r="AF549" i="10"/>
  <c r="AF516" i="10"/>
  <c r="AF518" i="10"/>
  <c r="AF517" i="10"/>
  <c r="AF500" i="10"/>
  <c r="AF498" i="10"/>
  <c r="AF481" i="10"/>
  <c r="AF480" i="10"/>
  <c r="AF479" i="10"/>
  <c r="AF450" i="10"/>
  <c r="AF454" i="10"/>
  <c r="AF452" i="10"/>
  <c r="AF431" i="10"/>
  <c r="AF401" i="10"/>
  <c r="AF369" i="10"/>
  <c r="AF548" i="10"/>
  <c r="AF543" i="10"/>
  <c r="AF545" i="10"/>
  <c r="AF537" i="10"/>
  <c r="AF511" i="10"/>
  <c r="AF514" i="10"/>
  <c r="AF496" i="10"/>
  <c r="AF494" i="10"/>
  <c r="AF477" i="10"/>
  <c r="AF476" i="10"/>
  <c r="AF475" i="10"/>
  <c r="AF446" i="10"/>
  <c r="AF453" i="10"/>
  <c r="AF448" i="10"/>
  <c r="AF429" i="10"/>
  <c r="AF397" i="10"/>
  <c r="AF559" i="10"/>
  <c r="AF544" i="10"/>
  <c r="AF539" i="10"/>
  <c r="AF541" i="10"/>
  <c r="AF527" i="10"/>
  <c r="AF507" i="10"/>
  <c r="AF510" i="10"/>
  <c r="AF519" i="10"/>
  <c r="AF491" i="10"/>
  <c r="AF473" i="10"/>
  <c r="AF472" i="10"/>
  <c r="AF471" i="10"/>
  <c r="AF442" i="10"/>
  <c r="AF449" i="10"/>
  <c r="AF444" i="10"/>
  <c r="AF425" i="10"/>
  <c r="AF393" i="10"/>
  <c r="AF551" i="10"/>
  <c r="AF553" i="10"/>
  <c r="AF532" i="10"/>
  <c r="AF534" i="10"/>
  <c r="AF530" i="10"/>
  <c r="AF499" i="10"/>
  <c r="AF529" i="10"/>
  <c r="AF512" i="10"/>
  <c r="AF493" i="10"/>
  <c r="AF465" i="10"/>
  <c r="AF497" i="10"/>
  <c r="AF467" i="10"/>
  <c r="AF470" i="10"/>
  <c r="AF441" i="10"/>
  <c r="AF436" i="10"/>
  <c r="AF417" i="10"/>
  <c r="AF385" i="10"/>
  <c r="AF540" i="10"/>
  <c r="AF503" i="10"/>
  <c r="AF469" i="10"/>
  <c r="AF445" i="10"/>
  <c r="AF365" i="10"/>
  <c r="AF443" i="10"/>
  <c r="AF411" i="10"/>
  <c r="AF426" i="10"/>
  <c r="AF394" i="10"/>
  <c r="AF408" i="10"/>
  <c r="AF362" i="10"/>
  <c r="AF330" i="10"/>
  <c r="AF298" i="10"/>
  <c r="AF266" i="10"/>
  <c r="AF374" i="10"/>
  <c r="AF333" i="10"/>
  <c r="AF356" i="10"/>
  <c r="AF324" i="10"/>
  <c r="AF371" i="10"/>
  <c r="AF331" i="10"/>
  <c r="AF301" i="10"/>
  <c r="AF269" i="10"/>
  <c r="AF238" i="10"/>
  <c r="AF206" i="10"/>
  <c r="AF174" i="10"/>
  <c r="AF228" i="10"/>
  <c r="AF196" i="10"/>
  <c r="AF303" i="10"/>
  <c r="AF271" i="10"/>
  <c r="AF237" i="10"/>
  <c r="AF207" i="10"/>
  <c r="AF176" i="10"/>
  <c r="AF144" i="10"/>
  <c r="AF112" i="10"/>
  <c r="AF80" i="10"/>
  <c r="AF284" i="10"/>
  <c r="AF252" i="10"/>
  <c r="AF167" i="10"/>
  <c r="AF135" i="10"/>
  <c r="AF103" i="10"/>
  <c r="AF215" i="10"/>
  <c r="AF150" i="10"/>
  <c r="AF118" i="10"/>
  <c r="AF86" i="10"/>
  <c r="AF185" i="10"/>
  <c r="AF91" i="10"/>
  <c r="AF60" i="10"/>
  <c r="AF23" i="10"/>
  <c r="AF32" i="10"/>
  <c r="AF145" i="10"/>
  <c r="AF113" i="10"/>
  <c r="AF45" i="10"/>
  <c r="AF97" i="10"/>
  <c r="AF64" i="10"/>
  <c r="AF51" i="10"/>
  <c r="AF552" i="10"/>
  <c r="AF521" i="10"/>
  <c r="AF484" i="10"/>
  <c r="AF474" i="10"/>
  <c r="AF361" i="10"/>
  <c r="AF439" i="10"/>
  <c r="AF407" i="10"/>
  <c r="AF422" i="10"/>
  <c r="AF390" i="10"/>
  <c r="AF404" i="10"/>
  <c r="AF358" i="10"/>
  <c r="AF326" i="10"/>
  <c r="AF294" i="10"/>
  <c r="AF262" i="10"/>
  <c r="AF370" i="10"/>
  <c r="AF329" i="10"/>
  <c r="AF352" i="10"/>
  <c r="AF320" i="10"/>
  <c r="AF359" i="10"/>
  <c r="AF327" i="10"/>
  <c r="AF297" i="10"/>
  <c r="AF265" i="10"/>
  <c r="AF234" i="10"/>
  <c r="AF202" i="10"/>
  <c r="AF170" i="10"/>
  <c r="AF224" i="10"/>
  <c r="AF380" i="10"/>
  <c r="AF299" i="10"/>
  <c r="AF267" i="10"/>
  <c r="AF233" i="10"/>
  <c r="AF203" i="10"/>
  <c r="AF172" i="10"/>
  <c r="AF140" i="10"/>
  <c r="AF108" i="10"/>
  <c r="AF76" i="10"/>
  <c r="AF280" i="10"/>
  <c r="AF248" i="10"/>
  <c r="AF163" i="10"/>
  <c r="AF131" i="10"/>
  <c r="AF243" i="10"/>
  <c r="AF211" i="10"/>
  <c r="AF146" i="10"/>
  <c r="AF114" i="10"/>
  <c r="AF82" i="10"/>
  <c r="AF181" i="10"/>
  <c r="AF87" i="10"/>
  <c r="AF58" i="10"/>
  <c r="AF38" i="10"/>
  <c r="AF61" i="10"/>
  <c r="AF141" i="10"/>
  <c r="AF109" i="10"/>
  <c r="AF28" i="10"/>
  <c r="AF93" i="10"/>
  <c r="AF62" i="10"/>
  <c r="AF36" i="10"/>
  <c r="AF536" i="10"/>
  <c r="AF506" i="10"/>
  <c r="AF501" i="10"/>
  <c r="AF440" i="10"/>
  <c r="AF468" i="10"/>
  <c r="AF437" i="10"/>
  <c r="AF403" i="10"/>
  <c r="AF418" i="10"/>
  <c r="AF434" i="10"/>
  <c r="AF400" i="10"/>
  <c r="AF354" i="10"/>
  <c r="AF322" i="10"/>
  <c r="AF290" i="10"/>
  <c r="AF258" i="10"/>
  <c r="AF357" i="10"/>
  <c r="AF325" i="10"/>
  <c r="AF348" i="10"/>
  <c r="AF316" i="10"/>
  <c r="AF355" i="10"/>
  <c r="AF323" i="10"/>
  <c r="AF293" i="10"/>
  <c r="AF261" i="10"/>
  <c r="AF230" i="10"/>
  <c r="AF198" i="10"/>
  <c r="AF166" i="10"/>
  <c r="AF220" i="10"/>
  <c r="AF372" i="10"/>
  <c r="AF295" i="10"/>
  <c r="AF263" i="10"/>
  <c r="AF229" i="10"/>
  <c r="AF199" i="10"/>
  <c r="AF168" i="10"/>
  <c r="AF136" i="10"/>
  <c r="AF104" i="10"/>
  <c r="AF72" i="10"/>
  <c r="AF276" i="10"/>
  <c r="AF191" i="10"/>
  <c r="AF159" i="10"/>
  <c r="AF127" i="10"/>
  <c r="AF239" i="10"/>
  <c r="AF205" i="10"/>
  <c r="AF142" i="10"/>
  <c r="AF110" i="10"/>
  <c r="AF78" i="10"/>
  <c r="AF177" i="10"/>
  <c r="AF83" i="10"/>
  <c r="AF48" i="10"/>
  <c r="AF35" i="10"/>
  <c r="AF46" i="10"/>
  <c r="AF137" i="10"/>
  <c r="AF105" i="10"/>
  <c r="AF40" i="10"/>
  <c r="AF89" i="10"/>
  <c r="AF56" i="10"/>
  <c r="AF29" i="10"/>
  <c r="AF550" i="10"/>
  <c r="AF509" i="10"/>
  <c r="AF483" i="10"/>
  <c r="AF435" i="10"/>
  <c r="AF464" i="10"/>
  <c r="AF433" i="10"/>
  <c r="AF399" i="10"/>
  <c r="AF414" i="10"/>
  <c r="AF428" i="10"/>
  <c r="AF396" i="10"/>
  <c r="AF350" i="10"/>
  <c r="AF318" i="10"/>
  <c r="AF286" i="10"/>
  <c r="AF254" i="10"/>
  <c r="AF353" i="10"/>
  <c r="AF321" i="10"/>
  <c r="AF344" i="10"/>
  <c r="AF312" i="10"/>
  <c r="AF351" i="10"/>
  <c r="AF319" i="10"/>
  <c r="AF289" i="10"/>
  <c r="AF257" i="10"/>
  <c r="AF226" i="10"/>
  <c r="AF194" i="10"/>
  <c r="AF304" i="10"/>
  <c r="AF216" i="10"/>
  <c r="AF368" i="10"/>
  <c r="AF291" i="10"/>
  <c r="AF259" i="10"/>
  <c r="AF225" i="10"/>
  <c r="AF195" i="10"/>
  <c r="AF164" i="10"/>
  <c r="AF132" i="10"/>
  <c r="AF100" i="10"/>
  <c r="AF70" i="10"/>
  <c r="AF272" i="10"/>
  <c r="AF187" i="10"/>
  <c r="AF155" i="10"/>
  <c r="AF123" i="10"/>
  <c r="AF235" i="10"/>
  <c r="AF201" i="10"/>
  <c r="AF138" i="10"/>
  <c r="AF106" i="10"/>
  <c r="AF74" i="10"/>
  <c r="AF173" i="10"/>
  <c r="AF79" i="10"/>
  <c r="AF43" i="10"/>
  <c r="AF25" i="10"/>
  <c r="AF376" i="10"/>
  <c r="AF133" i="10"/>
  <c r="AF101" i="10"/>
  <c r="AF30" i="10"/>
  <c r="AF85" i="10"/>
  <c r="AF49" i="10"/>
  <c r="AF26" i="10"/>
  <c r="AF538" i="10"/>
  <c r="AF515" i="10"/>
  <c r="AF504" i="10"/>
  <c r="AF421" i="10"/>
  <c r="AF460" i="10"/>
  <c r="AF427" i="10"/>
  <c r="AF395" i="10"/>
  <c r="AF410" i="10"/>
  <c r="AF424" i="10"/>
  <c r="AF392" i="10"/>
  <c r="AF346" i="10"/>
  <c r="AF314" i="10"/>
  <c r="AF282" i="10"/>
  <c r="AF250" i="10"/>
  <c r="AF349" i="10"/>
  <c r="AF317" i="10"/>
  <c r="AF340" i="10"/>
  <c r="AF308" i="10"/>
  <c r="AF347" i="10"/>
  <c r="AF315" i="10"/>
  <c r="AF285" i="10"/>
  <c r="AF253" i="10"/>
  <c r="AF222" i="10"/>
  <c r="AF190" i="10"/>
  <c r="AF244" i="10"/>
  <c r="AF212" i="10"/>
  <c r="AF367" i="10"/>
  <c r="AF287" i="10"/>
  <c r="AF255" i="10"/>
  <c r="AF221" i="10"/>
  <c r="AF192" i="10"/>
  <c r="AF160" i="10"/>
  <c r="AF128" i="10"/>
  <c r="AF96" i="10"/>
  <c r="AF68" i="10"/>
  <c r="AF268" i="10"/>
  <c r="AF183" i="10"/>
  <c r="AF151" i="10"/>
  <c r="AF119" i="10"/>
  <c r="AF231" i="10"/>
  <c r="AF197" i="10"/>
  <c r="AF134" i="10"/>
  <c r="AF102" i="10"/>
  <c r="AF71" i="10"/>
  <c r="AF169" i="10"/>
  <c r="AF75" i="10"/>
  <c r="AF41" i="10"/>
  <c r="AF22" i="10"/>
  <c r="AF161" i="10"/>
  <c r="AF129" i="10"/>
  <c r="AF57" i="10"/>
  <c r="AF59" i="10"/>
  <c r="AF81" i="10"/>
  <c r="AF47" i="10"/>
  <c r="AF24" i="10"/>
  <c r="AF520" i="10"/>
  <c r="AF502" i="10"/>
  <c r="AF455" i="10"/>
  <c r="AF405" i="10"/>
  <c r="AF456" i="10"/>
  <c r="AF423" i="10"/>
  <c r="AF391" i="10"/>
  <c r="AF406" i="10"/>
  <c r="AF420" i="10"/>
  <c r="AF388" i="10"/>
  <c r="AF342" i="10"/>
  <c r="AF310" i="10"/>
  <c r="AF278" i="10"/>
  <c r="AF246" i="10"/>
  <c r="AF345" i="10"/>
  <c r="AF313" i="10"/>
  <c r="AF336" i="10"/>
  <c r="AF383" i="10"/>
  <c r="AF343" i="10"/>
  <c r="AF311" i="10"/>
  <c r="AF281" i="10"/>
  <c r="AF249" i="10"/>
  <c r="AF218" i="10"/>
  <c r="AF186" i="10"/>
  <c r="AF240" i="10"/>
  <c r="AF208" i="10"/>
  <c r="AF364" i="10"/>
  <c r="AF283" i="10"/>
  <c r="AF251" i="10"/>
  <c r="AF217" i="10"/>
  <c r="AF188" i="10"/>
  <c r="AF156" i="10"/>
  <c r="AF124" i="10"/>
  <c r="AF92" i="10"/>
  <c r="AF296" i="10"/>
  <c r="AF264" i="10"/>
  <c r="AF179" i="10"/>
  <c r="AF147" i="10"/>
  <c r="AF115" i="10"/>
  <c r="AF227" i="10"/>
  <c r="AF162" i="10"/>
  <c r="AF130" i="10"/>
  <c r="AF98" i="10"/>
  <c r="AF69" i="10"/>
  <c r="AF165" i="10"/>
  <c r="AF67" i="10"/>
  <c r="AF39" i="10"/>
  <c r="AF42" i="10"/>
  <c r="AF157" i="10"/>
  <c r="AF125" i="10"/>
  <c r="AF54" i="10"/>
  <c r="AF53" i="10"/>
  <c r="AF77" i="10"/>
  <c r="AF27" i="10"/>
  <c r="AF20" i="10"/>
  <c r="AF555" i="10"/>
  <c r="AF531" i="10"/>
  <c r="AF487" i="10"/>
  <c r="AF489" i="10"/>
  <c r="AF389" i="10"/>
  <c r="AF451" i="10"/>
  <c r="AF419" i="10"/>
  <c r="AF387" i="10"/>
  <c r="AF402" i="10"/>
  <c r="AF416" i="10"/>
  <c r="AF386" i="10"/>
  <c r="AF338" i="10"/>
  <c r="AF306" i="10"/>
  <c r="AF274" i="10"/>
  <c r="AF382" i="10"/>
  <c r="AF341" i="10"/>
  <c r="AF309" i="10"/>
  <c r="AF332" i="10"/>
  <c r="AF379" i="10"/>
  <c r="AF339" i="10"/>
  <c r="AF307" i="10"/>
  <c r="AF277" i="10"/>
  <c r="AF245" i="10"/>
  <c r="AF214" i="10"/>
  <c r="AF182" i="10"/>
  <c r="AF236" i="10"/>
  <c r="AF204" i="10"/>
  <c r="AF363" i="10"/>
  <c r="AF279" i="10"/>
  <c r="AF247" i="10"/>
  <c r="AF213" i="10"/>
  <c r="AF184" i="10"/>
  <c r="AF152" i="10"/>
  <c r="AF120" i="10"/>
  <c r="AF88" i="10"/>
  <c r="AF292" i="10"/>
  <c r="AF260" i="10"/>
  <c r="AF175" i="10"/>
  <c r="AF143" i="10"/>
  <c r="AF111" i="10"/>
  <c r="AF223" i="10"/>
  <c r="AF158" i="10"/>
  <c r="AF126" i="10"/>
  <c r="AF94" i="10"/>
  <c r="AF193" i="10"/>
  <c r="AF99" i="10"/>
  <c r="AF65" i="10"/>
  <c r="AF33" i="10"/>
  <c r="AF37" i="10"/>
  <c r="AF153" i="10"/>
  <c r="AF121" i="10"/>
  <c r="AF52" i="10"/>
  <c r="AF44" i="10"/>
  <c r="AF73" i="10"/>
  <c r="AF21" i="10"/>
  <c r="AF447" i="10"/>
  <c r="AF270" i="10"/>
  <c r="AF273" i="10"/>
  <c r="AF241" i="10"/>
  <c r="AF171" i="10"/>
  <c r="AF95" i="10"/>
  <c r="AF66" i="10"/>
  <c r="AF189" i="10"/>
  <c r="AF415" i="10"/>
  <c r="AF378" i="10"/>
  <c r="AF242" i="10"/>
  <c r="AF209" i="10"/>
  <c r="AF139" i="10"/>
  <c r="AF63" i="10"/>
  <c r="AF55" i="10"/>
  <c r="AF305" i="10"/>
  <c r="AF300" i="10"/>
  <c r="AF430" i="10"/>
  <c r="AF337" i="10"/>
  <c r="AF210" i="10"/>
  <c r="AF180" i="10"/>
  <c r="AF107" i="10"/>
  <c r="AF31" i="10"/>
  <c r="AF275" i="10"/>
  <c r="AF560" i="10"/>
  <c r="AF398" i="10"/>
  <c r="AF384" i="10"/>
  <c r="AF178" i="10"/>
  <c r="AF148" i="10"/>
  <c r="AF219" i="10"/>
  <c r="AF34" i="10"/>
  <c r="AF256" i="10"/>
  <c r="AF533" i="10"/>
  <c r="AF412" i="10"/>
  <c r="AF328" i="10"/>
  <c r="AF232" i="10"/>
  <c r="AF116" i="10"/>
  <c r="AF154" i="10"/>
  <c r="AF149" i="10"/>
  <c r="AF373" i="10"/>
  <c r="AF485" i="10"/>
  <c r="AF366" i="10"/>
  <c r="AF375" i="10"/>
  <c r="AF200" i="10"/>
  <c r="AF84" i="10"/>
  <c r="AF122" i="10"/>
  <c r="AF117" i="10"/>
  <c r="AF458" i="10"/>
  <c r="AF334" i="10"/>
  <c r="AF335" i="10"/>
  <c r="AF360" i="10"/>
  <c r="AF288" i="10"/>
  <c r="AF90" i="10"/>
  <c r="AF50" i="10"/>
  <c r="AF302" i="10"/>
  <c r="AJ7" i="5"/>
  <c r="AJ8" i="5"/>
  <c r="AJ37" i="5"/>
  <c r="AJ41" i="5"/>
  <c r="AJ39" i="5"/>
  <c r="AJ53" i="5"/>
  <c r="AJ49" i="5"/>
  <c r="AJ75" i="5"/>
  <c r="AJ73" i="5"/>
  <c r="AJ82" i="5"/>
  <c r="AJ104" i="5"/>
  <c r="AJ98" i="5"/>
  <c r="AJ117" i="5"/>
  <c r="AJ146" i="5"/>
  <c r="AJ122" i="5"/>
  <c r="AJ145" i="5"/>
  <c r="AJ108" i="5"/>
  <c r="AJ140" i="5"/>
  <c r="AJ139" i="5"/>
  <c r="AJ185" i="5"/>
  <c r="AJ137" i="5"/>
  <c r="AJ196" i="5"/>
  <c r="AJ162" i="5"/>
  <c r="AJ219" i="5"/>
  <c r="AJ244" i="5"/>
  <c r="AJ237" i="5"/>
  <c r="AJ192" i="5"/>
  <c r="AJ220" i="5"/>
  <c r="AJ208" i="5"/>
  <c r="AJ262" i="5"/>
  <c r="AJ302" i="5"/>
  <c r="AJ331" i="5"/>
  <c r="AJ255" i="5"/>
  <c r="AJ287" i="5"/>
  <c r="AJ315" i="5"/>
  <c r="AJ245" i="5"/>
  <c r="AJ276" i="5"/>
  <c r="AJ304" i="5"/>
  <c r="AJ334" i="5"/>
  <c r="AJ296" i="5"/>
  <c r="AJ350" i="5"/>
  <c r="AJ377" i="5"/>
  <c r="AJ408" i="5"/>
  <c r="AJ434" i="5"/>
  <c r="AJ348" i="5"/>
  <c r="AJ388" i="5"/>
  <c r="AJ259" i="5"/>
  <c r="AJ372" i="5"/>
  <c r="AJ397" i="5"/>
  <c r="AJ352" i="5"/>
  <c r="AJ453" i="5"/>
  <c r="AJ480" i="5"/>
  <c r="AJ511" i="5"/>
  <c r="AJ373" i="5"/>
  <c r="AJ450" i="5"/>
  <c r="AJ481" i="5"/>
  <c r="AJ503" i="5"/>
  <c r="AJ266" i="5"/>
  <c r="AJ414" i="5"/>
  <c r="AJ437" i="5"/>
  <c r="AJ472" i="5"/>
  <c r="AJ526" i="5"/>
  <c r="AJ544" i="5"/>
  <c r="AJ404" i="5"/>
  <c r="AJ559" i="5"/>
  <c r="AJ530" i="5"/>
  <c r="AJ560" i="5"/>
  <c r="AJ498" i="5"/>
  <c r="AJ474" i="5"/>
  <c r="AJ19" i="5"/>
  <c r="AJ47" i="5"/>
  <c r="AJ112" i="5"/>
  <c r="AJ113" i="5"/>
  <c r="AJ234" i="5"/>
  <c r="AJ43" i="5"/>
  <c r="AJ44" i="5"/>
  <c r="AJ42" i="5"/>
  <c r="AJ55" i="5"/>
  <c r="AJ50" i="5"/>
  <c r="AJ79" i="5"/>
  <c r="AJ74" i="5"/>
  <c r="AJ78" i="5"/>
  <c r="AJ109" i="5"/>
  <c r="AJ100" i="5"/>
  <c r="AJ118" i="5"/>
  <c r="AJ149" i="5"/>
  <c r="AJ127" i="5"/>
  <c r="AJ153" i="5"/>
  <c r="AJ110" i="5"/>
  <c r="AJ144" i="5"/>
  <c r="AJ159" i="5"/>
  <c r="AJ186" i="5"/>
  <c r="AJ165" i="5"/>
  <c r="AJ200" i="5"/>
  <c r="AJ194" i="5"/>
  <c r="AJ222" i="5"/>
  <c r="AJ167" i="5"/>
  <c r="AJ239" i="5"/>
  <c r="AJ193" i="5"/>
  <c r="AJ223" i="5"/>
  <c r="AJ211" i="5"/>
  <c r="AJ269" i="5"/>
  <c r="AJ305" i="5"/>
  <c r="AJ177" i="5"/>
  <c r="AJ257" i="5"/>
  <c r="AJ293" i="5"/>
  <c r="AJ320" i="5"/>
  <c r="AJ250" i="5"/>
  <c r="AJ277" i="5"/>
  <c r="AJ308" i="5"/>
  <c r="AJ340" i="5"/>
  <c r="AJ307" i="5"/>
  <c r="AJ356" i="5"/>
  <c r="AJ379" i="5"/>
  <c r="AJ412" i="5"/>
  <c r="AJ439" i="5"/>
  <c r="AJ349" i="5"/>
  <c r="AJ394" i="5"/>
  <c r="AJ264" i="5"/>
  <c r="AJ376" i="5"/>
  <c r="AJ401" i="5"/>
  <c r="AJ385" i="5"/>
  <c r="AJ461" i="5"/>
  <c r="AJ482" i="5"/>
  <c r="AJ512" i="5"/>
  <c r="AJ418" i="5"/>
  <c r="AJ451" i="5"/>
  <c r="AJ487" i="5"/>
  <c r="AJ508" i="5"/>
  <c r="AJ335" i="5"/>
  <c r="AJ417" i="5"/>
  <c r="AJ442" i="5"/>
  <c r="AJ483" i="5"/>
  <c r="AJ527" i="5"/>
  <c r="AJ547" i="5"/>
  <c r="AJ423" i="5"/>
  <c r="AJ556" i="5"/>
  <c r="AJ535" i="5"/>
  <c r="AJ383" i="5"/>
  <c r="AJ504" i="5"/>
  <c r="AJ497" i="5"/>
  <c r="AJ71" i="5"/>
  <c r="AJ116" i="5"/>
  <c r="AJ119" i="5"/>
  <c r="AJ218" i="5"/>
  <c r="AJ254" i="5"/>
  <c r="AJ333" i="5"/>
  <c r="AJ342" i="5"/>
  <c r="AJ446" i="5"/>
  <c r="AJ502" i="5"/>
  <c r="AJ291" i="5"/>
  <c r="AJ553" i="5"/>
  <c r="AJ48" i="5"/>
  <c r="AJ46" i="5"/>
  <c r="AJ45" i="5"/>
  <c r="AJ59" i="5"/>
  <c r="AJ54" i="5"/>
  <c r="AJ40" i="5"/>
  <c r="AJ83" i="5"/>
  <c r="AJ81" i="5"/>
  <c r="AJ84" i="5"/>
  <c r="AJ107" i="5"/>
  <c r="AJ120" i="5"/>
  <c r="AJ152" i="5"/>
  <c r="AJ130" i="5"/>
  <c r="AJ157" i="5"/>
  <c r="AJ114" i="5"/>
  <c r="AJ147" i="5"/>
  <c r="AJ164" i="5"/>
  <c r="AJ156" i="5"/>
  <c r="AJ170" i="5"/>
  <c r="AJ205" i="5"/>
  <c r="AJ195" i="5"/>
  <c r="AJ226" i="5"/>
  <c r="AJ197" i="5"/>
  <c r="AJ169" i="5"/>
  <c r="AJ198" i="5"/>
  <c r="AJ224" i="5"/>
  <c r="AJ233" i="5"/>
  <c r="AJ272" i="5"/>
  <c r="AJ310" i="5"/>
  <c r="AJ225" i="5"/>
  <c r="AJ263" i="5"/>
  <c r="AJ295" i="5"/>
  <c r="AJ322" i="5"/>
  <c r="AJ252" i="5"/>
  <c r="AJ282" i="5"/>
  <c r="AJ311" i="5"/>
  <c r="AJ347" i="5"/>
  <c r="AJ313" i="5"/>
  <c r="AJ357" i="5"/>
  <c r="AJ380" i="5"/>
  <c r="AJ413" i="5"/>
  <c r="AJ271" i="5"/>
  <c r="AJ354" i="5"/>
  <c r="AJ395" i="5"/>
  <c r="AJ300" i="5"/>
  <c r="AJ381" i="5"/>
  <c r="AJ403" i="5"/>
  <c r="AJ428" i="5"/>
  <c r="AJ465" i="5"/>
  <c r="AJ484" i="5"/>
  <c r="AJ519" i="5"/>
  <c r="AJ431" i="5"/>
  <c r="AJ454" i="5"/>
  <c r="AJ488" i="5"/>
  <c r="AJ509" i="5"/>
  <c r="AJ339" i="5"/>
  <c r="AJ421" i="5"/>
  <c r="AJ445" i="5"/>
  <c r="AJ485" i="5"/>
  <c r="AJ533" i="5"/>
  <c r="AJ552" i="5"/>
  <c r="AJ452" i="5"/>
  <c r="AJ369" i="5"/>
  <c r="AJ539" i="5"/>
  <c r="AJ447" i="5"/>
  <c r="AJ515" i="5"/>
  <c r="AJ507" i="5"/>
  <c r="AJ51" i="5"/>
  <c r="AJ138" i="5"/>
  <c r="AJ180" i="5"/>
  <c r="AJ189" i="5"/>
  <c r="AJ330" i="5"/>
  <c r="AJ299" i="5"/>
  <c r="AJ432" i="5"/>
  <c r="AJ338" i="5"/>
  <c r="AJ473" i="5"/>
  <c r="AJ464" i="5"/>
  <c r="AJ548" i="5"/>
  <c r="AJ22" i="5"/>
  <c r="AJ20" i="5"/>
  <c r="AJ21" i="5"/>
  <c r="AJ52" i="5"/>
  <c r="AJ61" i="5"/>
  <c r="AJ56" i="5"/>
  <c r="AJ60" i="5"/>
  <c r="AJ88" i="5"/>
  <c r="AJ85" i="5"/>
  <c r="AJ89" i="5"/>
  <c r="AJ97" i="5"/>
  <c r="AJ125" i="5"/>
  <c r="AJ158" i="5"/>
  <c r="AJ132" i="5"/>
  <c r="AJ64" i="5"/>
  <c r="AJ121" i="5"/>
  <c r="AJ150" i="5"/>
  <c r="AJ166" i="5"/>
  <c r="AJ173" i="5"/>
  <c r="AJ171" i="5"/>
  <c r="AJ207" i="5"/>
  <c r="AJ203" i="5"/>
  <c r="AJ228" i="5"/>
  <c r="AJ199" i="5"/>
  <c r="AJ172" i="5"/>
  <c r="AJ201" i="5"/>
  <c r="AJ227" i="5"/>
  <c r="AJ236" i="5"/>
  <c r="AJ278" i="5"/>
  <c r="AJ317" i="5"/>
  <c r="AJ230" i="5"/>
  <c r="AJ265" i="5"/>
  <c r="AJ301" i="5"/>
  <c r="AJ324" i="5"/>
  <c r="AJ258" i="5"/>
  <c r="AJ286" i="5"/>
  <c r="AJ316" i="5"/>
  <c r="AJ353" i="5"/>
  <c r="AJ327" i="5"/>
  <c r="AJ359" i="5"/>
  <c r="AJ384" i="5"/>
  <c r="AJ416" i="5"/>
  <c r="AJ274" i="5"/>
  <c r="AJ358" i="5"/>
  <c r="AJ398" i="5"/>
  <c r="AJ303" i="5"/>
  <c r="AJ382" i="5"/>
  <c r="AJ405" i="5"/>
  <c r="AJ429" i="5"/>
  <c r="AJ467" i="5"/>
  <c r="AJ492" i="5"/>
  <c r="AJ523" i="5"/>
  <c r="AJ436" i="5"/>
  <c r="AJ455" i="5"/>
  <c r="AJ489" i="5"/>
  <c r="AJ510" i="5"/>
  <c r="AJ351" i="5"/>
  <c r="AJ422" i="5"/>
  <c r="AJ448" i="5"/>
  <c r="AJ490" i="5"/>
  <c r="AJ534" i="5"/>
  <c r="AJ558" i="5"/>
  <c r="AJ459" i="5"/>
  <c r="AJ462" i="5"/>
  <c r="AJ541" i="5"/>
  <c r="AJ457" i="5"/>
  <c r="AJ525" i="5"/>
  <c r="AJ514" i="5"/>
  <c r="AJ35" i="5"/>
  <c r="AJ96" i="5"/>
  <c r="AJ133" i="5"/>
  <c r="AJ217" i="5"/>
  <c r="AJ256" i="5"/>
  <c r="AJ221" i="5"/>
  <c r="AJ371" i="5"/>
  <c r="AJ396" i="5"/>
  <c r="AJ367" i="5"/>
  <c r="AJ435" i="5"/>
  <c r="AJ528" i="5"/>
  <c r="O13" i="5"/>
  <c r="AJ23" i="5"/>
  <c r="AJ29" i="5"/>
  <c r="AJ24" i="5"/>
  <c r="AJ63" i="5"/>
  <c r="AJ66" i="5"/>
  <c r="AJ57" i="5"/>
  <c r="AJ76" i="5"/>
  <c r="AJ91" i="5"/>
  <c r="AJ93" i="5"/>
  <c r="AJ90" i="5"/>
  <c r="AJ103" i="5"/>
  <c r="AJ126" i="5"/>
  <c r="AJ161" i="5"/>
  <c r="AJ134" i="5"/>
  <c r="AJ80" i="5"/>
  <c r="AJ123" i="5"/>
  <c r="AJ151" i="5"/>
  <c r="AJ168" i="5"/>
  <c r="AJ178" i="5"/>
  <c r="AJ182" i="5"/>
  <c r="AJ124" i="5"/>
  <c r="AJ204" i="5"/>
  <c r="AJ235" i="5"/>
  <c r="AJ202" i="5"/>
  <c r="AJ175" i="5"/>
  <c r="AJ206" i="5"/>
  <c r="AJ229" i="5"/>
  <c r="AJ243" i="5"/>
  <c r="AJ284" i="5"/>
  <c r="AJ321" i="5"/>
  <c r="AJ248" i="5"/>
  <c r="AJ268" i="5"/>
  <c r="AJ306" i="5"/>
  <c r="AJ332" i="5"/>
  <c r="AJ260" i="5"/>
  <c r="AJ289" i="5"/>
  <c r="AJ319" i="5"/>
  <c r="AJ355" i="5"/>
  <c r="AJ337" i="5"/>
  <c r="AJ363" i="5"/>
  <c r="AJ389" i="5"/>
  <c r="AJ419" i="5"/>
  <c r="AJ318" i="5"/>
  <c r="AJ364" i="5"/>
  <c r="AJ400" i="5"/>
  <c r="AJ323" i="5"/>
  <c r="AJ386" i="5"/>
  <c r="AJ407" i="5"/>
  <c r="AJ430" i="5"/>
  <c r="AJ470" i="5"/>
  <c r="AJ495" i="5"/>
  <c r="AJ537" i="5"/>
  <c r="AJ438" i="5"/>
  <c r="AJ463" i="5"/>
  <c r="AJ493" i="5"/>
  <c r="AJ513" i="5"/>
  <c r="AJ375" i="5"/>
  <c r="AJ424" i="5"/>
  <c r="AJ456" i="5"/>
  <c r="AJ491" i="5"/>
  <c r="AJ536" i="5"/>
  <c r="AJ261" i="5"/>
  <c r="AJ524" i="5"/>
  <c r="AJ468" i="5"/>
  <c r="AJ546" i="5"/>
  <c r="AJ471" i="5"/>
  <c r="AJ531" i="5"/>
  <c r="AJ529" i="5"/>
  <c r="AJ551" i="5"/>
  <c r="AJ555" i="5"/>
  <c r="AJ557" i="5"/>
  <c r="AJ68" i="5"/>
  <c r="AJ160" i="5"/>
  <c r="AJ283" i="5"/>
  <c r="AJ346" i="5"/>
  <c r="AJ420" i="5"/>
  <c r="AJ449" i="5"/>
  <c r="AJ517" i="5"/>
  <c r="AJ360" i="5"/>
  <c r="AJ25" i="5"/>
  <c r="AJ30" i="5"/>
  <c r="AJ28" i="5"/>
  <c r="AJ69" i="5"/>
  <c r="AJ27" i="5"/>
  <c r="AJ62" i="5"/>
  <c r="AJ77" i="5"/>
  <c r="AJ67" i="5"/>
  <c r="AJ94" i="5"/>
  <c r="AJ92" i="5"/>
  <c r="AJ106" i="5"/>
  <c r="AJ128" i="5"/>
  <c r="AJ87" i="5"/>
  <c r="AJ136" i="5"/>
  <c r="AJ86" i="5"/>
  <c r="AJ129" i="5"/>
  <c r="AJ154" i="5"/>
  <c r="AJ174" i="5"/>
  <c r="AJ179" i="5"/>
  <c r="AJ184" i="5"/>
  <c r="AJ142" i="5"/>
  <c r="AJ210" i="5"/>
  <c r="AJ238" i="5"/>
  <c r="AJ215" i="5"/>
  <c r="AJ181" i="5"/>
  <c r="AJ209" i="5"/>
  <c r="AJ232" i="5"/>
  <c r="AJ247" i="5"/>
  <c r="AJ290" i="5"/>
  <c r="AJ326" i="5"/>
  <c r="AJ249" i="5"/>
  <c r="AJ275" i="5"/>
  <c r="AJ309" i="5"/>
  <c r="AJ190" i="5"/>
  <c r="AJ267" i="5"/>
  <c r="AJ292" i="5"/>
  <c r="AJ325" i="5"/>
  <c r="AJ212" i="5"/>
  <c r="AJ344" i="5"/>
  <c r="AJ365" i="5"/>
  <c r="AJ390" i="5"/>
  <c r="AJ426" i="5"/>
  <c r="AJ336" i="5"/>
  <c r="AJ366" i="5"/>
  <c r="AJ406" i="5"/>
  <c r="AJ343" i="5"/>
  <c r="AJ387" i="5"/>
  <c r="AJ409" i="5"/>
  <c r="AJ440" i="5"/>
  <c r="AJ476" i="5"/>
  <c r="AJ500" i="5"/>
  <c r="AJ288" i="5"/>
  <c r="AJ441" i="5"/>
  <c r="AJ466" i="5"/>
  <c r="AJ494" i="5"/>
  <c r="AJ518" i="5"/>
  <c r="AJ393" i="5"/>
  <c r="AJ425" i="5"/>
  <c r="AJ458" i="5"/>
  <c r="AJ496" i="5"/>
  <c r="AJ538" i="5"/>
  <c r="AJ279" i="5"/>
  <c r="AJ532" i="5"/>
  <c r="AJ516" i="5"/>
  <c r="AJ475" i="5"/>
  <c r="AJ543" i="5"/>
  <c r="AJ31" i="5"/>
  <c r="AJ72" i="5"/>
  <c r="AJ143" i="5"/>
  <c r="AJ191" i="5"/>
  <c r="AJ163" i="5"/>
  <c r="AJ314" i="5"/>
  <c r="AJ281" i="5"/>
  <c r="AJ378" i="5"/>
  <c r="AJ479" i="5"/>
  <c r="AJ521" i="5"/>
  <c r="AJ542" i="5"/>
  <c r="AJ486" i="5"/>
  <c r="AJ26" i="5"/>
  <c r="AJ33" i="5"/>
  <c r="AJ32" i="5"/>
  <c r="AJ34" i="5"/>
  <c r="AJ36" i="5"/>
  <c r="AJ65" i="5"/>
  <c r="AJ58" i="5"/>
  <c r="AJ70" i="5"/>
  <c r="AJ99" i="5"/>
  <c r="AJ95" i="5"/>
  <c r="AJ111" i="5"/>
  <c r="AJ135" i="5"/>
  <c r="AJ115" i="5"/>
  <c r="AJ141" i="5"/>
  <c r="AJ102" i="5"/>
  <c r="AJ131" i="5"/>
  <c r="AJ155" i="5"/>
  <c r="AJ176" i="5"/>
  <c r="AJ183" i="5"/>
  <c r="AJ188" i="5"/>
  <c r="AJ148" i="5"/>
  <c r="AJ214" i="5"/>
  <c r="AJ240" i="5"/>
  <c r="AJ231" i="5"/>
  <c r="AJ187" i="5"/>
  <c r="AJ216" i="5"/>
  <c r="AJ241" i="5"/>
  <c r="AJ253" i="5"/>
  <c r="AJ294" i="5"/>
  <c r="AJ329" i="5"/>
  <c r="AJ251" i="5"/>
  <c r="AJ280" i="5"/>
  <c r="AJ312" i="5"/>
  <c r="AJ213" i="5"/>
  <c r="AJ270" i="5"/>
  <c r="AJ297" i="5"/>
  <c r="AJ328" i="5"/>
  <c r="AJ246" i="5"/>
  <c r="AJ345" i="5"/>
  <c r="AJ370" i="5"/>
  <c r="AJ392" i="5"/>
  <c r="AJ427" i="5"/>
  <c r="AJ341" i="5"/>
  <c r="AJ374" i="5"/>
  <c r="AJ415" i="5"/>
  <c r="AJ362" i="5"/>
  <c r="AJ391" i="5"/>
  <c r="AJ410" i="5"/>
  <c r="AJ444" i="5"/>
  <c r="AJ477" i="5"/>
  <c r="AJ505" i="5"/>
  <c r="AJ361" i="5"/>
  <c r="AJ443" i="5"/>
  <c r="AJ469" i="5"/>
  <c r="AJ499" i="5"/>
  <c r="AJ520" i="5"/>
  <c r="AJ402" i="5"/>
  <c r="AJ433" i="5"/>
  <c r="AJ460" i="5"/>
  <c r="AJ501" i="5"/>
  <c r="AJ540" i="5"/>
  <c r="AJ285" i="5"/>
  <c r="AJ549" i="5"/>
  <c r="AJ522" i="5"/>
  <c r="AJ554" i="5"/>
  <c r="AJ478" i="5"/>
  <c r="AJ545" i="5"/>
  <c r="AJ38" i="5"/>
  <c r="AJ101" i="5"/>
  <c r="AJ105" i="5"/>
  <c r="AJ242" i="5"/>
  <c r="AJ298" i="5"/>
  <c r="AJ273" i="5"/>
  <c r="AJ399" i="5"/>
  <c r="AJ368" i="5"/>
  <c r="AJ506" i="5"/>
  <c r="AJ411" i="5"/>
  <c r="AJ550" i="5"/>
  <c r="AJ10" i="5"/>
  <c r="AJ9" i="5"/>
  <c r="AJ11" i="5"/>
  <c r="AM7" i="5"/>
  <c r="AM40" i="5"/>
  <c r="AM43" i="5"/>
  <c r="AM50" i="5"/>
  <c r="AM68" i="5"/>
  <c r="AM24" i="5"/>
  <c r="AM70" i="5"/>
  <c r="AM23" i="5"/>
  <c r="AM80" i="5"/>
  <c r="AM91" i="5"/>
  <c r="AM105" i="5"/>
  <c r="AM110" i="5"/>
  <c r="AM81" i="5"/>
  <c r="AM123" i="5"/>
  <c r="AM147" i="5"/>
  <c r="AM127" i="5"/>
  <c r="AM132" i="5"/>
  <c r="AM116" i="5"/>
  <c r="AM172" i="5"/>
  <c r="AM152" i="5"/>
  <c r="AM197" i="5"/>
  <c r="AM171" i="5"/>
  <c r="AM221" i="5"/>
  <c r="AM194" i="5"/>
  <c r="AM219" i="5"/>
  <c r="AM161" i="5"/>
  <c r="AM231" i="5"/>
  <c r="AM220" i="5"/>
  <c r="AM274" i="5"/>
  <c r="AM296" i="5"/>
  <c r="AM157" i="5"/>
  <c r="AM278" i="5"/>
  <c r="AM326" i="5"/>
  <c r="AM249" i="5"/>
  <c r="AM283" i="5"/>
  <c r="AM312" i="5"/>
  <c r="AM332" i="5"/>
  <c r="AM358" i="5"/>
  <c r="AM335" i="5"/>
  <c r="AM383" i="5"/>
  <c r="AM420" i="5"/>
  <c r="AM252" i="5"/>
  <c r="AM356" i="5"/>
  <c r="AM380" i="5"/>
  <c r="AM408" i="5"/>
  <c r="AM267" i="5"/>
  <c r="AM340" i="5"/>
  <c r="AM371" i="5"/>
  <c r="AM406" i="5"/>
  <c r="AM422" i="5"/>
  <c r="AM472" i="5"/>
  <c r="AM525" i="5"/>
  <c r="AM394" i="5"/>
  <c r="AM446" i="5"/>
  <c r="AM474" i="5"/>
  <c r="AM512" i="5"/>
  <c r="AM387" i="5"/>
  <c r="AM444" i="5"/>
  <c r="AM473" i="5"/>
  <c r="AM492" i="5"/>
  <c r="AM505" i="5"/>
  <c r="AM530" i="5"/>
  <c r="AM328" i="5"/>
  <c r="AM521" i="5"/>
  <c r="AM557" i="5"/>
  <c r="AM538" i="5"/>
  <c r="AM481" i="5"/>
  <c r="AM547" i="5"/>
  <c r="AM537" i="5"/>
  <c r="AM45" i="5"/>
  <c r="AM20" i="5"/>
  <c r="AM32" i="5"/>
  <c r="AM73" i="5"/>
  <c r="AM51" i="5"/>
  <c r="AM72" i="5"/>
  <c r="AM47" i="5"/>
  <c r="AM82" i="5"/>
  <c r="AM92" i="5"/>
  <c r="AM108" i="5"/>
  <c r="AM114" i="5"/>
  <c r="AM85" i="5"/>
  <c r="AM125" i="5"/>
  <c r="AM149" i="5"/>
  <c r="AM137" i="5"/>
  <c r="AM160" i="5"/>
  <c r="AM141" i="5"/>
  <c r="AM176" i="5"/>
  <c r="AM156" i="5"/>
  <c r="AM198" i="5"/>
  <c r="AM174" i="5"/>
  <c r="AM225" i="5"/>
  <c r="AM195" i="5"/>
  <c r="AM222" i="5"/>
  <c r="AM178" i="5"/>
  <c r="AM234" i="5"/>
  <c r="AM223" i="5"/>
  <c r="AM276" i="5"/>
  <c r="AM300" i="5"/>
  <c r="AM207" i="5"/>
  <c r="AM284" i="5"/>
  <c r="AM331" i="5"/>
  <c r="AM251" i="5"/>
  <c r="AM287" i="5"/>
  <c r="AM314" i="5"/>
  <c r="AM337" i="5"/>
  <c r="AM206" i="5"/>
  <c r="AM338" i="5"/>
  <c r="AM385" i="5"/>
  <c r="AM423" i="5"/>
  <c r="AM260" i="5"/>
  <c r="AM359" i="5"/>
  <c r="AM384" i="5"/>
  <c r="AM413" i="5"/>
  <c r="AM273" i="5"/>
  <c r="AM341" i="5"/>
  <c r="AM374" i="5"/>
  <c r="AM415" i="5"/>
  <c r="AM442" i="5"/>
  <c r="AM475" i="5"/>
  <c r="AM526" i="5"/>
  <c r="AM397" i="5"/>
  <c r="AM447" i="5"/>
  <c r="AM477" i="5"/>
  <c r="AM514" i="5"/>
  <c r="AM396" i="5"/>
  <c r="AM451" i="5"/>
  <c r="AM476" i="5"/>
  <c r="AM493" i="5"/>
  <c r="AM508" i="5"/>
  <c r="AM539" i="5"/>
  <c r="AM421" i="5"/>
  <c r="AM527" i="5"/>
  <c r="AM560" i="5"/>
  <c r="AM543" i="5"/>
  <c r="AM491" i="5"/>
  <c r="AM552" i="5"/>
  <c r="AM546" i="5"/>
  <c r="AM22" i="5"/>
  <c r="AM30" i="5"/>
  <c r="AM35" i="5"/>
  <c r="AM21" i="5"/>
  <c r="AM55" i="5"/>
  <c r="AM78" i="5"/>
  <c r="AM59" i="5"/>
  <c r="AM84" i="5"/>
  <c r="AM95" i="5"/>
  <c r="AM86" i="5"/>
  <c r="AM121" i="5"/>
  <c r="AM100" i="5"/>
  <c r="AM126" i="5"/>
  <c r="AM154" i="5"/>
  <c r="AM139" i="5"/>
  <c r="AM163" i="5"/>
  <c r="AM150" i="5"/>
  <c r="AM180" i="5"/>
  <c r="AM158" i="5"/>
  <c r="AM201" i="5"/>
  <c r="AM190" i="5"/>
  <c r="AM230" i="5"/>
  <c r="AM196" i="5"/>
  <c r="AM226" i="5"/>
  <c r="AM184" i="5"/>
  <c r="AM237" i="5"/>
  <c r="AM246" i="5"/>
  <c r="AM279" i="5"/>
  <c r="AM303" i="5"/>
  <c r="AM247" i="5"/>
  <c r="AM290" i="5"/>
  <c r="AM188" i="5"/>
  <c r="AM255" i="5"/>
  <c r="AM295" i="5"/>
  <c r="AM315" i="5"/>
  <c r="AM339" i="5"/>
  <c r="AM218" i="5"/>
  <c r="AM352" i="5"/>
  <c r="AM393" i="5"/>
  <c r="AM428" i="5"/>
  <c r="AM277" i="5"/>
  <c r="AM361" i="5"/>
  <c r="AM386" i="5"/>
  <c r="AM417" i="5"/>
  <c r="AM280" i="5"/>
  <c r="AM342" i="5"/>
  <c r="AM378" i="5"/>
  <c r="AM416" i="5"/>
  <c r="AM452" i="5"/>
  <c r="AM478" i="5"/>
  <c r="AM531" i="5"/>
  <c r="AM403" i="5"/>
  <c r="AM461" i="5"/>
  <c r="AM480" i="5"/>
  <c r="AM516" i="5"/>
  <c r="AM405" i="5"/>
  <c r="AM453" i="5"/>
  <c r="AM479" i="5"/>
  <c r="AM494" i="5"/>
  <c r="AM509" i="5"/>
  <c r="AM545" i="5"/>
  <c r="AM425" i="5"/>
  <c r="AM529" i="5"/>
  <c r="AM558" i="5"/>
  <c r="AM25" i="5"/>
  <c r="AM33" i="5"/>
  <c r="AM42" i="5"/>
  <c r="AM28" i="5"/>
  <c r="AM58" i="5"/>
  <c r="AM49" i="5"/>
  <c r="AM62" i="5"/>
  <c r="AM93" i="5"/>
  <c r="AM96" i="5"/>
  <c r="AM87" i="5"/>
  <c r="AM129" i="5"/>
  <c r="AM106" i="5"/>
  <c r="AM128" i="5"/>
  <c r="AM155" i="5"/>
  <c r="AM142" i="5"/>
  <c r="AM167" i="5"/>
  <c r="AM153" i="5"/>
  <c r="AM185" i="5"/>
  <c r="AM162" i="5"/>
  <c r="AM203" i="5"/>
  <c r="AM205" i="5"/>
  <c r="AM233" i="5"/>
  <c r="AM204" i="5"/>
  <c r="AM228" i="5"/>
  <c r="AM186" i="5"/>
  <c r="AM239" i="5"/>
  <c r="AM259" i="5"/>
  <c r="AM281" i="5"/>
  <c r="AM307" i="5"/>
  <c r="AM253" i="5"/>
  <c r="AM294" i="5"/>
  <c r="AM192" i="5"/>
  <c r="AM257" i="5"/>
  <c r="AM301" i="5"/>
  <c r="AM320" i="5"/>
  <c r="AM343" i="5"/>
  <c r="AM224" i="5"/>
  <c r="AM360" i="5"/>
  <c r="AM404" i="5"/>
  <c r="AM431" i="5"/>
  <c r="AM293" i="5"/>
  <c r="AM363" i="5"/>
  <c r="AM389" i="5"/>
  <c r="AM418" i="5"/>
  <c r="AM286" i="5"/>
  <c r="AM348" i="5"/>
  <c r="AM379" i="5"/>
  <c r="AM311" i="5"/>
  <c r="AM457" i="5"/>
  <c r="AM490" i="5"/>
  <c r="AM532" i="5"/>
  <c r="AM412" i="5"/>
  <c r="AM462" i="5"/>
  <c r="AM484" i="5"/>
  <c r="AM519" i="5"/>
  <c r="AM430" i="5"/>
  <c r="AM454" i="5"/>
  <c r="AM482" i="5"/>
  <c r="AM495" i="5"/>
  <c r="AM510" i="5"/>
  <c r="AM554" i="5"/>
  <c r="AM449" i="5"/>
  <c r="AM534" i="5"/>
  <c r="AM433" i="5"/>
  <c r="AM549" i="5"/>
  <c r="AM528" i="5"/>
  <c r="AM372" i="5"/>
  <c r="AM26" i="5"/>
  <c r="AM38" i="5"/>
  <c r="AM56" i="5"/>
  <c r="AM39" i="5"/>
  <c r="AM61" i="5"/>
  <c r="AM53" i="5"/>
  <c r="AM65" i="5"/>
  <c r="AM83" i="5"/>
  <c r="AM97" i="5"/>
  <c r="AM103" i="5"/>
  <c r="AM131" i="5"/>
  <c r="AM111" i="5"/>
  <c r="AM133" i="5"/>
  <c r="AM107" i="5"/>
  <c r="AM145" i="5"/>
  <c r="AM169" i="5"/>
  <c r="AM159" i="5"/>
  <c r="AM115" i="5"/>
  <c r="AM168" i="5"/>
  <c r="AM118" i="5"/>
  <c r="AM208" i="5"/>
  <c r="AM236" i="5"/>
  <c r="AM210" i="5"/>
  <c r="AM235" i="5"/>
  <c r="AM199" i="5"/>
  <c r="AM240" i="5"/>
  <c r="AM261" i="5"/>
  <c r="AM282" i="5"/>
  <c r="AM313" i="5"/>
  <c r="AM256" i="5"/>
  <c r="AM298" i="5"/>
  <c r="AM227" i="5"/>
  <c r="AM263" i="5"/>
  <c r="AM302" i="5"/>
  <c r="AM322" i="5"/>
  <c r="AM344" i="5"/>
  <c r="AM258" i="5"/>
  <c r="AM367" i="5"/>
  <c r="AM409" i="5"/>
  <c r="AM435" i="5"/>
  <c r="AM304" i="5"/>
  <c r="AM365" i="5"/>
  <c r="AM390" i="5"/>
  <c r="AM419" i="5"/>
  <c r="AM289" i="5"/>
  <c r="AM349" i="5"/>
  <c r="AM388" i="5"/>
  <c r="AM354" i="5"/>
  <c r="AM458" i="5"/>
  <c r="AM496" i="5"/>
  <c r="AM270" i="5"/>
  <c r="AM426" i="5"/>
  <c r="AM465" i="5"/>
  <c r="AM498" i="5"/>
  <c r="AM308" i="5"/>
  <c r="AM432" i="5"/>
  <c r="AM455" i="5"/>
  <c r="AM486" i="5"/>
  <c r="AM499" i="5"/>
  <c r="AM518" i="5"/>
  <c r="AM555" i="5"/>
  <c r="AM456" i="5"/>
  <c r="AM536" i="5"/>
  <c r="AM437" i="5"/>
  <c r="AM550" i="5"/>
  <c r="AM533" i="5"/>
  <c r="AM438" i="5"/>
  <c r="O12" i="5"/>
  <c r="AM29" i="5"/>
  <c r="AM27" i="5"/>
  <c r="AM41" i="5"/>
  <c r="AM60" i="5"/>
  <c r="AM48" i="5"/>
  <c r="AM66" i="5"/>
  <c r="AM71" i="5"/>
  <c r="AM69" i="5"/>
  <c r="AM88" i="5"/>
  <c r="AM98" i="5"/>
  <c r="AM109" i="5"/>
  <c r="AM140" i="5"/>
  <c r="AM112" i="5"/>
  <c r="AM135" i="5"/>
  <c r="AM113" i="5"/>
  <c r="AM148" i="5"/>
  <c r="AM175" i="5"/>
  <c r="AM164" i="5"/>
  <c r="AM122" i="5"/>
  <c r="AM173" i="5"/>
  <c r="AM130" i="5"/>
  <c r="AM211" i="5"/>
  <c r="AM243" i="5"/>
  <c r="AM212" i="5"/>
  <c r="AM238" i="5"/>
  <c r="AM200" i="5"/>
  <c r="AM189" i="5"/>
  <c r="AM264" i="5"/>
  <c r="AM285" i="5"/>
  <c r="AM318" i="5"/>
  <c r="AM262" i="5"/>
  <c r="AM305" i="5"/>
  <c r="AM232" i="5"/>
  <c r="AM265" i="5"/>
  <c r="AM306" i="5"/>
  <c r="AM324" i="5"/>
  <c r="AM346" i="5"/>
  <c r="AM299" i="5"/>
  <c r="AM369" i="5"/>
  <c r="AM410" i="5"/>
  <c r="AM436" i="5"/>
  <c r="AM334" i="5"/>
  <c r="AM370" i="5"/>
  <c r="AM392" i="5"/>
  <c r="AM209" i="5"/>
  <c r="AM292" i="5"/>
  <c r="AM355" i="5"/>
  <c r="AM395" i="5"/>
  <c r="AM362" i="5"/>
  <c r="AM459" i="5"/>
  <c r="AM497" i="5"/>
  <c r="AM325" i="5"/>
  <c r="AM427" i="5"/>
  <c r="AM467" i="5"/>
  <c r="AM506" i="5"/>
  <c r="AM347" i="5"/>
  <c r="AM434" i="5"/>
  <c r="AM463" i="5"/>
  <c r="AM487" i="5"/>
  <c r="AM500" i="5"/>
  <c r="AM520" i="5"/>
  <c r="AM556" i="5"/>
  <c r="AM485" i="5"/>
  <c r="AM540" i="5"/>
  <c r="AM445" i="5"/>
  <c r="AM551" i="5"/>
  <c r="AM535" i="5"/>
  <c r="AM450" i="5"/>
  <c r="AM8" i="5"/>
  <c r="AM34" i="5"/>
  <c r="AM31" i="5"/>
  <c r="AM44" i="5"/>
  <c r="AM64" i="5"/>
  <c r="AM52" i="5"/>
  <c r="AM54" i="5"/>
  <c r="AM75" i="5"/>
  <c r="AM76" i="5"/>
  <c r="AM89" i="5"/>
  <c r="AM74" i="5"/>
  <c r="AM94" i="5"/>
  <c r="AM144" i="5"/>
  <c r="AM117" i="5"/>
  <c r="AM138" i="5"/>
  <c r="AM119" i="5"/>
  <c r="AM101" i="5"/>
  <c r="AM177" i="5"/>
  <c r="AM166" i="5"/>
  <c r="AM134" i="5"/>
  <c r="AM183" i="5"/>
  <c r="AM136" i="5"/>
  <c r="AM213" i="5"/>
  <c r="AM179" i="5"/>
  <c r="AM214" i="5"/>
  <c r="AM242" i="5"/>
  <c r="AM202" i="5"/>
  <c r="AM191" i="5"/>
  <c r="AM266" i="5"/>
  <c r="AM288" i="5"/>
  <c r="AM323" i="5"/>
  <c r="AM269" i="5"/>
  <c r="AM317" i="5"/>
  <c r="AM241" i="5"/>
  <c r="AM77" i="5"/>
  <c r="AM104" i="5"/>
  <c r="AM217" i="5"/>
  <c r="AM321" i="5"/>
  <c r="AM351" i="5"/>
  <c r="AM440" i="5"/>
  <c r="AM245" i="5"/>
  <c r="AM368" i="5"/>
  <c r="AM429" i="5"/>
  <c r="AM441" i="5"/>
  <c r="AM522" i="5"/>
  <c r="AM448" i="5"/>
  <c r="AM559" i="5"/>
  <c r="AM414" i="5"/>
  <c r="AM542" i="5"/>
  <c r="AM36" i="5"/>
  <c r="AM90" i="5"/>
  <c r="AM181" i="5"/>
  <c r="AM244" i="5"/>
  <c r="AM248" i="5"/>
  <c r="AM357" i="5"/>
  <c r="AM250" i="5"/>
  <c r="AM254" i="5"/>
  <c r="AM401" i="5"/>
  <c r="AM439" i="5"/>
  <c r="AM443" i="5"/>
  <c r="AM523" i="5"/>
  <c r="AM524" i="5"/>
  <c r="AM464" i="5"/>
  <c r="AM79" i="5"/>
  <c r="AM381" i="5"/>
  <c r="AM37" i="5"/>
  <c r="AM102" i="5"/>
  <c r="AM170" i="5"/>
  <c r="AM215" i="5"/>
  <c r="AM268" i="5"/>
  <c r="AM316" i="5"/>
  <c r="AM345" i="5"/>
  <c r="AM333" i="5"/>
  <c r="AM460" i="5"/>
  <c r="AM468" i="5"/>
  <c r="AM466" i="5"/>
  <c r="AM229" i="5"/>
  <c r="AM544" i="5"/>
  <c r="AM483" i="5"/>
  <c r="AM402" i="5"/>
  <c r="AM553" i="5"/>
  <c r="AM46" i="5"/>
  <c r="AM99" i="5"/>
  <c r="AM143" i="5"/>
  <c r="AM193" i="5"/>
  <c r="AM275" i="5"/>
  <c r="AM319" i="5"/>
  <c r="AM350" i="5"/>
  <c r="AM336" i="5"/>
  <c r="AM471" i="5"/>
  <c r="AM470" i="5"/>
  <c r="AM469" i="5"/>
  <c r="AM297" i="5"/>
  <c r="AM407" i="5"/>
  <c r="AM19" i="5"/>
  <c r="AM124" i="5"/>
  <c r="AM400" i="5"/>
  <c r="AM67" i="5"/>
  <c r="AM151" i="5"/>
  <c r="AM187" i="5"/>
  <c r="AM271" i="5"/>
  <c r="AM309" i="5"/>
  <c r="AM373" i="5"/>
  <c r="AM375" i="5"/>
  <c r="AM364" i="5"/>
  <c r="AM504" i="5"/>
  <c r="AM507" i="5"/>
  <c r="AM488" i="5"/>
  <c r="AM513" i="5"/>
  <c r="AM424" i="5"/>
  <c r="AM330" i="5"/>
  <c r="AM63" i="5"/>
  <c r="AM120" i="5"/>
  <c r="AM165" i="5"/>
  <c r="AM291" i="5"/>
  <c r="AM310" i="5"/>
  <c r="AM376" i="5"/>
  <c r="AM377" i="5"/>
  <c r="AM366" i="5"/>
  <c r="AM515" i="5"/>
  <c r="AM511" i="5"/>
  <c r="AM489" i="5"/>
  <c r="AM517" i="5"/>
  <c r="AM501" i="5"/>
  <c r="AM182" i="5"/>
  <c r="AM503" i="5"/>
  <c r="AM57" i="5"/>
  <c r="AM146" i="5"/>
  <c r="AM216" i="5"/>
  <c r="AM327" i="5"/>
  <c r="AM329" i="5"/>
  <c r="AM411" i="5"/>
  <c r="AM399" i="5"/>
  <c r="AM398" i="5"/>
  <c r="AM382" i="5"/>
  <c r="AM353" i="5"/>
  <c r="AM502" i="5"/>
  <c r="AM548" i="5"/>
  <c r="AM541" i="5"/>
  <c r="AM272" i="5"/>
  <c r="AM391" i="5"/>
  <c r="AM10" i="5"/>
  <c r="AM9" i="5"/>
  <c r="AM11" i="5"/>
  <c r="AP19" i="10"/>
  <c r="AP8" i="10"/>
  <c r="AP7" i="10"/>
  <c r="AP519" i="10"/>
  <c r="AP489" i="10"/>
  <c r="AP455" i="10"/>
  <c r="AP385" i="10"/>
  <c r="AP421" i="10"/>
  <c r="AP389" i="10"/>
  <c r="AP229" i="10"/>
  <c r="AP289" i="10"/>
  <c r="AP257" i="10"/>
  <c r="AP226" i="10"/>
  <c r="AP193" i="10"/>
  <c r="AP240" i="10"/>
  <c r="AP202" i="10"/>
  <c r="AP126" i="10"/>
  <c r="AP278" i="10"/>
  <c r="AP134" i="10"/>
  <c r="AP176" i="10"/>
  <c r="AP250" i="10"/>
  <c r="AP30" i="10"/>
  <c r="AP52" i="10"/>
  <c r="AP63" i="10"/>
  <c r="AP28" i="10"/>
  <c r="AP151" i="10"/>
  <c r="AP136" i="10"/>
  <c r="AP355" i="10"/>
  <c r="AP312" i="10"/>
  <c r="AP337" i="10"/>
  <c r="AP435" i="10"/>
  <c r="AP415" i="10"/>
  <c r="AP458" i="10"/>
  <c r="AP485" i="10"/>
  <c r="AP528" i="10"/>
  <c r="AP559" i="10"/>
  <c r="AP410" i="10"/>
  <c r="AP513" i="10"/>
  <c r="AP90" i="10"/>
  <c r="AP58" i="10"/>
  <c r="AP80" i="10"/>
  <c r="AP252" i="10"/>
  <c r="AP239" i="10"/>
  <c r="AP316" i="10"/>
  <c r="AP334" i="10"/>
  <c r="AP433" i="10"/>
  <c r="AP442" i="10"/>
  <c r="AP500" i="10"/>
  <c r="AP231" i="10"/>
  <c r="AP426" i="10"/>
  <c r="AP547" i="10"/>
  <c r="AP50" i="10"/>
  <c r="AP157" i="10"/>
  <c r="AP178" i="10"/>
  <c r="AP103" i="10"/>
  <c r="AP108" i="10"/>
  <c r="AP227" i="10"/>
  <c r="AP263" i="10"/>
  <c r="AP352" i="10"/>
  <c r="AP341" i="10"/>
  <c r="AP390" i="10"/>
  <c r="AP384" i="10"/>
  <c r="AP462" i="10"/>
  <c r="AP523" i="10"/>
  <c r="AP59" i="10"/>
  <c r="AP161" i="10"/>
  <c r="AP107" i="10"/>
  <c r="AP248" i="10"/>
  <c r="AP387" i="10"/>
  <c r="AP394" i="10"/>
  <c r="AP546" i="10"/>
  <c r="AP515" i="10"/>
  <c r="AP514" i="10"/>
  <c r="AP452" i="10"/>
  <c r="AP367" i="10"/>
  <c r="AP417" i="10"/>
  <c r="AP302" i="10"/>
  <c r="AP225" i="10"/>
  <c r="AP285" i="10"/>
  <c r="AP253" i="10"/>
  <c r="AP222" i="10"/>
  <c r="AP189" i="10"/>
  <c r="AP236" i="10"/>
  <c r="AP266" i="10"/>
  <c r="AP122" i="10"/>
  <c r="AP270" i="10"/>
  <c r="AP102" i="10"/>
  <c r="AP172" i="10"/>
  <c r="AP162" i="10"/>
  <c r="AP27" i="10"/>
  <c r="AP70" i="10"/>
  <c r="AP71" i="10"/>
  <c r="AP39" i="10"/>
  <c r="AP175" i="10"/>
  <c r="AP144" i="10"/>
  <c r="AP251" i="10"/>
  <c r="AP328" i="10"/>
  <c r="AP345" i="10"/>
  <c r="AP382" i="10"/>
  <c r="AP388" i="10"/>
  <c r="AP466" i="10"/>
  <c r="AP522" i="10"/>
  <c r="AP545" i="10"/>
  <c r="AP215" i="10"/>
  <c r="AP411" i="10"/>
  <c r="AP511" i="10"/>
  <c r="AP105" i="10"/>
  <c r="AP67" i="10"/>
  <c r="AP96" i="10"/>
  <c r="AP260" i="10"/>
  <c r="AP305" i="10"/>
  <c r="AP332" i="10"/>
  <c r="AP342" i="10"/>
  <c r="AP449" i="10"/>
  <c r="AP502" i="10"/>
  <c r="AP527" i="10"/>
  <c r="AP351" i="10"/>
  <c r="AP395" i="10"/>
  <c r="AP26" i="10"/>
  <c r="AP54" i="10"/>
  <c r="AP89" i="10"/>
  <c r="AP186" i="10"/>
  <c r="AP119" i="10"/>
  <c r="AP116" i="10"/>
  <c r="AP243" i="10"/>
  <c r="AP271" i="10"/>
  <c r="AP360" i="10"/>
  <c r="AP349" i="10"/>
  <c r="AP406" i="10"/>
  <c r="AP392" i="10"/>
  <c r="AP470" i="10"/>
  <c r="AP524" i="10"/>
  <c r="AP56" i="10"/>
  <c r="AP48" i="10"/>
  <c r="AP123" i="10"/>
  <c r="AP256" i="10"/>
  <c r="AP308" i="10"/>
  <c r="AP441" i="10"/>
  <c r="AP560" i="10"/>
  <c r="AP534" i="10"/>
  <c r="AP479" i="10"/>
  <c r="AP448" i="10"/>
  <c r="AP363" i="10"/>
  <c r="AP413" i="10"/>
  <c r="AP301" i="10"/>
  <c r="AP221" i="10"/>
  <c r="AP281" i="10"/>
  <c r="AP249" i="10"/>
  <c r="AP218" i="10"/>
  <c r="AP185" i="10"/>
  <c r="AP232" i="10"/>
  <c r="AP258" i="10"/>
  <c r="AP118" i="10"/>
  <c r="AP262" i="10"/>
  <c r="AP206" i="10"/>
  <c r="AP168" i="10"/>
  <c r="AP154" i="10"/>
  <c r="AP20" i="10"/>
  <c r="AP86" i="10"/>
  <c r="AP87" i="10"/>
  <c r="AP68" i="10"/>
  <c r="AP191" i="10"/>
  <c r="AP152" i="10"/>
  <c r="AP259" i="10"/>
  <c r="AP344" i="10"/>
  <c r="AP353" i="10"/>
  <c r="AP398" i="10"/>
  <c r="AP499" i="10"/>
  <c r="AP475" i="10"/>
  <c r="AP444" i="10"/>
  <c r="AP383" i="10"/>
  <c r="AP409" i="10"/>
  <c r="AP379" i="10"/>
  <c r="AP217" i="10"/>
  <c r="AP277" i="10"/>
  <c r="AP245" i="10"/>
  <c r="AP214" i="10"/>
  <c r="AP181" i="10"/>
  <c r="AP228" i="10"/>
  <c r="AP158" i="10"/>
  <c r="AP114" i="10"/>
  <c r="AP254" i="10"/>
  <c r="AP198" i="10"/>
  <c r="AP164" i="10"/>
  <c r="AP40" i="10"/>
  <c r="AP36" i="10"/>
  <c r="AP101" i="10"/>
  <c r="AP166" i="10"/>
  <c r="AP76" i="10"/>
  <c r="AP207" i="10"/>
  <c r="AP160" i="10"/>
  <c r="AP267" i="10"/>
  <c r="AP364" i="10"/>
  <c r="AP365" i="10"/>
  <c r="AP414" i="10"/>
  <c r="AP404" i="10"/>
  <c r="AP494" i="10"/>
  <c r="AP509" i="10"/>
  <c r="AP550" i="10"/>
  <c r="AP373" i="10"/>
  <c r="AP496" i="10"/>
  <c r="AP24" i="10"/>
  <c r="AP137" i="10"/>
  <c r="AP99" i="10"/>
  <c r="AP208" i="10"/>
  <c r="AP276" i="10"/>
  <c r="AP327" i="10"/>
  <c r="AP361" i="10"/>
  <c r="AP358" i="10"/>
  <c r="AP403" i="10"/>
  <c r="AP483" i="10"/>
  <c r="AP549" i="10"/>
  <c r="AP436" i="10"/>
  <c r="AP474" i="10"/>
  <c r="AP53" i="10"/>
  <c r="AP78" i="10"/>
  <c r="AP60" i="10"/>
  <c r="AP204" i="10"/>
  <c r="AP159" i="10"/>
  <c r="AP132" i="10"/>
  <c r="AP331" i="10"/>
  <c r="AP287" i="10"/>
  <c r="AP432" i="10"/>
  <c r="AP447" i="10"/>
  <c r="AP437" i="10"/>
  <c r="AP408" i="10"/>
  <c r="AP497" i="10"/>
  <c r="AP552" i="10"/>
  <c r="AP82" i="10"/>
  <c r="AP75" i="10"/>
  <c r="AP139" i="10"/>
  <c r="AP272" i="10"/>
  <c r="AP356" i="10"/>
  <c r="AP472" i="10"/>
  <c r="AP544" i="10"/>
  <c r="AP495" i="10"/>
  <c r="AP471" i="10"/>
  <c r="AP440" i="10"/>
  <c r="AP375" i="10"/>
  <c r="AP405" i="10"/>
  <c r="AP371" i="10"/>
  <c r="AP213" i="10"/>
  <c r="AP273" i="10"/>
  <c r="AP242" i="10"/>
  <c r="AP210" i="10"/>
  <c r="AP177" i="10"/>
  <c r="AP224" i="10"/>
  <c r="AP146" i="10"/>
  <c r="AP110" i="10"/>
  <c r="AP246" i="10"/>
  <c r="AP192" i="10"/>
  <c r="AP61" i="10"/>
  <c r="AP34" i="10"/>
  <c r="AP46" i="10"/>
  <c r="AP117" i="10"/>
  <c r="AP174" i="10"/>
  <c r="AP92" i="10"/>
  <c r="AP104" i="10"/>
  <c r="AP219" i="10"/>
  <c r="AP275" i="10"/>
  <c r="AP307" i="10"/>
  <c r="AP369" i="10"/>
  <c r="AP430" i="10"/>
  <c r="AP412" i="10"/>
  <c r="AP501" i="10"/>
  <c r="AP510" i="10"/>
  <c r="AP536" i="10"/>
  <c r="AP300" i="10"/>
  <c r="AP492" i="10"/>
  <c r="AP44" i="10"/>
  <c r="AP153" i="10"/>
  <c r="AP196" i="10"/>
  <c r="AP147" i="10"/>
  <c r="AP284" i="10"/>
  <c r="AP343" i="10"/>
  <c r="AP443" i="10"/>
  <c r="AP370" i="10"/>
  <c r="AP419" i="10"/>
  <c r="AP512" i="10"/>
  <c r="AP533" i="10"/>
  <c r="AP451" i="10"/>
  <c r="AP450" i="10"/>
  <c r="AP55" i="10"/>
  <c r="AP94" i="10"/>
  <c r="AP64" i="10"/>
  <c r="AP25" i="10"/>
  <c r="AP167" i="10"/>
  <c r="AP140" i="10"/>
  <c r="AP347" i="10"/>
  <c r="AP295" i="10"/>
  <c r="AP309" i="10"/>
  <c r="AP362" i="10"/>
  <c r="AP453" i="10"/>
  <c r="AP416" i="10"/>
  <c r="AP506" i="10"/>
  <c r="AP542" i="10"/>
  <c r="AP98" i="10"/>
  <c r="AP91" i="10"/>
  <c r="AP155" i="10"/>
  <c r="AP280" i="10"/>
  <c r="AP314" i="10"/>
  <c r="AP487" i="10"/>
  <c r="AP540" i="10"/>
  <c r="AP518" i="10"/>
  <c r="AP467" i="10"/>
  <c r="AP434" i="10"/>
  <c r="AP306" i="10"/>
  <c r="AP401" i="10"/>
  <c r="AP241" i="10"/>
  <c r="AP209" i="10"/>
  <c r="AP269" i="10"/>
  <c r="AP238" i="10"/>
  <c r="AP205" i="10"/>
  <c r="AP173" i="10"/>
  <c r="AP220" i="10"/>
  <c r="AP142" i="10"/>
  <c r="AP106" i="10"/>
  <c r="O12" i="10"/>
  <c r="AP188" i="10"/>
  <c r="AP290" i="10"/>
  <c r="AP21" i="10"/>
  <c r="AP42" i="10"/>
  <c r="AP133" i="10"/>
  <c r="AP182" i="10"/>
  <c r="AP111" i="10"/>
  <c r="AP112" i="10"/>
  <c r="AP235" i="10"/>
  <c r="AP283" i="10"/>
  <c r="AP313" i="10"/>
  <c r="AP439" i="10"/>
  <c r="AP445" i="10"/>
  <c r="AP420" i="10"/>
  <c r="AP473" i="10"/>
  <c r="AP526" i="10"/>
  <c r="AP556" i="10"/>
  <c r="AP322" i="10"/>
  <c r="AP503" i="10"/>
  <c r="AP69" i="10"/>
  <c r="AP66" i="10"/>
  <c r="AP49" i="10"/>
  <c r="AP163" i="10"/>
  <c r="AP292" i="10"/>
  <c r="AP359" i="10"/>
  <c r="AP310" i="10"/>
  <c r="AP386" i="10"/>
  <c r="AP457" i="10"/>
  <c r="AP476" i="10"/>
  <c r="AP535" i="10"/>
  <c r="AP338" i="10"/>
  <c r="AP480" i="10"/>
  <c r="AP47" i="10"/>
  <c r="AP109" i="10"/>
  <c r="AP79" i="10"/>
  <c r="AP35" i="10"/>
  <c r="AP183" i="10"/>
  <c r="AP148" i="10"/>
  <c r="AP381" i="10"/>
  <c r="AP303" i="10"/>
  <c r="AP317" i="10"/>
  <c r="AP372" i="10"/>
  <c r="AP391" i="10"/>
  <c r="AP456" i="10"/>
  <c r="AP525" i="10"/>
  <c r="AP558" i="10"/>
  <c r="AP113" i="10"/>
  <c r="AP31" i="10"/>
  <c r="AP171" i="10"/>
  <c r="AP288" i="10"/>
  <c r="AP330" i="10"/>
  <c r="AP521" i="10"/>
  <c r="AP543" i="10"/>
  <c r="AP486" i="10"/>
  <c r="AP463" i="10"/>
  <c r="AP498" i="10"/>
  <c r="AP429" i="10"/>
  <c r="AP397" i="10"/>
  <c r="AP237" i="10"/>
  <c r="AP297" i="10"/>
  <c r="AP265" i="10"/>
  <c r="AP234" i="10"/>
  <c r="AP201" i="10"/>
  <c r="AP169" i="10"/>
  <c r="AP216" i="10"/>
  <c r="AP138" i="10"/>
  <c r="AP294" i="10"/>
  <c r="AP298" i="10"/>
  <c r="AP184" i="10"/>
  <c r="AP282" i="10"/>
  <c r="AP37" i="10"/>
  <c r="AP81" i="10"/>
  <c r="AP149" i="10"/>
  <c r="AP190" i="10"/>
  <c r="AP127" i="10"/>
  <c r="AP120" i="10"/>
  <c r="AP323" i="10"/>
  <c r="AP291" i="10"/>
  <c r="AP321" i="10"/>
  <c r="AP380" i="10"/>
  <c r="AP469" i="10"/>
  <c r="AP464" i="10"/>
  <c r="AP477" i="10"/>
  <c r="AP541" i="10"/>
  <c r="AP555" i="10"/>
  <c r="AP354" i="10"/>
  <c r="AP516" i="10"/>
  <c r="AP93" i="10"/>
  <c r="AP85" i="10"/>
  <c r="AP23" i="10"/>
  <c r="AP179" i="10"/>
  <c r="AP244" i="10"/>
  <c r="AP304" i="10"/>
  <c r="AP318" i="10"/>
  <c r="AP402" i="10"/>
  <c r="AP468" i="10"/>
  <c r="AP484" i="10"/>
  <c r="AP553" i="10"/>
  <c r="AP366" i="10"/>
  <c r="AP488" i="10"/>
  <c r="AP73" i="10"/>
  <c r="AP125" i="10"/>
  <c r="AP95" i="10"/>
  <c r="AP41" i="10"/>
  <c r="AP199" i="10"/>
  <c r="AP156" i="10"/>
  <c r="AP247" i="10"/>
  <c r="AP320" i="10"/>
  <c r="AP325" i="10"/>
  <c r="AP428" i="10"/>
  <c r="AP407" i="10"/>
  <c r="AP446" i="10"/>
  <c r="AP504" i="10"/>
  <c r="AP29" i="10"/>
  <c r="AP129" i="10"/>
  <c r="AP72" i="10"/>
  <c r="AP187" i="10"/>
  <c r="AP296" i="10"/>
  <c r="AP346" i="10"/>
  <c r="AP539" i="10"/>
  <c r="AP505" i="10"/>
  <c r="AP459" i="10"/>
  <c r="AP431" i="10"/>
  <c r="AP425" i="10"/>
  <c r="AP393" i="10"/>
  <c r="AP233" i="10"/>
  <c r="AP293" i="10"/>
  <c r="AP261" i="10"/>
  <c r="AP230" i="10"/>
  <c r="AP197" i="10"/>
  <c r="AP165" i="10"/>
  <c r="AP212" i="10"/>
  <c r="AP130" i="10"/>
  <c r="AP286" i="10"/>
  <c r="AP150" i="10"/>
  <c r="AP180" i="10"/>
  <c r="AP274" i="10"/>
  <c r="AP32" i="10"/>
  <c r="AP45" i="10"/>
  <c r="AP200" i="10"/>
  <c r="AP97" i="10"/>
  <c r="AP135" i="10"/>
  <c r="AP128" i="10"/>
  <c r="AP339" i="10"/>
  <c r="AP299" i="10"/>
  <c r="AP329" i="10"/>
  <c r="AP438" i="10"/>
  <c r="AP399" i="10"/>
  <c r="AP478" i="10"/>
  <c r="AP481" i="10"/>
  <c r="AP537" i="10"/>
  <c r="AP557" i="10"/>
  <c r="AP376" i="10"/>
  <c r="AP529" i="10"/>
  <c r="AP74" i="10"/>
  <c r="AP43" i="10"/>
  <c r="AP33" i="10"/>
  <c r="AP195" i="10"/>
  <c r="AP223" i="10"/>
  <c r="AP377" i="10"/>
  <c r="AP326" i="10"/>
  <c r="AP418" i="10"/>
  <c r="AP482" i="10"/>
  <c r="AP520" i="10"/>
  <c r="AP548" i="10"/>
  <c r="AP378" i="10"/>
  <c r="AP531" i="10"/>
  <c r="AP38" i="10"/>
  <c r="AP141" i="10"/>
  <c r="AP170" i="10"/>
  <c r="AP84" i="10"/>
  <c r="AP100" i="10"/>
  <c r="AP211" i="10"/>
  <c r="AP255" i="10"/>
  <c r="AP336" i="10"/>
  <c r="AP333" i="10"/>
  <c r="AP374" i="10"/>
  <c r="AP423" i="10"/>
  <c r="AP454" i="10"/>
  <c r="AP517" i="10"/>
  <c r="AP51" i="10"/>
  <c r="AP145" i="10"/>
  <c r="AP88" i="10"/>
  <c r="AP203" i="10"/>
  <c r="AP335" i="10"/>
  <c r="AP465" i="10"/>
  <c r="AP530" i="10"/>
  <c r="AP319" i="10"/>
  <c r="AP348" i="10"/>
  <c r="AP57" i="10"/>
  <c r="AP357" i="10"/>
  <c r="AP264" i="10"/>
  <c r="AP427" i="10"/>
  <c r="AP350" i="10"/>
  <c r="AP22" i="10"/>
  <c r="AP422" i="10"/>
  <c r="AP340" i="10"/>
  <c r="AP554" i="10"/>
  <c r="AP461" i="10"/>
  <c r="AP194" i="10"/>
  <c r="AP400" i="10"/>
  <c r="AP460" i="10"/>
  <c r="AP121" i="10"/>
  <c r="AP508" i="10"/>
  <c r="AP143" i="10"/>
  <c r="AP493" i="10"/>
  <c r="AP507" i="10"/>
  <c r="AP396" i="10"/>
  <c r="AP83" i="10"/>
  <c r="AP532" i="10"/>
  <c r="AP124" i="10"/>
  <c r="AP538" i="10"/>
  <c r="AP490" i="10"/>
  <c r="AP115" i="10"/>
  <c r="AP324" i="10"/>
  <c r="AP315" i="10"/>
  <c r="AP77" i="10"/>
  <c r="AP491" i="10"/>
  <c r="AP268" i="10"/>
  <c r="AP424" i="10"/>
  <c r="AP279" i="10"/>
  <c r="AP65" i="10"/>
  <c r="AP131" i="10"/>
  <c r="AP551" i="10"/>
  <c r="AP311" i="10"/>
  <c r="AP368" i="10"/>
  <c r="AP62" i="10"/>
  <c r="AP10" i="10"/>
  <c r="AP9" i="10"/>
  <c r="AP11" i="10"/>
  <c r="AG7" i="5"/>
  <c r="AG44" i="5"/>
  <c r="AG45" i="5"/>
  <c r="AG48" i="5"/>
  <c r="AG57" i="5"/>
  <c r="AG67" i="5"/>
  <c r="AG26" i="5"/>
  <c r="AG72" i="5"/>
  <c r="AG94" i="5"/>
  <c r="AG105" i="5"/>
  <c r="AG101" i="5"/>
  <c r="AG127" i="5"/>
  <c r="AG104" i="5"/>
  <c r="AG99" i="5"/>
  <c r="AG134" i="5"/>
  <c r="AG116" i="5"/>
  <c r="AG158" i="5"/>
  <c r="AG112" i="5"/>
  <c r="AG169" i="5"/>
  <c r="AG140" i="5"/>
  <c r="AG185" i="5"/>
  <c r="AG201" i="5"/>
  <c r="AG223" i="5"/>
  <c r="AG192" i="5"/>
  <c r="AG232" i="5"/>
  <c r="AG212" i="5"/>
  <c r="AG235" i="5"/>
  <c r="AG252" i="5"/>
  <c r="AG274" i="5"/>
  <c r="AG306" i="5"/>
  <c r="AG332" i="5"/>
  <c r="AG258" i="5"/>
  <c r="AG289" i="5"/>
  <c r="AG319" i="5"/>
  <c r="AG244" i="5"/>
  <c r="AG285" i="5"/>
  <c r="AG318" i="5"/>
  <c r="AG348" i="5"/>
  <c r="AG290" i="5"/>
  <c r="AG382" i="5"/>
  <c r="AG406" i="5"/>
  <c r="AG46" i="5"/>
  <c r="AG27" i="5"/>
  <c r="AG49" i="5"/>
  <c r="AG61" i="5"/>
  <c r="AG68" i="5"/>
  <c r="AG80" i="5"/>
  <c r="AG76" i="5"/>
  <c r="AG74" i="5"/>
  <c r="AG107" i="5"/>
  <c r="AG108" i="5"/>
  <c r="AG132" i="5"/>
  <c r="AG124" i="5"/>
  <c r="AG106" i="5"/>
  <c r="AG137" i="5"/>
  <c r="AG123" i="5"/>
  <c r="AG171" i="5"/>
  <c r="AG125" i="5"/>
  <c r="AG170" i="5"/>
  <c r="AG155" i="5"/>
  <c r="AG186" i="5"/>
  <c r="AG206" i="5"/>
  <c r="AG227" i="5"/>
  <c r="AG207" i="5"/>
  <c r="AG242" i="5"/>
  <c r="AG213" i="5"/>
  <c r="AG236" i="5"/>
  <c r="AG254" i="5"/>
  <c r="AG277" i="5"/>
  <c r="AG309" i="5"/>
  <c r="AG203" i="5"/>
  <c r="AG266" i="5"/>
  <c r="AG292" i="5"/>
  <c r="AG325" i="5"/>
  <c r="AG253" i="5"/>
  <c r="AG288" i="5"/>
  <c r="AG323" i="5"/>
  <c r="AG349" i="5"/>
  <c r="AG310" i="5"/>
  <c r="AG388" i="5"/>
  <c r="AG415" i="5"/>
  <c r="AG180" i="5"/>
  <c r="AG29" i="5"/>
  <c r="AG24" i="5"/>
  <c r="AG34" i="5"/>
  <c r="AG25" i="5"/>
  <c r="AG41" i="5"/>
  <c r="AG23" i="5"/>
  <c r="AG69" i="5"/>
  <c r="AG78" i="5"/>
  <c r="AG96" i="5"/>
  <c r="AG79" i="5"/>
  <c r="AG100" i="5"/>
  <c r="AG141" i="5"/>
  <c r="AG142" i="5"/>
  <c r="AG118" i="5"/>
  <c r="AG139" i="5"/>
  <c r="AG135" i="5"/>
  <c r="AG177" i="5"/>
  <c r="AG131" i="5"/>
  <c r="AG182" i="5"/>
  <c r="AG160" i="5"/>
  <c r="AG190" i="5"/>
  <c r="AG176" i="5"/>
  <c r="AG239" i="5"/>
  <c r="AG211" i="5"/>
  <c r="AG159" i="5"/>
  <c r="AG221" i="5"/>
  <c r="AG240" i="5"/>
  <c r="AG257" i="5"/>
  <c r="AG283" i="5"/>
  <c r="AG314" i="5"/>
  <c r="AG210" i="5"/>
  <c r="AG276" i="5"/>
  <c r="AG299" i="5"/>
  <c r="AG328" i="5"/>
  <c r="AG261" i="5"/>
  <c r="AG296" i="5"/>
  <c r="AG336" i="5"/>
  <c r="AG356" i="5"/>
  <c r="AG341" i="5"/>
  <c r="AG397" i="5"/>
  <c r="AG421" i="5"/>
  <c r="AG262" i="5"/>
  <c r="AG30" i="5"/>
  <c r="AG28" i="5"/>
  <c r="AG36" i="5"/>
  <c r="AG37" i="5"/>
  <c r="AG56" i="5"/>
  <c r="AG58" i="5"/>
  <c r="AG70" i="5"/>
  <c r="AG81" i="5"/>
  <c r="AG97" i="5"/>
  <c r="AG82" i="5"/>
  <c r="AG113" i="5"/>
  <c r="AG143" i="5"/>
  <c r="AG148" i="5"/>
  <c r="AG119" i="5"/>
  <c r="AG146" i="5"/>
  <c r="AG144" i="5"/>
  <c r="AG178" i="5"/>
  <c r="AG149" i="5"/>
  <c r="AG184" i="5"/>
  <c r="AG162" i="5"/>
  <c r="AG194" i="5"/>
  <c r="AG193" i="5"/>
  <c r="AG245" i="5"/>
  <c r="AG216" i="5"/>
  <c r="AG166" i="5"/>
  <c r="AG222" i="5"/>
  <c r="AG214" i="5"/>
  <c r="AG33" i="5"/>
  <c r="AG32" i="5"/>
  <c r="AG40" i="5"/>
  <c r="AG50" i="5"/>
  <c r="AG60" i="5"/>
  <c r="AG59" i="5"/>
  <c r="AG73" i="5"/>
  <c r="AG86" i="5"/>
  <c r="AG98" i="5"/>
  <c r="AG85" i="5"/>
  <c r="AG114" i="5"/>
  <c r="AG145" i="5"/>
  <c r="AG151" i="5"/>
  <c r="AG120" i="5"/>
  <c r="AG152" i="5"/>
  <c r="AG147" i="5"/>
  <c r="AG179" i="5"/>
  <c r="AG161" i="5"/>
  <c r="AG95" i="5"/>
  <c r="AG167" i="5"/>
  <c r="AG197" i="5"/>
  <c r="AG208" i="5"/>
  <c r="AG247" i="5"/>
  <c r="AG220" i="5"/>
  <c r="AG188" i="5"/>
  <c r="AG225" i="5"/>
  <c r="AG228" i="5"/>
  <c r="AG263" i="5"/>
  <c r="AG293" i="5"/>
  <c r="AG320" i="5"/>
  <c r="AG241" i="5"/>
  <c r="AG279" i="5"/>
  <c r="AG308" i="5"/>
  <c r="AG196" i="5"/>
  <c r="AG269" i="5"/>
  <c r="AG303" i="5"/>
  <c r="AG342" i="5"/>
  <c r="AG174" i="5"/>
  <c r="AG366" i="5"/>
  <c r="AG400" i="5"/>
  <c r="AG429" i="5"/>
  <c r="AG42" i="5"/>
  <c r="AG62" i="5"/>
  <c r="AG77" i="5"/>
  <c r="AG91" i="5"/>
  <c r="AG156" i="5"/>
  <c r="AG129" i="5"/>
  <c r="AG165" i="5"/>
  <c r="AG198" i="5"/>
  <c r="AG209" i="5"/>
  <c r="AG233" i="5"/>
  <c r="AG280" i="5"/>
  <c r="AG205" i="5"/>
  <c r="AG297" i="5"/>
  <c r="AG259" i="5"/>
  <c r="AG335" i="5"/>
  <c r="AG330" i="5"/>
  <c r="AG420" i="5"/>
  <c r="AG298" i="5"/>
  <c r="AG367" i="5"/>
  <c r="AG393" i="5"/>
  <c r="AG339" i="5"/>
  <c r="AG373" i="5"/>
  <c r="AG414" i="5"/>
  <c r="AG344" i="5"/>
  <c r="AG431" i="5"/>
  <c r="AG481" i="5"/>
  <c r="AG508" i="5"/>
  <c r="AG357" i="5"/>
  <c r="AG442" i="5"/>
  <c r="AG475" i="5"/>
  <c r="AG515" i="5"/>
  <c r="AG423" i="5"/>
  <c r="AG471" i="5"/>
  <c r="AG505" i="5"/>
  <c r="AG546" i="5"/>
  <c r="AG204" i="5"/>
  <c r="AG482" i="5"/>
  <c r="AG541" i="5"/>
  <c r="AG484" i="5"/>
  <c r="AG532" i="5"/>
  <c r="AG413" i="5"/>
  <c r="AG511" i="5"/>
  <c r="AG446" i="5"/>
  <c r="AG538" i="5"/>
  <c r="AG324" i="5"/>
  <c r="AG369" i="5"/>
  <c r="AG501" i="5"/>
  <c r="AG479" i="5"/>
  <c r="AG440" i="5"/>
  <c r="AG31" i="5"/>
  <c r="AG65" i="5"/>
  <c r="AG90" i="5"/>
  <c r="AG83" i="5"/>
  <c r="AG92" i="5"/>
  <c r="AG150" i="5"/>
  <c r="AG181" i="5"/>
  <c r="AG199" i="5"/>
  <c r="AG224" i="5"/>
  <c r="AG238" i="5"/>
  <c r="AG287" i="5"/>
  <c r="AG219" i="5"/>
  <c r="AG304" i="5"/>
  <c r="AG264" i="5"/>
  <c r="AG338" i="5"/>
  <c r="AG364" i="5"/>
  <c r="AG424" i="5"/>
  <c r="AG321" i="5"/>
  <c r="AG368" i="5"/>
  <c r="AG396" i="5"/>
  <c r="AG347" i="5"/>
  <c r="AG375" i="5"/>
  <c r="AG417" i="5"/>
  <c r="AG346" i="5"/>
  <c r="AG438" i="5"/>
  <c r="AG487" i="5"/>
  <c r="AG510" i="5"/>
  <c r="AG370" i="5"/>
  <c r="AG447" i="5"/>
  <c r="AG483" i="5"/>
  <c r="AG516" i="5"/>
  <c r="AG439" i="5"/>
  <c r="AG474" i="5"/>
  <c r="AG507" i="5"/>
  <c r="AG548" i="5"/>
  <c r="AG380" i="5"/>
  <c r="AG492" i="5"/>
  <c r="AG542" i="5"/>
  <c r="AG495" i="5"/>
  <c r="AG536" i="5"/>
  <c r="AG426" i="5"/>
  <c r="AG523" i="5"/>
  <c r="AG449" i="5"/>
  <c r="AG544" i="5"/>
  <c r="AG55" i="5"/>
  <c r="AG163" i="5"/>
  <c r="AG286" i="5"/>
  <c r="AG268" i="5"/>
  <c r="AG427" i="5"/>
  <c r="AG399" i="5"/>
  <c r="AG539" i="5"/>
  <c r="AG534" i="5"/>
  <c r="AG43" i="5"/>
  <c r="AG20" i="5"/>
  <c r="AG93" i="5"/>
  <c r="AG115" i="5"/>
  <c r="AG109" i="5"/>
  <c r="AG153" i="5"/>
  <c r="AG111" i="5"/>
  <c r="AG154" i="5"/>
  <c r="AG229" i="5"/>
  <c r="AG249" i="5"/>
  <c r="AG295" i="5"/>
  <c r="AG246" i="5"/>
  <c r="AG311" i="5"/>
  <c r="AG271" i="5"/>
  <c r="AG343" i="5"/>
  <c r="AG374" i="5"/>
  <c r="AG433" i="5"/>
  <c r="AG326" i="5"/>
  <c r="AG372" i="5"/>
  <c r="AG405" i="5"/>
  <c r="AG351" i="5"/>
  <c r="AG383" i="5"/>
  <c r="AG418" i="5"/>
  <c r="AG350" i="5"/>
  <c r="AG443" i="5"/>
  <c r="AG488" i="5"/>
  <c r="AG513" i="5"/>
  <c r="AG384" i="5"/>
  <c r="AG448" i="5"/>
  <c r="AG485" i="5"/>
  <c r="AG517" i="5"/>
  <c r="AG452" i="5"/>
  <c r="AG477" i="5"/>
  <c r="AG512" i="5"/>
  <c r="AG549" i="5"/>
  <c r="AG392" i="5"/>
  <c r="AG506" i="5"/>
  <c r="AG547" i="5"/>
  <c r="AG519" i="5"/>
  <c r="AG540" i="5"/>
  <c r="AG428" i="5"/>
  <c r="AG529" i="5"/>
  <c r="AG470" i="5"/>
  <c r="AG19" i="5"/>
  <c r="AG273" i="5"/>
  <c r="AG317" i="5"/>
  <c r="AG435" i="5"/>
  <c r="AG559" i="5"/>
  <c r="AG467" i="5"/>
  <c r="AG8" i="5"/>
  <c r="AG47" i="5"/>
  <c r="AG63" i="5"/>
  <c r="AG87" i="5"/>
  <c r="AG121" i="5"/>
  <c r="AG122" i="5"/>
  <c r="AG173" i="5"/>
  <c r="AG133" i="5"/>
  <c r="AG215" i="5"/>
  <c r="AG243" i="5"/>
  <c r="AG251" i="5"/>
  <c r="AG301" i="5"/>
  <c r="AG250" i="5"/>
  <c r="AG316" i="5"/>
  <c r="AG281" i="5"/>
  <c r="AG345" i="5"/>
  <c r="AG378" i="5"/>
  <c r="AG436" i="5"/>
  <c r="AG329" i="5"/>
  <c r="AG376" i="5"/>
  <c r="AG407" i="5"/>
  <c r="AG352" i="5"/>
  <c r="AG385" i="5"/>
  <c r="AG168" i="5"/>
  <c r="AG371" i="5"/>
  <c r="AG445" i="5"/>
  <c r="AG489" i="5"/>
  <c r="AG518" i="5"/>
  <c r="AG408" i="5"/>
  <c r="AG456" i="5"/>
  <c r="AG490" i="5"/>
  <c r="AG272" i="5"/>
  <c r="AG453" i="5"/>
  <c r="AG478" i="5"/>
  <c r="AG514" i="5"/>
  <c r="AG550" i="5"/>
  <c r="AG416" i="5"/>
  <c r="AG509" i="5"/>
  <c r="AG554" i="5"/>
  <c r="AG526" i="5"/>
  <c r="AG358" i="5"/>
  <c r="AG430" i="5"/>
  <c r="AG537" i="5"/>
  <c r="AG500" i="5"/>
  <c r="AG64" i="5"/>
  <c r="AG110" i="5"/>
  <c r="AG230" i="5"/>
  <c r="AG284" i="5"/>
  <c r="AG362" i="5"/>
  <c r="AG334" i="5"/>
  <c r="AG472" i="5"/>
  <c r="AG543" i="5"/>
  <c r="AG395" i="5"/>
  <c r="AG35" i="5"/>
  <c r="AG51" i="5"/>
  <c r="AG66" i="5"/>
  <c r="AG102" i="5"/>
  <c r="AG136" i="5"/>
  <c r="AG130" i="5"/>
  <c r="AG183" i="5"/>
  <c r="AG157" i="5"/>
  <c r="AG218" i="5"/>
  <c r="AG191" i="5"/>
  <c r="AG255" i="5"/>
  <c r="AG312" i="5"/>
  <c r="AG270" i="5"/>
  <c r="AG327" i="5"/>
  <c r="AG291" i="5"/>
  <c r="AG354" i="5"/>
  <c r="AG394" i="5"/>
  <c r="AG437" i="5"/>
  <c r="AG333" i="5"/>
  <c r="AG381" i="5"/>
  <c r="AG409" i="5"/>
  <c r="AG353" i="5"/>
  <c r="AG390" i="5"/>
  <c r="AG256" i="5"/>
  <c r="AG379" i="5"/>
  <c r="AG450" i="5"/>
  <c r="AG493" i="5"/>
  <c r="AG522" i="5"/>
  <c r="AG422" i="5"/>
  <c r="AG458" i="5"/>
  <c r="AG491" i="5"/>
  <c r="AG302" i="5"/>
  <c r="AG457" i="5"/>
  <c r="AG480" i="5"/>
  <c r="AG524" i="5"/>
  <c r="AG551" i="5"/>
  <c r="AG463" i="5"/>
  <c r="AG520" i="5"/>
  <c r="AG441" i="5"/>
  <c r="AG533" i="5"/>
  <c r="AG365" i="5"/>
  <c r="AG432" i="5"/>
  <c r="AG556" i="5"/>
  <c r="AG503" i="5"/>
  <c r="AG502" i="5"/>
  <c r="AG38" i="5"/>
  <c r="AG53" i="5"/>
  <c r="AG22" i="5"/>
  <c r="AG103" i="5"/>
  <c r="AG71" i="5"/>
  <c r="AG138" i="5"/>
  <c r="AG187" i="5"/>
  <c r="AG172" i="5"/>
  <c r="AG234" i="5"/>
  <c r="AG195" i="5"/>
  <c r="AG260" i="5"/>
  <c r="AG315" i="5"/>
  <c r="AG278" i="5"/>
  <c r="AG117" i="5"/>
  <c r="AG300" i="5"/>
  <c r="AG359" i="5"/>
  <c r="AG398" i="5"/>
  <c r="AG226" i="5"/>
  <c r="AG340" i="5"/>
  <c r="AG386" i="5"/>
  <c r="AG410" i="5"/>
  <c r="AG360" i="5"/>
  <c r="AG402" i="5"/>
  <c r="AG275" i="5"/>
  <c r="AG412" i="5"/>
  <c r="AG451" i="5"/>
  <c r="AG494" i="5"/>
  <c r="AG530" i="5"/>
  <c r="AG425" i="5"/>
  <c r="AG460" i="5"/>
  <c r="AG496" i="5"/>
  <c r="AG337" i="5"/>
  <c r="AG459" i="5"/>
  <c r="AG486" i="5"/>
  <c r="AG525" i="5"/>
  <c r="AG553" i="5"/>
  <c r="AG473" i="5"/>
  <c r="AG528" i="5"/>
  <c r="AG444" i="5"/>
  <c r="AG545" i="5"/>
  <c r="AG377" i="5"/>
  <c r="AG454" i="5"/>
  <c r="AG558" i="5"/>
  <c r="AG521" i="5"/>
  <c r="AG88" i="5"/>
  <c r="AG189" i="5"/>
  <c r="AG313" i="5"/>
  <c r="AG391" i="5"/>
  <c r="AG469" i="5"/>
  <c r="AG468" i="5"/>
  <c r="AG465" i="5"/>
  <c r="AG21" i="5"/>
  <c r="AG54" i="5"/>
  <c r="AG52" i="5"/>
  <c r="AG75" i="5"/>
  <c r="AG89" i="5"/>
  <c r="AG84" i="5"/>
  <c r="AG128" i="5"/>
  <c r="AG175" i="5"/>
  <c r="AG248" i="5"/>
  <c r="AG217" i="5"/>
  <c r="AG265" i="5"/>
  <c r="AG322" i="5"/>
  <c r="AG282" i="5"/>
  <c r="AG200" i="5"/>
  <c r="AG307" i="5"/>
  <c r="AG231" i="5"/>
  <c r="AG401" i="5"/>
  <c r="AG267" i="5"/>
  <c r="AG355" i="5"/>
  <c r="AG387" i="5"/>
  <c r="AG202" i="5"/>
  <c r="AG361" i="5"/>
  <c r="AG404" i="5"/>
  <c r="AG305" i="5"/>
  <c r="AG419" i="5"/>
  <c r="AG466" i="5"/>
  <c r="AG499" i="5"/>
  <c r="AG294" i="5"/>
  <c r="AG434" i="5"/>
  <c r="AG464" i="5"/>
  <c r="AG497" i="5"/>
  <c r="AG363" i="5"/>
  <c r="AG462" i="5"/>
  <c r="AG498" i="5"/>
  <c r="AG531" i="5"/>
  <c r="AG557" i="5"/>
  <c r="AG476" i="5"/>
  <c r="AG535" i="5"/>
  <c r="AG455" i="5"/>
  <c r="AG552" i="5"/>
  <c r="AG389" i="5"/>
  <c r="AG461" i="5"/>
  <c r="AG560" i="5"/>
  <c r="AG527" i="5"/>
  <c r="AG39" i="5"/>
  <c r="AG126" i="5"/>
  <c r="AG164" i="5"/>
  <c r="AG237" i="5"/>
  <c r="AG403" i="5"/>
  <c r="AG411" i="5"/>
  <c r="AG331" i="5"/>
  <c r="AG504" i="5"/>
  <c r="AG555" i="5"/>
  <c r="AG10" i="5"/>
  <c r="AG9" i="5"/>
  <c r="AG11" i="5"/>
  <c r="AM19" i="10"/>
  <c r="AM29" i="10"/>
  <c r="AM61" i="10"/>
  <c r="AM30" i="10"/>
  <c r="AM25" i="10"/>
  <c r="AM70" i="10"/>
  <c r="AM114" i="10"/>
  <c r="AM31" i="10"/>
  <c r="AM63" i="10"/>
  <c r="AM33" i="10"/>
  <c r="AM28" i="10"/>
  <c r="AM75" i="10"/>
  <c r="AM120" i="10"/>
  <c r="AM81" i="10"/>
  <c r="AM128" i="10"/>
  <c r="AM160" i="10"/>
  <c r="AM198" i="10"/>
  <c r="AM226" i="10"/>
  <c r="AM257" i="10"/>
  <c r="AM289" i="10"/>
  <c r="AM317" i="10"/>
  <c r="AM349" i="10"/>
  <c r="AM44" i="10"/>
  <c r="AM34" i="10"/>
  <c r="AM66" i="10"/>
  <c r="AM42" i="10"/>
  <c r="AM35" i="10"/>
  <c r="AM80" i="10"/>
  <c r="AM122" i="10"/>
  <c r="AM84" i="10"/>
  <c r="AM130" i="10"/>
  <c r="AM162" i="10"/>
  <c r="AM201" i="10"/>
  <c r="AM228" i="10"/>
  <c r="AM260" i="10"/>
  <c r="AM292" i="10"/>
  <c r="AM321" i="10"/>
  <c r="AM353" i="10"/>
  <c r="AM53" i="10"/>
  <c r="AM40" i="10"/>
  <c r="AM72" i="10"/>
  <c r="AM52" i="10"/>
  <c r="AM37" i="10"/>
  <c r="AM88" i="10"/>
  <c r="AM27" i="10"/>
  <c r="AM86" i="10"/>
  <c r="AM136" i="10"/>
  <c r="AM168" i="10"/>
  <c r="AM203" i="10"/>
  <c r="AM230" i="10"/>
  <c r="AM262" i="10"/>
  <c r="AM294" i="10"/>
  <c r="AM325" i="10"/>
  <c r="AM357" i="10"/>
  <c r="AM60" i="10"/>
  <c r="AM45" i="10"/>
  <c r="AM77" i="10"/>
  <c r="AM26" i="10"/>
  <c r="AM46" i="10"/>
  <c r="AM93" i="10"/>
  <c r="AM47" i="10"/>
  <c r="AM79" i="10"/>
  <c r="AM36" i="10"/>
  <c r="AM49" i="10"/>
  <c r="AM95" i="10"/>
  <c r="AM48" i="10"/>
  <c r="AM96" i="10"/>
  <c r="AM144" i="10"/>
  <c r="AM176" i="10"/>
  <c r="AM213" i="10"/>
  <c r="AM241" i="10"/>
  <c r="AM273" i="10"/>
  <c r="AM301" i="10"/>
  <c r="AM333" i="10"/>
  <c r="AM365" i="10"/>
  <c r="AM69" i="10"/>
  <c r="AM50" i="10"/>
  <c r="AM82" i="10"/>
  <c r="AM38" i="10"/>
  <c r="AM58" i="10"/>
  <c r="AM98" i="10"/>
  <c r="AM59" i="10"/>
  <c r="AM103" i="10"/>
  <c r="AM146" i="10"/>
  <c r="AM178" i="10"/>
  <c r="AM219" i="10"/>
  <c r="AM244" i="10"/>
  <c r="AM276" i="10"/>
  <c r="AM305" i="10"/>
  <c r="AM337" i="10"/>
  <c r="AM369" i="10"/>
  <c r="AM76" i="10"/>
  <c r="AM24" i="10"/>
  <c r="AM56" i="10"/>
  <c r="AM21" i="10"/>
  <c r="AM23" i="10"/>
  <c r="AM68" i="10"/>
  <c r="AM112" i="10"/>
  <c r="AM65" i="10"/>
  <c r="AM111" i="10"/>
  <c r="AM152" i="10"/>
  <c r="AM184" i="10"/>
  <c r="AM221" i="10"/>
  <c r="AM246" i="10"/>
  <c r="AM278" i="10"/>
  <c r="AM309" i="10"/>
  <c r="AM341" i="10"/>
  <c r="AM20" i="10"/>
  <c r="AM43" i="10"/>
  <c r="AM208" i="10"/>
  <c r="AM329" i="10"/>
  <c r="AM92" i="10"/>
  <c r="AM129" i="10"/>
  <c r="AM161" i="10"/>
  <c r="AM195" i="10"/>
  <c r="AM231" i="10"/>
  <c r="AM263" i="10"/>
  <c r="AM295" i="10"/>
  <c r="AM327" i="10"/>
  <c r="AM359" i="10"/>
  <c r="AM100" i="10"/>
  <c r="AM132" i="10"/>
  <c r="AM189" i="10"/>
  <c r="AM224" i="10"/>
  <c r="AM255" i="10"/>
  <c r="AM287" i="10"/>
  <c r="AM320" i="10"/>
  <c r="AM380" i="10"/>
  <c r="AM426" i="10"/>
  <c r="AM97" i="10"/>
  <c r="AM175" i="10"/>
  <c r="AM243" i="10"/>
  <c r="AM338" i="10"/>
  <c r="AM444" i="10"/>
  <c r="AM479" i="10"/>
  <c r="AM511" i="10"/>
  <c r="AM543" i="10"/>
  <c r="AM238" i="10"/>
  <c r="AM458" i="10"/>
  <c r="AM558" i="10"/>
  <c r="AM227" i="10"/>
  <c r="AM378" i="10"/>
  <c r="AM399" i="10"/>
  <c r="AM429" i="10"/>
  <c r="AM460" i="10"/>
  <c r="AM492" i="10"/>
  <c r="AM524" i="10"/>
  <c r="AM556" i="10"/>
  <c r="AM358" i="10"/>
  <c r="AM494" i="10"/>
  <c r="AM94" i="10"/>
  <c r="AM173" i="10"/>
  <c r="AM328" i="10"/>
  <c r="AM377" i="10"/>
  <c r="AM214" i="10"/>
  <c r="AM74" i="10"/>
  <c r="AM223" i="10"/>
  <c r="AM345" i="10"/>
  <c r="AM99" i="10"/>
  <c r="AM134" i="10"/>
  <c r="AM166" i="10"/>
  <c r="AM200" i="10"/>
  <c r="AM237" i="10"/>
  <c r="AM269" i="10"/>
  <c r="AM299" i="10"/>
  <c r="AM331" i="10"/>
  <c r="AM363" i="10"/>
  <c r="AM102" i="10"/>
  <c r="AM140" i="10"/>
  <c r="AM191" i="10"/>
  <c r="AM229" i="10"/>
  <c r="AM261" i="10"/>
  <c r="AM293" i="10"/>
  <c r="AM324" i="10"/>
  <c r="AM388" i="10"/>
  <c r="AM430" i="10"/>
  <c r="AM107" i="10"/>
  <c r="AM183" i="10"/>
  <c r="AM252" i="10"/>
  <c r="AM346" i="10"/>
  <c r="AM451" i="10"/>
  <c r="AM483" i="10"/>
  <c r="AM515" i="10"/>
  <c r="AM547" i="10"/>
  <c r="AM284" i="10"/>
  <c r="AM470" i="10"/>
  <c r="AM32" i="10"/>
  <c r="AM236" i="10"/>
  <c r="AM381" i="10"/>
  <c r="AM402" i="10"/>
  <c r="AM431" i="10"/>
  <c r="AM464" i="10"/>
  <c r="AM496" i="10"/>
  <c r="AM528" i="10"/>
  <c r="AM83" i="10"/>
  <c r="AM384" i="10"/>
  <c r="AM502" i="10"/>
  <c r="AM115" i="10"/>
  <c r="AM181" i="10"/>
  <c r="AM336" i="10"/>
  <c r="AM379" i="10"/>
  <c r="AM401" i="10"/>
  <c r="AM427" i="10"/>
  <c r="AM461" i="10"/>
  <c r="AM493" i="10"/>
  <c r="AM525" i="10"/>
  <c r="AM557" i="10"/>
  <c r="AM265" i="10"/>
  <c r="AM462" i="10"/>
  <c r="AM550" i="10"/>
  <c r="AM445" i="10"/>
  <c r="AM440" i="10"/>
  <c r="AM360" i="10"/>
  <c r="AM473" i="10"/>
  <c r="AM113" i="10"/>
  <c r="AM375" i="10"/>
  <c r="AM334" i="10"/>
  <c r="AM453" i="10"/>
  <c r="AM398" i="10"/>
  <c r="AM542" i="10"/>
  <c r="AM91" i="10"/>
  <c r="AM235" i="10"/>
  <c r="AM361" i="10"/>
  <c r="AM101" i="10"/>
  <c r="AM137" i="10"/>
  <c r="AM169" i="10"/>
  <c r="AM205" i="10"/>
  <c r="AM240" i="10"/>
  <c r="AM272" i="10"/>
  <c r="AM303" i="10"/>
  <c r="AM335" i="10"/>
  <c r="AM367" i="10"/>
  <c r="AM105" i="10"/>
  <c r="AM148" i="10"/>
  <c r="AM194" i="10"/>
  <c r="AM232" i="10"/>
  <c r="AM264" i="10"/>
  <c r="AM296" i="10"/>
  <c r="AM332" i="10"/>
  <c r="AM396" i="10"/>
  <c r="AM434" i="10"/>
  <c r="AM127" i="10"/>
  <c r="AM190" i="10"/>
  <c r="AM270" i="10"/>
  <c r="AM354" i="10"/>
  <c r="AM455" i="10"/>
  <c r="AM487" i="10"/>
  <c r="AM519" i="10"/>
  <c r="AM551" i="10"/>
  <c r="AM318" i="10"/>
  <c r="AM482" i="10"/>
  <c r="AM54" i="10"/>
  <c r="AM254" i="10"/>
  <c r="AM383" i="10"/>
  <c r="AM405" i="10"/>
  <c r="AM437" i="10"/>
  <c r="AM468" i="10"/>
  <c r="AM500" i="10"/>
  <c r="AM532" i="10"/>
  <c r="AM131" i="10"/>
  <c r="AM408" i="10"/>
  <c r="AM514" i="10"/>
  <c r="AM125" i="10"/>
  <c r="AM202" i="10"/>
  <c r="AM344" i="10"/>
  <c r="AM382" i="10"/>
  <c r="AM403" i="10"/>
  <c r="AM433" i="10"/>
  <c r="AM465" i="10"/>
  <c r="AM497" i="10"/>
  <c r="AM529" i="10"/>
  <c r="AM555" i="10"/>
  <c r="AM302" i="10"/>
  <c r="AM474" i="10"/>
  <c r="AM540" i="10"/>
  <c r="AM141" i="10"/>
  <c r="AM409" i="10"/>
  <c r="AM505" i="10"/>
  <c r="AM498" i="10"/>
  <c r="AM397" i="10"/>
  <c r="AM478" i="10"/>
  <c r="AM419" i="10"/>
  <c r="AM526" i="10"/>
  <c r="AM553" i="10"/>
  <c r="AM119" i="10"/>
  <c r="AM251" i="10"/>
  <c r="AM39" i="10"/>
  <c r="AM104" i="10"/>
  <c r="AM142" i="10"/>
  <c r="AM174" i="10"/>
  <c r="AM207" i="10"/>
  <c r="AM242" i="10"/>
  <c r="AM274" i="10"/>
  <c r="AM307" i="10"/>
  <c r="AM339" i="10"/>
  <c r="AM41" i="10"/>
  <c r="AM108" i="10"/>
  <c r="AM156" i="10"/>
  <c r="AM196" i="10"/>
  <c r="AM234" i="10"/>
  <c r="AM266" i="10"/>
  <c r="AM300" i="10"/>
  <c r="AM340" i="10"/>
  <c r="AM404" i="10"/>
  <c r="AM438" i="10"/>
  <c r="AM135" i="10"/>
  <c r="AM197" i="10"/>
  <c r="AM298" i="10"/>
  <c r="AM362" i="10"/>
  <c r="AM459" i="10"/>
  <c r="AM491" i="10"/>
  <c r="AM523" i="10"/>
  <c r="AM559" i="10"/>
  <c r="AM342" i="10"/>
  <c r="AM490" i="10"/>
  <c r="AM67" i="10"/>
  <c r="AM281" i="10"/>
  <c r="AM386" i="10"/>
  <c r="AM407" i="10"/>
  <c r="AM439" i="10"/>
  <c r="AM472" i="10"/>
  <c r="AM504" i="10"/>
  <c r="AM536" i="10"/>
  <c r="AM155" i="10"/>
  <c r="AM424" i="10"/>
  <c r="AM530" i="10"/>
  <c r="AM133" i="10"/>
  <c r="AM216" i="10"/>
  <c r="AM352" i="10"/>
  <c r="AM385" i="10"/>
  <c r="AM406" i="10"/>
  <c r="AM435" i="10"/>
  <c r="AM469" i="10"/>
  <c r="AM501" i="10"/>
  <c r="AM533" i="10"/>
  <c r="AM560" i="10"/>
  <c r="AM326" i="10"/>
  <c r="AM486" i="10"/>
  <c r="AM508" i="10"/>
  <c r="AM538" i="10"/>
  <c r="AM387" i="10"/>
  <c r="AM537" i="10"/>
  <c r="AM448" i="10"/>
  <c r="AM520" i="10"/>
  <c r="AM286" i="10"/>
  <c r="AM549" i="10"/>
  <c r="AM489" i="10"/>
  <c r="AM138" i="10"/>
  <c r="AM267" i="10"/>
  <c r="AM62" i="10"/>
  <c r="AM106" i="10"/>
  <c r="AM145" i="10"/>
  <c r="AM177" i="10"/>
  <c r="AM210" i="10"/>
  <c r="AM247" i="10"/>
  <c r="AM279" i="10"/>
  <c r="AM311" i="10"/>
  <c r="AM343" i="10"/>
  <c r="AM51" i="10"/>
  <c r="AM110" i="10"/>
  <c r="AM164" i="10"/>
  <c r="AM206" i="10"/>
  <c r="AM239" i="10"/>
  <c r="AM271" i="10"/>
  <c r="AM304" i="10"/>
  <c r="AM348" i="10"/>
  <c r="AM410" i="10"/>
  <c r="AM442" i="10"/>
  <c r="AM143" i="10"/>
  <c r="AM204" i="10"/>
  <c r="AM306" i="10"/>
  <c r="AM412" i="10"/>
  <c r="AM463" i="10"/>
  <c r="AM495" i="10"/>
  <c r="AM527" i="10"/>
  <c r="AM57" i="10"/>
  <c r="AM366" i="10"/>
  <c r="AM506" i="10"/>
  <c r="AM121" i="10"/>
  <c r="AM291" i="10"/>
  <c r="AM389" i="10"/>
  <c r="AM413" i="10"/>
  <c r="AM476" i="10"/>
  <c r="AM222" i="10"/>
  <c r="AM249" i="10"/>
  <c r="AM441" i="10"/>
  <c r="AM350" i="10"/>
  <c r="AM423" i="10"/>
  <c r="AM85" i="10"/>
  <c r="AM485" i="10"/>
  <c r="AM457" i="10"/>
  <c r="AM154" i="10"/>
  <c r="AM283" i="10"/>
  <c r="AM78" i="10"/>
  <c r="AM109" i="10"/>
  <c r="AM150" i="10"/>
  <c r="AM182" i="10"/>
  <c r="AM212" i="10"/>
  <c r="AM253" i="10"/>
  <c r="AM285" i="10"/>
  <c r="AM315" i="10"/>
  <c r="AM347" i="10"/>
  <c r="AM55" i="10"/>
  <c r="AM116" i="10"/>
  <c r="AM172" i="10"/>
  <c r="AM209" i="10"/>
  <c r="AM245" i="10"/>
  <c r="AM277" i="10"/>
  <c r="AM308" i="10"/>
  <c r="AM356" i="10"/>
  <c r="AM414" i="10"/>
  <c r="AM446" i="10"/>
  <c r="AM151" i="10"/>
  <c r="AM218" i="10"/>
  <c r="AM314" i="10"/>
  <c r="AM420" i="10"/>
  <c r="AM467" i="10"/>
  <c r="AM499" i="10"/>
  <c r="AM531" i="10"/>
  <c r="AM123" i="10"/>
  <c r="AM400" i="10"/>
  <c r="AM522" i="10"/>
  <c r="AM185" i="10"/>
  <c r="AM370" i="10"/>
  <c r="AM391" i="10"/>
  <c r="AM415" i="10"/>
  <c r="AM447" i="10"/>
  <c r="AM480" i="10"/>
  <c r="AM512" i="10"/>
  <c r="AM544" i="10"/>
  <c r="AM275" i="10"/>
  <c r="AM454" i="10"/>
  <c r="AM554" i="10"/>
  <c r="AM149" i="10"/>
  <c r="AM259" i="10"/>
  <c r="AM368" i="10"/>
  <c r="AM390" i="10"/>
  <c r="AM411" i="10"/>
  <c r="AM443" i="10"/>
  <c r="AM477" i="10"/>
  <c r="AM509" i="10"/>
  <c r="AM541" i="10"/>
  <c r="AM139" i="10"/>
  <c r="AM376" i="10"/>
  <c r="AM510" i="10"/>
  <c r="AM371" i="10"/>
  <c r="AM417" i="10"/>
  <c r="AM481" i="10"/>
  <c r="AM545" i="10"/>
  <c r="AM392" i="10"/>
  <c r="AM179" i="10"/>
  <c r="AM456" i="10"/>
  <c r="AM165" i="10"/>
  <c r="AM517" i="10"/>
  <c r="AM425" i="10"/>
  <c r="AM170" i="10"/>
  <c r="AM297" i="10"/>
  <c r="AM87" i="10"/>
  <c r="AM117" i="10"/>
  <c r="AM153" i="10"/>
  <c r="AM186" i="10"/>
  <c r="AM217" i="10"/>
  <c r="AM256" i="10"/>
  <c r="AM288" i="10"/>
  <c r="AM319" i="10"/>
  <c r="AM351" i="10"/>
  <c r="AM71" i="10"/>
  <c r="AM118" i="10"/>
  <c r="AM180" i="10"/>
  <c r="AM211" i="10"/>
  <c r="AM248" i="10"/>
  <c r="AM280" i="10"/>
  <c r="AM312" i="10"/>
  <c r="AM364" i="10"/>
  <c r="AM418" i="10"/>
  <c r="AM22" i="10"/>
  <c r="AM159" i="10"/>
  <c r="AM225" i="10"/>
  <c r="AM322" i="10"/>
  <c r="AM428" i="10"/>
  <c r="AM471" i="10"/>
  <c r="AM503" i="10"/>
  <c r="AM535" i="10"/>
  <c r="AM163" i="10"/>
  <c r="AM432" i="10"/>
  <c r="AM534" i="10"/>
  <c r="AM192" i="10"/>
  <c r="AM373" i="10"/>
  <c r="AM394" i="10"/>
  <c r="AM421" i="10"/>
  <c r="AM452" i="10"/>
  <c r="AM484" i="10"/>
  <c r="AM516" i="10"/>
  <c r="AM548" i="10"/>
  <c r="AM310" i="10"/>
  <c r="AM466" i="10"/>
  <c r="AM73" i="10"/>
  <c r="AM157" i="10"/>
  <c r="AM268" i="10"/>
  <c r="AM393" i="10"/>
  <c r="AM449" i="10"/>
  <c r="AM513" i="10"/>
  <c r="AM147" i="10"/>
  <c r="AM518" i="10"/>
  <c r="AM546" i="10"/>
  <c r="AM552" i="10"/>
  <c r="AM395" i="10"/>
  <c r="AM171" i="10"/>
  <c r="AM521" i="10"/>
  <c r="AM188" i="10"/>
  <c r="AM313" i="10"/>
  <c r="AM89" i="10"/>
  <c r="AM126" i="10"/>
  <c r="AM158" i="10"/>
  <c r="AM193" i="10"/>
  <c r="AM220" i="10"/>
  <c r="AM258" i="10"/>
  <c r="AM290" i="10"/>
  <c r="AM323" i="10"/>
  <c r="AM355" i="10"/>
  <c r="AM90" i="10"/>
  <c r="AM124" i="10"/>
  <c r="AM187" i="10"/>
  <c r="AM215" i="10"/>
  <c r="AM250" i="10"/>
  <c r="AM282" i="10"/>
  <c r="AM316" i="10"/>
  <c r="AM372" i="10"/>
  <c r="AM422" i="10"/>
  <c r="AM64" i="10"/>
  <c r="AM167" i="10"/>
  <c r="AM233" i="10"/>
  <c r="AM330" i="10"/>
  <c r="AM436" i="10"/>
  <c r="AM475" i="10"/>
  <c r="AM507" i="10"/>
  <c r="AM539" i="10"/>
  <c r="AM199" i="10"/>
  <c r="AM488" i="10"/>
  <c r="AM374" i="10"/>
  <c r="AM416" i="10"/>
  <c r="AM450" i="10"/>
  <c r="AM8" i="10"/>
  <c r="AM7" i="10"/>
  <c r="AM10" i="10"/>
  <c r="AM9" i="10"/>
  <c r="AM11" i="10"/>
  <c r="AS13" i="10" l="1"/>
  <c r="AS334" i="10"/>
  <c r="AS533" i="10"/>
  <c r="AT533" i="10" s="1"/>
  <c r="AS560" i="10"/>
  <c r="AT560" i="10" s="1"/>
  <c r="AS300" i="10"/>
  <c r="AS415" i="10"/>
  <c r="AT415" i="10" s="1"/>
  <c r="AS33" i="10"/>
  <c r="AU33" i="10" s="1"/>
  <c r="AS111" i="10"/>
  <c r="AT111" i="10" s="1"/>
  <c r="AS184" i="10"/>
  <c r="AS387" i="10"/>
  <c r="AS20" i="10"/>
  <c r="AT20" i="10" s="1"/>
  <c r="AS39" i="10"/>
  <c r="AU39" i="10" s="1"/>
  <c r="AS115" i="10"/>
  <c r="AS188" i="10"/>
  <c r="AU188" i="10" s="1"/>
  <c r="AS218" i="10"/>
  <c r="AU218" i="10" s="1"/>
  <c r="AS391" i="10"/>
  <c r="AU391" i="10" s="1"/>
  <c r="AS47" i="10"/>
  <c r="AS75" i="10"/>
  <c r="AS253" i="10"/>
  <c r="AT253" i="10" s="1"/>
  <c r="AS250" i="10"/>
  <c r="AV250" i="10" s="1"/>
  <c r="AS85" i="10"/>
  <c r="AS289" i="10"/>
  <c r="AT289" i="10" s="1"/>
  <c r="AS286" i="10"/>
  <c r="AU286" i="10" s="1"/>
  <c r="AS464" i="10"/>
  <c r="AU464" i="10" s="1"/>
  <c r="AS40" i="10"/>
  <c r="AU40" i="10" s="1"/>
  <c r="AS78" i="10"/>
  <c r="AS276" i="10"/>
  <c r="AU276" i="10" s="1"/>
  <c r="AS114" i="10"/>
  <c r="AS76" i="10"/>
  <c r="AS380" i="10"/>
  <c r="AV380" i="10" s="1"/>
  <c r="AS359" i="10"/>
  <c r="AU359" i="10" s="1"/>
  <c r="AS358" i="10"/>
  <c r="AU358" i="10" s="1"/>
  <c r="AS484" i="10"/>
  <c r="AT484" i="10" s="1"/>
  <c r="AS145" i="10"/>
  <c r="AS150" i="10"/>
  <c r="AT150" i="10" s="1"/>
  <c r="AS112" i="10"/>
  <c r="AU112" i="10" s="1"/>
  <c r="AS228" i="10"/>
  <c r="AS324" i="10"/>
  <c r="AU324" i="10" s="1"/>
  <c r="AS503" i="10"/>
  <c r="AU503" i="10" s="1"/>
  <c r="AS497" i="10"/>
  <c r="AT497" i="10" s="1"/>
  <c r="AS471" i="10"/>
  <c r="AS446" i="10"/>
  <c r="AU446" i="10" s="1"/>
  <c r="AS537" i="10"/>
  <c r="AV537" i="10" s="1"/>
  <c r="AS454" i="10"/>
  <c r="AT454" i="10" s="1"/>
  <c r="AS518" i="10"/>
  <c r="AT518" i="10" s="1"/>
  <c r="AS478" i="10"/>
  <c r="AT478" i="10" s="1"/>
  <c r="AS523" i="10"/>
  <c r="AU523" i="10" s="1"/>
  <c r="AS432" i="10"/>
  <c r="AV432" i="10" s="1"/>
  <c r="AS525" i="10"/>
  <c r="AO187" i="10"/>
  <c r="AN187" i="10"/>
  <c r="AO71" i="10"/>
  <c r="AN71" i="10"/>
  <c r="AN414" i="10"/>
  <c r="AO414" i="10"/>
  <c r="AN239" i="10"/>
  <c r="AO239" i="10"/>
  <c r="AN197" i="10"/>
  <c r="AO197" i="10"/>
  <c r="AO482" i="10"/>
  <c r="AN482" i="10"/>
  <c r="AN427" i="10"/>
  <c r="AO427" i="10"/>
  <c r="AO214" i="10"/>
  <c r="AN214" i="10"/>
  <c r="AN65" i="10"/>
  <c r="AO65" i="10"/>
  <c r="AO262" i="10"/>
  <c r="AN262" i="10"/>
  <c r="AO61" i="10"/>
  <c r="AN61" i="10"/>
  <c r="AP265" i="5"/>
  <c r="AI265" i="5"/>
  <c r="AH265" i="5"/>
  <c r="AI360" i="5"/>
  <c r="AH360" i="5"/>
  <c r="AP360" i="5"/>
  <c r="AH556" i="5"/>
  <c r="AI556" i="5"/>
  <c r="AP556" i="5"/>
  <c r="AH284" i="5"/>
  <c r="AP284" i="5"/>
  <c r="AI284" i="5"/>
  <c r="AP428" i="5"/>
  <c r="AI428" i="5"/>
  <c r="AH428" i="5"/>
  <c r="AH43" i="5"/>
  <c r="AI43" i="5"/>
  <c r="AP43" i="5"/>
  <c r="AI92" i="5"/>
  <c r="AP92" i="5"/>
  <c r="AH92" i="5"/>
  <c r="AI259" i="5"/>
  <c r="AH259" i="5"/>
  <c r="AP259" i="5"/>
  <c r="AH152" i="5"/>
  <c r="AI152" i="5"/>
  <c r="AP152" i="5"/>
  <c r="AI149" i="5"/>
  <c r="AH149" i="5"/>
  <c r="AP149" i="5"/>
  <c r="AI141" i="5"/>
  <c r="AH141" i="5"/>
  <c r="AP141" i="5"/>
  <c r="AI106" i="5"/>
  <c r="AH106" i="5"/>
  <c r="AP106" i="5"/>
  <c r="AR424" i="10"/>
  <c r="AQ424" i="10"/>
  <c r="AQ100" i="10"/>
  <c r="AR100" i="10"/>
  <c r="AR212" i="10"/>
  <c r="AQ212" i="10"/>
  <c r="AR244" i="10"/>
  <c r="AQ244" i="10"/>
  <c r="AR521" i="10"/>
  <c r="AQ521" i="10"/>
  <c r="AR42" i="10"/>
  <c r="AQ42" i="10"/>
  <c r="AR91" i="10"/>
  <c r="AQ91" i="10"/>
  <c r="AR104" i="10"/>
  <c r="AQ104" i="10"/>
  <c r="AQ204" i="10"/>
  <c r="AR204" i="10"/>
  <c r="AR36" i="10"/>
  <c r="AQ36" i="10"/>
  <c r="AQ262" i="10"/>
  <c r="AR262" i="10"/>
  <c r="AR449" i="10"/>
  <c r="AQ449" i="10"/>
  <c r="AR189" i="10"/>
  <c r="AQ189" i="10"/>
  <c r="AQ263" i="10"/>
  <c r="AR263" i="10"/>
  <c r="AR151" i="10"/>
  <c r="AQ151" i="10"/>
  <c r="AO489" i="5"/>
  <c r="AN489" i="5"/>
  <c r="AN460" i="5"/>
  <c r="AO460" i="5"/>
  <c r="AN242" i="5"/>
  <c r="AO242" i="5"/>
  <c r="AN467" i="5"/>
  <c r="AO467" i="5"/>
  <c r="AN211" i="5"/>
  <c r="AO211" i="5"/>
  <c r="AN496" i="5"/>
  <c r="AO496" i="5"/>
  <c r="AO115" i="5"/>
  <c r="AN115" i="5"/>
  <c r="AO554" i="5"/>
  <c r="AN554" i="5"/>
  <c r="AO128" i="5"/>
  <c r="AN128" i="5"/>
  <c r="AO303" i="5"/>
  <c r="AN303" i="5"/>
  <c r="AO442" i="5"/>
  <c r="AN442" i="5"/>
  <c r="AN45" i="5"/>
  <c r="AO45" i="5"/>
  <c r="AO296" i="5"/>
  <c r="AN296" i="5"/>
  <c r="AL549" i="5"/>
  <c r="AK549" i="5"/>
  <c r="AK240" i="5"/>
  <c r="AL240" i="5"/>
  <c r="AL441" i="5"/>
  <c r="AK441" i="5"/>
  <c r="AL27" i="5"/>
  <c r="AK27" i="5"/>
  <c r="AK364" i="5"/>
  <c r="AL364" i="5"/>
  <c r="AK182" i="5"/>
  <c r="AL182" i="5"/>
  <c r="AL514" i="5"/>
  <c r="AK514" i="5"/>
  <c r="AL358" i="5"/>
  <c r="AK358" i="5"/>
  <c r="AK171" i="5"/>
  <c r="AL171" i="5"/>
  <c r="AK432" i="5"/>
  <c r="AL432" i="5"/>
  <c r="AL484" i="5"/>
  <c r="AK484" i="5"/>
  <c r="AL156" i="5"/>
  <c r="AK156" i="5"/>
  <c r="AK254" i="5"/>
  <c r="AL254" i="5"/>
  <c r="AK379" i="5"/>
  <c r="AL379" i="5"/>
  <c r="AK78" i="5"/>
  <c r="AL78" i="5"/>
  <c r="AK352" i="5"/>
  <c r="AL352" i="5"/>
  <c r="AK237" i="5"/>
  <c r="AL237" i="5"/>
  <c r="AU334" i="10"/>
  <c r="AT334" i="10"/>
  <c r="AV334" i="10"/>
  <c r="AT75" i="10"/>
  <c r="AU75" i="10"/>
  <c r="AV75" i="10"/>
  <c r="AT250" i="10"/>
  <c r="AS295" i="10"/>
  <c r="AS322" i="10"/>
  <c r="AS440" i="10"/>
  <c r="AS109" i="10"/>
  <c r="AV484" i="10"/>
  <c r="AL521" i="10"/>
  <c r="AK521" i="10"/>
  <c r="AK106" i="10"/>
  <c r="AL106" i="10"/>
  <c r="AO7" i="10"/>
  <c r="AN7" i="10"/>
  <c r="AO507" i="10"/>
  <c r="AN507" i="10"/>
  <c r="AO372" i="10"/>
  <c r="AN372" i="10"/>
  <c r="AN355" i="10"/>
  <c r="AO355" i="10"/>
  <c r="AN89" i="10"/>
  <c r="AO89" i="10"/>
  <c r="AN518" i="10"/>
  <c r="AO518" i="10"/>
  <c r="AN466" i="10"/>
  <c r="AO466" i="10"/>
  <c r="AO373" i="10"/>
  <c r="AN373" i="10"/>
  <c r="AO428" i="10"/>
  <c r="AN428" i="10"/>
  <c r="AN280" i="10"/>
  <c r="AO280" i="10"/>
  <c r="AO288" i="10"/>
  <c r="AN288" i="10"/>
  <c r="AO170" i="10"/>
  <c r="AN170" i="10"/>
  <c r="AN481" i="10"/>
  <c r="AO481" i="10"/>
  <c r="AN477" i="10"/>
  <c r="AO477" i="10"/>
  <c r="AN454" i="10"/>
  <c r="AO454" i="10"/>
  <c r="AN370" i="10"/>
  <c r="AO370" i="10"/>
  <c r="AO420" i="10"/>
  <c r="AN420" i="10"/>
  <c r="AN277" i="10"/>
  <c r="AO277" i="10"/>
  <c r="AN285" i="10"/>
  <c r="AO285" i="10"/>
  <c r="AN154" i="10"/>
  <c r="AO154" i="10"/>
  <c r="AO222" i="10"/>
  <c r="AN222" i="10"/>
  <c r="AN57" i="10"/>
  <c r="AO57" i="10"/>
  <c r="AN442" i="10"/>
  <c r="AO442" i="10"/>
  <c r="AO110" i="10"/>
  <c r="AN110" i="10"/>
  <c r="AN145" i="10"/>
  <c r="AO145" i="10"/>
  <c r="AO520" i="10"/>
  <c r="AN520" i="10"/>
  <c r="AO560" i="10"/>
  <c r="AN560" i="10"/>
  <c r="AO216" i="10"/>
  <c r="AN216" i="10"/>
  <c r="AN439" i="10"/>
  <c r="AO439" i="10"/>
  <c r="AN523" i="10"/>
  <c r="AO523" i="10"/>
  <c r="AN404" i="10"/>
  <c r="AO404" i="10"/>
  <c r="AN41" i="10"/>
  <c r="AO41" i="10"/>
  <c r="AN104" i="10"/>
  <c r="AO104" i="10"/>
  <c r="AO397" i="10"/>
  <c r="AN397" i="10"/>
  <c r="AN555" i="10"/>
  <c r="AO555" i="10"/>
  <c r="AO202" i="10"/>
  <c r="AN202" i="10"/>
  <c r="AO437" i="10"/>
  <c r="AN437" i="10"/>
  <c r="AN519" i="10"/>
  <c r="AO519" i="10"/>
  <c r="AO396" i="10"/>
  <c r="AN396" i="10"/>
  <c r="AN367" i="10"/>
  <c r="AO367" i="10"/>
  <c r="AN101" i="10"/>
  <c r="AO101" i="10"/>
  <c r="AO375" i="10"/>
  <c r="AN375" i="10"/>
  <c r="AN265" i="10"/>
  <c r="AO265" i="10"/>
  <c r="AO336" i="10"/>
  <c r="AN336" i="10"/>
  <c r="AO464" i="10"/>
  <c r="AN464" i="10"/>
  <c r="AN547" i="10"/>
  <c r="AO547" i="10"/>
  <c r="AN430" i="10"/>
  <c r="AO430" i="10"/>
  <c r="AN102" i="10"/>
  <c r="AO102" i="10"/>
  <c r="AO134" i="10"/>
  <c r="AN134" i="10"/>
  <c r="AO173" i="10"/>
  <c r="AN173" i="10"/>
  <c r="AN429" i="10"/>
  <c r="AO429" i="10"/>
  <c r="AN511" i="10"/>
  <c r="AO511" i="10"/>
  <c r="AN380" i="10"/>
  <c r="AO380" i="10"/>
  <c r="AN359" i="10"/>
  <c r="AO359" i="10"/>
  <c r="AO92" i="10"/>
  <c r="AN92" i="10"/>
  <c r="AO246" i="10"/>
  <c r="AN246" i="10"/>
  <c r="AO23" i="10"/>
  <c r="AN23" i="10"/>
  <c r="AN276" i="10"/>
  <c r="AO276" i="10"/>
  <c r="AO58" i="10"/>
  <c r="AN58" i="10"/>
  <c r="AO273" i="10"/>
  <c r="AN273" i="10"/>
  <c r="AO49" i="10"/>
  <c r="AN49" i="10"/>
  <c r="AN45" i="10"/>
  <c r="AO45" i="10"/>
  <c r="AN168" i="10"/>
  <c r="AO168" i="10"/>
  <c r="AN40" i="10"/>
  <c r="AO40" i="10"/>
  <c r="AN162" i="10"/>
  <c r="AO162" i="10"/>
  <c r="AN34" i="10"/>
  <c r="AO34" i="10"/>
  <c r="AN160" i="10"/>
  <c r="AO160" i="10"/>
  <c r="AO31" i="10"/>
  <c r="AN31" i="10"/>
  <c r="AH11" i="5"/>
  <c r="AI11" i="5"/>
  <c r="AP11" i="5"/>
  <c r="AH237" i="5"/>
  <c r="AI237" i="5"/>
  <c r="AP237" i="5"/>
  <c r="AP552" i="5"/>
  <c r="AH552" i="5"/>
  <c r="AI552" i="5"/>
  <c r="AP363" i="5"/>
  <c r="AH363" i="5"/>
  <c r="AI363" i="5"/>
  <c r="AI305" i="5"/>
  <c r="AH305" i="5"/>
  <c r="AP305" i="5"/>
  <c r="AH231" i="5"/>
  <c r="AI231" i="5"/>
  <c r="AP231" i="5"/>
  <c r="AP175" i="5"/>
  <c r="AI175" i="5"/>
  <c r="AH175" i="5"/>
  <c r="AP465" i="5"/>
  <c r="AI465" i="5"/>
  <c r="AH465" i="5"/>
  <c r="AH558" i="5"/>
  <c r="AI558" i="5"/>
  <c r="AP558" i="5"/>
  <c r="AI525" i="5"/>
  <c r="AH525" i="5"/>
  <c r="AP525" i="5"/>
  <c r="AP494" i="5"/>
  <c r="AH494" i="5"/>
  <c r="AI494" i="5"/>
  <c r="AH340" i="5"/>
  <c r="AP340" i="5"/>
  <c r="AI340" i="5"/>
  <c r="AI260" i="5"/>
  <c r="AP260" i="5"/>
  <c r="AH260" i="5"/>
  <c r="AH22" i="5"/>
  <c r="AP22" i="5"/>
  <c r="AI22" i="5"/>
  <c r="AI533" i="5"/>
  <c r="AP533" i="5"/>
  <c r="AH533" i="5"/>
  <c r="AH302" i="5"/>
  <c r="AP302" i="5"/>
  <c r="AI302" i="5"/>
  <c r="AH256" i="5"/>
  <c r="AI256" i="5"/>
  <c r="AP256" i="5"/>
  <c r="AI354" i="5"/>
  <c r="AP354" i="5"/>
  <c r="AH354" i="5"/>
  <c r="AI157" i="5"/>
  <c r="AH157" i="5"/>
  <c r="AP157" i="5"/>
  <c r="AI395" i="5"/>
  <c r="AH395" i="5"/>
  <c r="AP395" i="5"/>
  <c r="AH64" i="5"/>
  <c r="AI64" i="5"/>
  <c r="AP64" i="5"/>
  <c r="AP416" i="5"/>
  <c r="AI416" i="5"/>
  <c r="AH416" i="5"/>
  <c r="AI408" i="5"/>
  <c r="AH408" i="5"/>
  <c r="AP408" i="5"/>
  <c r="AI407" i="5"/>
  <c r="AP407" i="5"/>
  <c r="AH407" i="5"/>
  <c r="AH250" i="5"/>
  <c r="AI250" i="5"/>
  <c r="AP250" i="5"/>
  <c r="AH121" i="5"/>
  <c r="AI121" i="5"/>
  <c r="AP121" i="5"/>
  <c r="AP317" i="5"/>
  <c r="AI317" i="5"/>
  <c r="AH317" i="5"/>
  <c r="AI547" i="5"/>
  <c r="AP547" i="5"/>
  <c r="AH547" i="5"/>
  <c r="AH485" i="5"/>
  <c r="AI485" i="5"/>
  <c r="AP485" i="5"/>
  <c r="AP383" i="5"/>
  <c r="AI383" i="5"/>
  <c r="AH383" i="5"/>
  <c r="AH271" i="5"/>
  <c r="AI271" i="5"/>
  <c r="AP271" i="5"/>
  <c r="AP153" i="5"/>
  <c r="AI153" i="5"/>
  <c r="AH153" i="5"/>
  <c r="AP399" i="5"/>
  <c r="AI399" i="5"/>
  <c r="AH399" i="5"/>
  <c r="AI523" i="5"/>
  <c r="AH523" i="5"/>
  <c r="AP523" i="5"/>
  <c r="AI507" i="5"/>
  <c r="AP507" i="5"/>
  <c r="AH507" i="5"/>
  <c r="AI487" i="5"/>
  <c r="AH487" i="5"/>
  <c r="AP487" i="5"/>
  <c r="AH321" i="5"/>
  <c r="AP321" i="5"/>
  <c r="AI321" i="5"/>
  <c r="AH238" i="5"/>
  <c r="AI238" i="5"/>
  <c r="AP238" i="5"/>
  <c r="AI65" i="5"/>
  <c r="AP65" i="5"/>
  <c r="AH65" i="5"/>
  <c r="AI446" i="5"/>
  <c r="AH446" i="5"/>
  <c r="AP446" i="5"/>
  <c r="AP546" i="5"/>
  <c r="AH546" i="5"/>
  <c r="AI546" i="5"/>
  <c r="AH508" i="5"/>
  <c r="AP508" i="5"/>
  <c r="AI508" i="5"/>
  <c r="AP367" i="5"/>
  <c r="AH367" i="5"/>
  <c r="AI367" i="5"/>
  <c r="AH280" i="5"/>
  <c r="AI280" i="5"/>
  <c r="AP280" i="5"/>
  <c r="AI77" i="5"/>
  <c r="AH77" i="5"/>
  <c r="AP77" i="5"/>
  <c r="AI303" i="5"/>
  <c r="AH303" i="5"/>
  <c r="AP303" i="5"/>
  <c r="AI263" i="5"/>
  <c r="AH263" i="5"/>
  <c r="AP263" i="5"/>
  <c r="AP167" i="5"/>
  <c r="AH167" i="5"/>
  <c r="AI167" i="5"/>
  <c r="AH145" i="5"/>
  <c r="AP145" i="5"/>
  <c r="AI145" i="5"/>
  <c r="AP50" i="5"/>
  <c r="AH50" i="5"/>
  <c r="AI50" i="5"/>
  <c r="AH245" i="5"/>
  <c r="AI245" i="5"/>
  <c r="AP245" i="5"/>
  <c r="AH146" i="5"/>
  <c r="AI146" i="5"/>
  <c r="AP146" i="5"/>
  <c r="AI70" i="5"/>
  <c r="AP70" i="5"/>
  <c r="AH70" i="5"/>
  <c r="AI421" i="5"/>
  <c r="AH421" i="5"/>
  <c r="AP421" i="5"/>
  <c r="AI299" i="5"/>
  <c r="AP299" i="5"/>
  <c r="AH299" i="5"/>
  <c r="AI159" i="5"/>
  <c r="AH159" i="5"/>
  <c r="AP159" i="5"/>
  <c r="AH177" i="5"/>
  <c r="AI177" i="5"/>
  <c r="AP177" i="5"/>
  <c r="AI96" i="5"/>
  <c r="AH96" i="5"/>
  <c r="AP96" i="5"/>
  <c r="AP29" i="5"/>
  <c r="AI29" i="5"/>
  <c r="AH29" i="5"/>
  <c r="AI253" i="5"/>
  <c r="AP253" i="5"/>
  <c r="AH253" i="5"/>
  <c r="AH236" i="5"/>
  <c r="AP236" i="5"/>
  <c r="AI236" i="5"/>
  <c r="AI170" i="5"/>
  <c r="AP170" i="5"/>
  <c r="AH170" i="5"/>
  <c r="AH108" i="5"/>
  <c r="AP108" i="5"/>
  <c r="AI108" i="5"/>
  <c r="AI27" i="5"/>
  <c r="AH27" i="5"/>
  <c r="AP27" i="5"/>
  <c r="AI244" i="5"/>
  <c r="AH244" i="5"/>
  <c r="AP244" i="5"/>
  <c r="AP235" i="5"/>
  <c r="AH235" i="5"/>
  <c r="AI235" i="5"/>
  <c r="AI169" i="5"/>
  <c r="AH169" i="5"/>
  <c r="AP169" i="5"/>
  <c r="AI101" i="5"/>
  <c r="AH101" i="5"/>
  <c r="AP101" i="5"/>
  <c r="AI45" i="5"/>
  <c r="AH45" i="5"/>
  <c r="AP45" i="5"/>
  <c r="AR311" i="10"/>
  <c r="AQ311" i="10"/>
  <c r="AR77" i="10"/>
  <c r="AQ77" i="10"/>
  <c r="AR83" i="10"/>
  <c r="AQ83" i="10"/>
  <c r="AR400" i="10"/>
  <c r="AQ400" i="10"/>
  <c r="AR427" i="10"/>
  <c r="AQ427" i="10"/>
  <c r="AR335" i="10"/>
  <c r="AQ335" i="10"/>
  <c r="AR374" i="10"/>
  <c r="AQ374" i="10"/>
  <c r="AR141" i="10"/>
  <c r="AQ141" i="10"/>
  <c r="AQ326" i="10"/>
  <c r="AR326" i="10"/>
  <c r="AR376" i="10"/>
  <c r="AQ376" i="10"/>
  <c r="AQ299" i="10"/>
  <c r="AR299" i="10"/>
  <c r="AQ274" i="10"/>
  <c r="AR274" i="10"/>
  <c r="AQ230" i="10"/>
  <c r="AR230" i="10"/>
  <c r="AR505" i="10"/>
  <c r="AQ505" i="10"/>
  <c r="AQ504" i="10"/>
  <c r="AR504" i="10"/>
  <c r="AR199" i="10"/>
  <c r="AQ199" i="10"/>
  <c r="AQ484" i="10"/>
  <c r="AR484" i="10"/>
  <c r="AR85" i="10"/>
  <c r="AQ85" i="10"/>
  <c r="AQ469" i="10"/>
  <c r="AR469" i="10"/>
  <c r="AR149" i="10"/>
  <c r="AQ149" i="10"/>
  <c r="AQ216" i="10"/>
  <c r="AR216" i="10"/>
  <c r="AQ429" i="10"/>
  <c r="AR429" i="10"/>
  <c r="AR171" i="10"/>
  <c r="AQ171" i="10"/>
  <c r="AQ317" i="10"/>
  <c r="AR317" i="10"/>
  <c r="AQ47" i="10"/>
  <c r="AR47" i="10"/>
  <c r="AQ359" i="10"/>
  <c r="AR359" i="10"/>
  <c r="AQ556" i="10"/>
  <c r="AR556" i="10"/>
  <c r="AR235" i="10"/>
  <c r="AQ235" i="10"/>
  <c r="AR188" i="10"/>
  <c r="AQ188" i="10"/>
  <c r="AR269" i="10"/>
  <c r="AQ269" i="10"/>
  <c r="AQ540" i="10"/>
  <c r="AR540" i="10"/>
  <c r="AQ506" i="10"/>
  <c r="AR506" i="10"/>
  <c r="AQ167" i="10"/>
  <c r="AR167" i="10"/>
  <c r="AR512" i="10"/>
  <c r="AQ512" i="10"/>
  <c r="AR153" i="10"/>
  <c r="AQ153" i="10"/>
  <c r="AR430" i="10"/>
  <c r="AQ430" i="10"/>
  <c r="AR117" i="10"/>
  <c r="AQ117" i="10"/>
  <c r="AQ224" i="10"/>
  <c r="AR224" i="10"/>
  <c r="AQ375" i="10"/>
  <c r="AR375" i="10"/>
  <c r="AQ139" i="10"/>
  <c r="AR139" i="10"/>
  <c r="AQ432" i="10"/>
  <c r="AR432" i="10"/>
  <c r="AR53" i="10"/>
  <c r="AQ53" i="10"/>
  <c r="AR327" i="10"/>
  <c r="AQ327" i="10"/>
  <c r="AR550" i="10"/>
  <c r="AQ550" i="10"/>
  <c r="AQ160" i="10"/>
  <c r="AR160" i="10"/>
  <c r="AQ198" i="10"/>
  <c r="AR198" i="10"/>
  <c r="AR277" i="10"/>
  <c r="AQ277" i="10"/>
  <c r="AQ398" i="10"/>
  <c r="AR398" i="10"/>
  <c r="AR86" i="10"/>
  <c r="AQ86" i="10"/>
  <c r="AR232" i="10"/>
  <c r="AQ232" i="10"/>
  <c r="AQ363" i="10"/>
  <c r="AR363" i="10"/>
  <c r="AR123" i="10"/>
  <c r="AQ123" i="10"/>
  <c r="AR360" i="10"/>
  <c r="AQ360" i="10"/>
  <c r="AR26" i="10"/>
  <c r="AQ26" i="10"/>
  <c r="AR305" i="10"/>
  <c r="AQ305" i="10"/>
  <c r="AQ545" i="10"/>
  <c r="AR545" i="10"/>
  <c r="AR144" i="10"/>
  <c r="AQ144" i="10"/>
  <c r="AQ102" i="10"/>
  <c r="AR102" i="10"/>
  <c r="AR285" i="10"/>
  <c r="AQ285" i="10"/>
  <c r="AR546" i="10"/>
  <c r="AQ546" i="10"/>
  <c r="AR462" i="10"/>
  <c r="AQ462" i="10"/>
  <c r="AR103" i="10"/>
  <c r="AQ103" i="10"/>
  <c r="AR442" i="10"/>
  <c r="AQ442" i="10"/>
  <c r="AQ90" i="10"/>
  <c r="AR90" i="10"/>
  <c r="AR435" i="10"/>
  <c r="AQ435" i="10"/>
  <c r="AR52" i="10"/>
  <c r="AQ52" i="10"/>
  <c r="AQ240" i="10"/>
  <c r="AR240" i="10"/>
  <c r="AQ385" i="10"/>
  <c r="AR385" i="10"/>
  <c r="AN9" i="5"/>
  <c r="AO9" i="5"/>
  <c r="AO382" i="5"/>
  <c r="AN382" i="5"/>
  <c r="AO57" i="5"/>
  <c r="AN57" i="5"/>
  <c r="AO366" i="5"/>
  <c r="AN366" i="5"/>
  <c r="AN330" i="5"/>
  <c r="AO330" i="5"/>
  <c r="AO373" i="5"/>
  <c r="AN373" i="5"/>
  <c r="AO19" i="5"/>
  <c r="AN19" i="5"/>
  <c r="AN319" i="5"/>
  <c r="AO319" i="5"/>
  <c r="AO483" i="5"/>
  <c r="AN483" i="5"/>
  <c r="AO316" i="5"/>
  <c r="AN316" i="5"/>
  <c r="AN464" i="5"/>
  <c r="AO464" i="5"/>
  <c r="AO357" i="5"/>
  <c r="AN357" i="5"/>
  <c r="AN559" i="5"/>
  <c r="AO559" i="5"/>
  <c r="AO351" i="5"/>
  <c r="AN351" i="5"/>
  <c r="AN323" i="5"/>
  <c r="AO323" i="5"/>
  <c r="AN213" i="5"/>
  <c r="AO213" i="5"/>
  <c r="AN138" i="5"/>
  <c r="AO138" i="5"/>
  <c r="AO54" i="5"/>
  <c r="AN54" i="5"/>
  <c r="AO535" i="5"/>
  <c r="AN535" i="5"/>
  <c r="AO487" i="5"/>
  <c r="AN487" i="5"/>
  <c r="AO497" i="5"/>
  <c r="AN497" i="5"/>
  <c r="AO370" i="5"/>
  <c r="AN370" i="5"/>
  <c r="AO306" i="5"/>
  <c r="AN306" i="5"/>
  <c r="AO189" i="5"/>
  <c r="AN189" i="5"/>
  <c r="AN122" i="5"/>
  <c r="AO122" i="5"/>
  <c r="AN109" i="5"/>
  <c r="AO109" i="5"/>
  <c r="AN41" i="5"/>
  <c r="AO41" i="5"/>
  <c r="AO536" i="5"/>
  <c r="AN536" i="5"/>
  <c r="AN308" i="5"/>
  <c r="AO308" i="5"/>
  <c r="AN388" i="5"/>
  <c r="AO388" i="5"/>
  <c r="AO409" i="5"/>
  <c r="AN409" i="5"/>
  <c r="AO298" i="5"/>
  <c r="AN298" i="5"/>
  <c r="AO210" i="5"/>
  <c r="AN210" i="5"/>
  <c r="AO145" i="5"/>
  <c r="AN145" i="5"/>
  <c r="AN65" i="5"/>
  <c r="AO65" i="5"/>
  <c r="AO528" i="5"/>
  <c r="AN528" i="5"/>
  <c r="AO482" i="5"/>
  <c r="AN482" i="5"/>
  <c r="AN490" i="5"/>
  <c r="AO490" i="5"/>
  <c r="AN363" i="5"/>
  <c r="AO363" i="5"/>
  <c r="AN301" i="5"/>
  <c r="AO301" i="5"/>
  <c r="AN239" i="5"/>
  <c r="AO239" i="5"/>
  <c r="AN185" i="5"/>
  <c r="AO185" i="5"/>
  <c r="AO87" i="5"/>
  <c r="AN87" i="5"/>
  <c r="AO33" i="5"/>
  <c r="AN33" i="5"/>
  <c r="AO479" i="5"/>
  <c r="AN479" i="5"/>
  <c r="AN478" i="5"/>
  <c r="AO478" i="5"/>
  <c r="AN361" i="5"/>
  <c r="AO361" i="5"/>
  <c r="AN295" i="5"/>
  <c r="AO295" i="5"/>
  <c r="AN237" i="5"/>
  <c r="AO237" i="5"/>
  <c r="AO180" i="5"/>
  <c r="AN180" i="5"/>
  <c r="AN86" i="5"/>
  <c r="AO86" i="5"/>
  <c r="AN30" i="5"/>
  <c r="AO30" i="5"/>
  <c r="AO421" i="5"/>
  <c r="AN421" i="5"/>
  <c r="AN477" i="5"/>
  <c r="AO477" i="5"/>
  <c r="AO341" i="5"/>
  <c r="AN341" i="5"/>
  <c r="AO338" i="5"/>
  <c r="AN338" i="5"/>
  <c r="AO207" i="5"/>
  <c r="AN207" i="5"/>
  <c r="AO225" i="5"/>
  <c r="AN225" i="5"/>
  <c r="AN149" i="5"/>
  <c r="AO149" i="5"/>
  <c r="AO72" i="5"/>
  <c r="AN72" i="5"/>
  <c r="AN481" i="5"/>
  <c r="AO481" i="5"/>
  <c r="AO473" i="5"/>
  <c r="AN473" i="5"/>
  <c r="AN472" i="5"/>
  <c r="AO472" i="5"/>
  <c r="AN356" i="5"/>
  <c r="AO356" i="5"/>
  <c r="AO283" i="5"/>
  <c r="AN283" i="5"/>
  <c r="AN231" i="5"/>
  <c r="AO231" i="5"/>
  <c r="AN172" i="5"/>
  <c r="AO172" i="5"/>
  <c r="AN105" i="5"/>
  <c r="AO105" i="5"/>
  <c r="AN43" i="5"/>
  <c r="AO43" i="5"/>
  <c r="AL506" i="5"/>
  <c r="AK506" i="5"/>
  <c r="AK38" i="5"/>
  <c r="AL38" i="5"/>
  <c r="AL501" i="5"/>
  <c r="AK501" i="5"/>
  <c r="AK361" i="5"/>
  <c r="AL361" i="5"/>
  <c r="AK374" i="5"/>
  <c r="AL374" i="5"/>
  <c r="AL297" i="5"/>
  <c r="AK297" i="5"/>
  <c r="AK253" i="5"/>
  <c r="AL253" i="5"/>
  <c r="AL188" i="5"/>
  <c r="AK188" i="5"/>
  <c r="AK135" i="5"/>
  <c r="AL135" i="5"/>
  <c r="AK34" i="5"/>
  <c r="AL34" i="5"/>
  <c r="AK378" i="5"/>
  <c r="AL378" i="5"/>
  <c r="AL543" i="5"/>
  <c r="AK543" i="5"/>
  <c r="AK425" i="5"/>
  <c r="AL425" i="5"/>
  <c r="AK476" i="5"/>
  <c r="AL476" i="5"/>
  <c r="AK426" i="5"/>
  <c r="AL426" i="5"/>
  <c r="AL190" i="5"/>
  <c r="AK190" i="5"/>
  <c r="AL209" i="5"/>
  <c r="AK209" i="5"/>
  <c r="AK174" i="5"/>
  <c r="AL174" i="5"/>
  <c r="AK92" i="5"/>
  <c r="AL92" i="5"/>
  <c r="AK30" i="5"/>
  <c r="AL30" i="5"/>
  <c r="AL160" i="5"/>
  <c r="AK160" i="5"/>
  <c r="AK546" i="5"/>
  <c r="AL546" i="5"/>
  <c r="AK375" i="5"/>
  <c r="AL375" i="5"/>
  <c r="AK430" i="5"/>
  <c r="AL430" i="5"/>
  <c r="AK389" i="5"/>
  <c r="AL389" i="5"/>
  <c r="AL306" i="5"/>
  <c r="AK306" i="5"/>
  <c r="AK175" i="5"/>
  <c r="AL175" i="5"/>
  <c r="AK151" i="5"/>
  <c r="AL151" i="5"/>
  <c r="AK93" i="5"/>
  <c r="AL93" i="5"/>
  <c r="AK23" i="5"/>
  <c r="AL23" i="5"/>
  <c r="AK256" i="5"/>
  <c r="AL256" i="5"/>
  <c r="AL541" i="5"/>
  <c r="AK541" i="5"/>
  <c r="AK351" i="5"/>
  <c r="AL351" i="5"/>
  <c r="AK429" i="5"/>
  <c r="AL429" i="5"/>
  <c r="AK384" i="5"/>
  <c r="AL384" i="5"/>
  <c r="AL301" i="5"/>
  <c r="AK301" i="5"/>
  <c r="AL172" i="5"/>
  <c r="AK172" i="5"/>
  <c r="AK150" i="5"/>
  <c r="AL150" i="5"/>
  <c r="AK85" i="5"/>
  <c r="AL85" i="5"/>
  <c r="AK22" i="5"/>
  <c r="AL22" i="5"/>
  <c r="AK189" i="5"/>
  <c r="AL189" i="5"/>
  <c r="AK369" i="5"/>
  <c r="AL369" i="5"/>
  <c r="AL509" i="5"/>
  <c r="AK509" i="5"/>
  <c r="AL403" i="5"/>
  <c r="AK403" i="5"/>
  <c r="AL357" i="5"/>
  <c r="AK357" i="5"/>
  <c r="AK263" i="5"/>
  <c r="AL263" i="5"/>
  <c r="AL197" i="5"/>
  <c r="AK197" i="5"/>
  <c r="AK114" i="5"/>
  <c r="AL114" i="5"/>
  <c r="AK83" i="5"/>
  <c r="AL83" i="5"/>
  <c r="AL291" i="5"/>
  <c r="AK291" i="5"/>
  <c r="AK116" i="5"/>
  <c r="AL116" i="5"/>
  <c r="AL547" i="5"/>
  <c r="AK547" i="5"/>
  <c r="AK451" i="5"/>
  <c r="AL451" i="5"/>
  <c r="AK264" i="5"/>
  <c r="AL264" i="5"/>
  <c r="AK340" i="5"/>
  <c r="AL340" i="5"/>
  <c r="AL305" i="5"/>
  <c r="AK305" i="5"/>
  <c r="AL194" i="5"/>
  <c r="AK194" i="5"/>
  <c r="AL127" i="5"/>
  <c r="AK127" i="5"/>
  <c r="AL50" i="5"/>
  <c r="AK50" i="5"/>
  <c r="AK47" i="5"/>
  <c r="AL47" i="5"/>
  <c r="AL544" i="5"/>
  <c r="AK544" i="5"/>
  <c r="AK450" i="5"/>
  <c r="AL450" i="5"/>
  <c r="AL259" i="5"/>
  <c r="AK259" i="5"/>
  <c r="AL334" i="5"/>
  <c r="AK334" i="5"/>
  <c r="AL302" i="5"/>
  <c r="AK302" i="5"/>
  <c r="AK162" i="5"/>
  <c r="AL162" i="5"/>
  <c r="AK122" i="5"/>
  <c r="AL122" i="5"/>
  <c r="AK49" i="5"/>
  <c r="AL49" i="5"/>
  <c r="AS50" i="10"/>
  <c r="AS122" i="10"/>
  <c r="AS154" i="10"/>
  <c r="AS219" i="10"/>
  <c r="AS107" i="10"/>
  <c r="AS63" i="10"/>
  <c r="AS95" i="10"/>
  <c r="AS44" i="10"/>
  <c r="AS193" i="10"/>
  <c r="AS260" i="10"/>
  <c r="AS279" i="10"/>
  <c r="AS307" i="10"/>
  <c r="AS306" i="10"/>
  <c r="AS389" i="10"/>
  <c r="AS53" i="10"/>
  <c r="AS69" i="10"/>
  <c r="AS264" i="10"/>
  <c r="AS283" i="10"/>
  <c r="AS311" i="10"/>
  <c r="AS310" i="10"/>
  <c r="AS405" i="10"/>
  <c r="AS57" i="10"/>
  <c r="AS102" i="10"/>
  <c r="AS68" i="10"/>
  <c r="AS367" i="10"/>
  <c r="AS347" i="10"/>
  <c r="AS346" i="10"/>
  <c r="AS504" i="10"/>
  <c r="AS133" i="10"/>
  <c r="AS138" i="10"/>
  <c r="AS100" i="10"/>
  <c r="AS216" i="10"/>
  <c r="AS312" i="10"/>
  <c r="AS396" i="10"/>
  <c r="AS509" i="10"/>
  <c r="AS46" i="10"/>
  <c r="AS205" i="10"/>
  <c r="AS136" i="10"/>
  <c r="AS166" i="10"/>
  <c r="AS348" i="10"/>
  <c r="AS434" i="10"/>
  <c r="AS536" i="10"/>
  <c r="AS38" i="10"/>
  <c r="AS243" i="10"/>
  <c r="AS172" i="10"/>
  <c r="AS202" i="10"/>
  <c r="AS329" i="10"/>
  <c r="AS422" i="10"/>
  <c r="AS51" i="10"/>
  <c r="AS60" i="10"/>
  <c r="AS135" i="10"/>
  <c r="AS207" i="10"/>
  <c r="AS238" i="10"/>
  <c r="AS374" i="10"/>
  <c r="AS411" i="10"/>
  <c r="AS417" i="10"/>
  <c r="AS512" i="10"/>
  <c r="AS393" i="10"/>
  <c r="AS491" i="10"/>
  <c r="AS559" i="10"/>
  <c r="AS477" i="10"/>
  <c r="AS548" i="10"/>
  <c r="AS480" i="10"/>
  <c r="AS546" i="10"/>
  <c r="AS486" i="10"/>
  <c r="AS535" i="10"/>
  <c r="AS463" i="10"/>
  <c r="AS528" i="10"/>
  <c r="AS7" i="10"/>
  <c r="AK13" i="10"/>
  <c r="AL13" i="10"/>
  <c r="AL468" i="10"/>
  <c r="AK468" i="10"/>
  <c r="AK250" i="10"/>
  <c r="AL250" i="10"/>
  <c r="AL506" i="10"/>
  <c r="AK506" i="10"/>
  <c r="AK38" i="10"/>
  <c r="AL38" i="10"/>
  <c r="AL202" i="10"/>
  <c r="AK202" i="10"/>
  <c r="AL279" i="10"/>
  <c r="AK279" i="10"/>
  <c r="AK172" i="10"/>
  <c r="AL172" i="10"/>
  <c r="AL213" i="10"/>
  <c r="AK213" i="10"/>
  <c r="AK46" i="10"/>
  <c r="AL46" i="10"/>
  <c r="AK67" i="10"/>
  <c r="AL67" i="10"/>
  <c r="AK346" i="10"/>
  <c r="AL346" i="10"/>
  <c r="AK338" i="10"/>
  <c r="AL338" i="10"/>
  <c r="AL419" i="10"/>
  <c r="AK419" i="10"/>
  <c r="AK417" i="10"/>
  <c r="AL417" i="10"/>
  <c r="AL296" i="10"/>
  <c r="AK296" i="10"/>
  <c r="AL40" i="10"/>
  <c r="AK40" i="10"/>
  <c r="AK81" i="10"/>
  <c r="AL81" i="10"/>
  <c r="AL203" i="10"/>
  <c r="AK203" i="10"/>
  <c r="AL35" i="10"/>
  <c r="AK35" i="10"/>
  <c r="AL460" i="10"/>
  <c r="AK460" i="10"/>
  <c r="AL527" i="10"/>
  <c r="AK527" i="10"/>
  <c r="AL94" i="10"/>
  <c r="AK94" i="10"/>
  <c r="AK199" i="10"/>
  <c r="AL199" i="10"/>
  <c r="AL132" i="10"/>
  <c r="AK132" i="10"/>
  <c r="AK173" i="10"/>
  <c r="AL173" i="10"/>
  <c r="AK496" i="10"/>
  <c r="AL496" i="10"/>
  <c r="AK497" i="10"/>
  <c r="AL497" i="10"/>
  <c r="AK171" i="10"/>
  <c r="AL171" i="10"/>
  <c r="AL262" i="10"/>
  <c r="AK262" i="10"/>
  <c r="AL366" i="10"/>
  <c r="AK366" i="10"/>
  <c r="AL377" i="10"/>
  <c r="AK377" i="10"/>
  <c r="AL256" i="10"/>
  <c r="AK256" i="10"/>
  <c r="AL297" i="10"/>
  <c r="AK297" i="10"/>
  <c r="AL41" i="10"/>
  <c r="AK41" i="10"/>
  <c r="AL118" i="10"/>
  <c r="AK118" i="10"/>
  <c r="AK548" i="10"/>
  <c r="AL548" i="10"/>
  <c r="AL450" i="10"/>
  <c r="AK450" i="10"/>
  <c r="AK519" i="10"/>
  <c r="AL519" i="10"/>
  <c r="AL74" i="10"/>
  <c r="AK74" i="10"/>
  <c r="AK183" i="10"/>
  <c r="AL183" i="10"/>
  <c r="AK124" i="10"/>
  <c r="AL124" i="10"/>
  <c r="AK165" i="10"/>
  <c r="AL165" i="10"/>
  <c r="AK458" i="10"/>
  <c r="AL458" i="10"/>
  <c r="AK480" i="10"/>
  <c r="AL480" i="10"/>
  <c r="AL130" i="10"/>
  <c r="AK130" i="10"/>
  <c r="AL242" i="10"/>
  <c r="AK242" i="10"/>
  <c r="AK355" i="10"/>
  <c r="AL355" i="10"/>
  <c r="AL369" i="10"/>
  <c r="AK369" i="10"/>
  <c r="AL248" i="10"/>
  <c r="AK248" i="10"/>
  <c r="AL289" i="10"/>
  <c r="AK289" i="10"/>
  <c r="AK33" i="10"/>
  <c r="AL33" i="10"/>
  <c r="AK34" i="10"/>
  <c r="AL34" i="10"/>
  <c r="AL532" i="10"/>
  <c r="AK532" i="10"/>
  <c r="AK439" i="10"/>
  <c r="AL439" i="10"/>
  <c r="AK511" i="10"/>
  <c r="AL511" i="10"/>
  <c r="AK51" i="10"/>
  <c r="AL51" i="10"/>
  <c r="AL167" i="10"/>
  <c r="AK167" i="10"/>
  <c r="AK116" i="10"/>
  <c r="AL116" i="10"/>
  <c r="AK157" i="10"/>
  <c r="AL157" i="10"/>
  <c r="AK415" i="10"/>
  <c r="AL415" i="10"/>
  <c r="AK459" i="10"/>
  <c r="AL459" i="10"/>
  <c r="AL86" i="10"/>
  <c r="AK86" i="10"/>
  <c r="AL219" i="10"/>
  <c r="AK219" i="10"/>
  <c r="AL344" i="10"/>
  <c r="AK344" i="10"/>
  <c r="AK361" i="10"/>
  <c r="AL361" i="10"/>
  <c r="AL240" i="10"/>
  <c r="AK240" i="10"/>
  <c r="AL281" i="10"/>
  <c r="AK281" i="10"/>
  <c r="AK25" i="10"/>
  <c r="AL25" i="10"/>
  <c r="AQ440" i="10"/>
  <c r="AR440" i="10"/>
  <c r="AR75" i="10"/>
  <c r="AQ75" i="10"/>
  <c r="AR287" i="10"/>
  <c r="AQ287" i="10"/>
  <c r="AQ474" i="10"/>
  <c r="AR474" i="10"/>
  <c r="AQ276" i="10"/>
  <c r="AR276" i="10"/>
  <c r="AR509" i="10"/>
  <c r="AQ509" i="10"/>
  <c r="AQ207" i="10"/>
  <c r="AR207" i="10"/>
  <c r="AQ254" i="10"/>
  <c r="AR254" i="10"/>
  <c r="AR217" i="10"/>
  <c r="AQ217" i="10"/>
  <c r="AR353" i="10"/>
  <c r="AQ353" i="10"/>
  <c r="AR20" i="10"/>
  <c r="AQ20" i="10"/>
  <c r="AR185" i="10"/>
  <c r="AQ185" i="10"/>
  <c r="AR448" i="10"/>
  <c r="AQ448" i="10"/>
  <c r="AR48" i="10"/>
  <c r="AQ48" i="10"/>
  <c r="AQ271" i="10"/>
  <c r="AR271" i="10"/>
  <c r="AQ395" i="10"/>
  <c r="AR395" i="10"/>
  <c r="AR260" i="10"/>
  <c r="AQ260" i="10"/>
  <c r="AQ522" i="10"/>
  <c r="AR522" i="10"/>
  <c r="AR175" i="10"/>
  <c r="AQ175" i="10"/>
  <c r="AQ270" i="10"/>
  <c r="AR270" i="10"/>
  <c r="AR225" i="10"/>
  <c r="AQ225" i="10"/>
  <c r="AQ394" i="10"/>
  <c r="AR394" i="10"/>
  <c r="AR384" i="10"/>
  <c r="AQ384" i="10"/>
  <c r="AQ178" i="10"/>
  <c r="AR178" i="10"/>
  <c r="AQ433" i="10"/>
  <c r="AR433" i="10"/>
  <c r="AR513" i="10"/>
  <c r="AQ513" i="10"/>
  <c r="AR337" i="10"/>
  <c r="AQ337" i="10"/>
  <c r="AR30" i="10"/>
  <c r="AQ30" i="10"/>
  <c r="AR193" i="10"/>
  <c r="AQ193" i="10"/>
  <c r="AR455" i="10"/>
  <c r="AQ455" i="10"/>
  <c r="AN10" i="5"/>
  <c r="AO10" i="5"/>
  <c r="AN398" i="5"/>
  <c r="AO398" i="5"/>
  <c r="AN503" i="5"/>
  <c r="AO503" i="5"/>
  <c r="AN377" i="5"/>
  <c r="AO377" i="5"/>
  <c r="AN424" i="5"/>
  <c r="AO424" i="5"/>
  <c r="AO309" i="5"/>
  <c r="AN309" i="5"/>
  <c r="AO407" i="5"/>
  <c r="AN407" i="5"/>
  <c r="AO275" i="5"/>
  <c r="AN275" i="5"/>
  <c r="AO544" i="5"/>
  <c r="AN544" i="5"/>
  <c r="AN268" i="5"/>
  <c r="AO268" i="5"/>
  <c r="AN524" i="5"/>
  <c r="AO524" i="5"/>
  <c r="AO248" i="5"/>
  <c r="AN248" i="5"/>
  <c r="AN448" i="5"/>
  <c r="AO448" i="5"/>
  <c r="AN321" i="5"/>
  <c r="AO321" i="5"/>
  <c r="AO288" i="5"/>
  <c r="AN288" i="5"/>
  <c r="AN136" i="5"/>
  <c r="AO136" i="5"/>
  <c r="AO117" i="5"/>
  <c r="AN117" i="5"/>
  <c r="AO52" i="5"/>
  <c r="AN52" i="5"/>
  <c r="AO551" i="5"/>
  <c r="AN551" i="5"/>
  <c r="AN463" i="5"/>
  <c r="AO463" i="5"/>
  <c r="AN459" i="5"/>
  <c r="AO459" i="5"/>
  <c r="AO334" i="5"/>
  <c r="AN334" i="5"/>
  <c r="AN265" i="5"/>
  <c r="AO265" i="5"/>
  <c r="AN200" i="5"/>
  <c r="AO200" i="5"/>
  <c r="AO164" i="5"/>
  <c r="AN164" i="5"/>
  <c r="AN98" i="5"/>
  <c r="AO98" i="5"/>
  <c r="AO27" i="5"/>
  <c r="AN27" i="5"/>
  <c r="AO456" i="5"/>
  <c r="AN456" i="5"/>
  <c r="AN498" i="5"/>
  <c r="AO498" i="5"/>
  <c r="AN349" i="5"/>
  <c r="AO349" i="5"/>
  <c r="AN367" i="5"/>
  <c r="AO367" i="5"/>
  <c r="AN256" i="5"/>
  <c r="AO256" i="5"/>
  <c r="AO236" i="5"/>
  <c r="AN236" i="5"/>
  <c r="AO107" i="5"/>
  <c r="AN107" i="5"/>
  <c r="AO53" i="5"/>
  <c r="AN53" i="5"/>
  <c r="AN549" i="5"/>
  <c r="AO549" i="5"/>
  <c r="AO454" i="5"/>
  <c r="AN454" i="5"/>
  <c r="AO457" i="5"/>
  <c r="AN457" i="5"/>
  <c r="AN293" i="5"/>
  <c r="AO293" i="5"/>
  <c r="AN257" i="5"/>
  <c r="AO257" i="5"/>
  <c r="AN186" i="5"/>
  <c r="AO186" i="5"/>
  <c r="AO153" i="5"/>
  <c r="AN153" i="5"/>
  <c r="AN96" i="5"/>
  <c r="AO96" i="5"/>
  <c r="AN25" i="5"/>
  <c r="AO25" i="5"/>
  <c r="AO453" i="5"/>
  <c r="AN453" i="5"/>
  <c r="AN452" i="5"/>
  <c r="AO452" i="5"/>
  <c r="AO277" i="5"/>
  <c r="AN277" i="5"/>
  <c r="AO255" i="5"/>
  <c r="AN255" i="5"/>
  <c r="AO184" i="5"/>
  <c r="AN184" i="5"/>
  <c r="AN150" i="5"/>
  <c r="AO150" i="5"/>
  <c r="AN95" i="5"/>
  <c r="AO95" i="5"/>
  <c r="AO22" i="5"/>
  <c r="AN22" i="5"/>
  <c r="AN539" i="5"/>
  <c r="AO539" i="5"/>
  <c r="AN447" i="5"/>
  <c r="AO447" i="5"/>
  <c r="AO273" i="5"/>
  <c r="AN273" i="5"/>
  <c r="AN206" i="5"/>
  <c r="AO206" i="5"/>
  <c r="AO300" i="5"/>
  <c r="AN300" i="5"/>
  <c r="AN174" i="5"/>
  <c r="AO174" i="5"/>
  <c r="AN125" i="5"/>
  <c r="AO125" i="5"/>
  <c r="AN51" i="5"/>
  <c r="AO51" i="5"/>
  <c r="AO538" i="5"/>
  <c r="AN538" i="5"/>
  <c r="AO444" i="5"/>
  <c r="AN444" i="5"/>
  <c r="AN422" i="5"/>
  <c r="AO422" i="5"/>
  <c r="AO252" i="5"/>
  <c r="AN252" i="5"/>
  <c r="AO249" i="5"/>
  <c r="AN249" i="5"/>
  <c r="AO161" i="5"/>
  <c r="AN161" i="5"/>
  <c r="AN116" i="5"/>
  <c r="AO116" i="5"/>
  <c r="AO91" i="5"/>
  <c r="AN91" i="5"/>
  <c r="AO40" i="5"/>
  <c r="AN40" i="5"/>
  <c r="AK368" i="5"/>
  <c r="AL368" i="5"/>
  <c r="AK545" i="5"/>
  <c r="AL545" i="5"/>
  <c r="AL460" i="5"/>
  <c r="AK460" i="5"/>
  <c r="AK505" i="5"/>
  <c r="AL505" i="5"/>
  <c r="AL341" i="5"/>
  <c r="AK341" i="5"/>
  <c r="AK270" i="5"/>
  <c r="AL270" i="5"/>
  <c r="AK241" i="5"/>
  <c r="AL241" i="5"/>
  <c r="AK183" i="5"/>
  <c r="AL183" i="5"/>
  <c r="AL111" i="5"/>
  <c r="AK111" i="5"/>
  <c r="AK32" i="5"/>
  <c r="AL32" i="5"/>
  <c r="AK281" i="5"/>
  <c r="AL281" i="5"/>
  <c r="AL475" i="5"/>
  <c r="AK475" i="5"/>
  <c r="AL393" i="5"/>
  <c r="AK393" i="5"/>
  <c r="AL440" i="5"/>
  <c r="AK440" i="5"/>
  <c r="AL390" i="5"/>
  <c r="AK390" i="5"/>
  <c r="AK309" i="5"/>
  <c r="AL309" i="5"/>
  <c r="AK181" i="5"/>
  <c r="AL181" i="5"/>
  <c r="AL154" i="5"/>
  <c r="AK154" i="5"/>
  <c r="AL94" i="5"/>
  <c r="AK94" i="5"/>
  <c r="AK25" i="5"/>
  <c r="AL25" i="5"/>
  <c r="AL68" i="5"/>
  <c r="AK68" i="5"/>
  <c r="AK468" i="5"/>
  <c r="AL468" i="5"/>
  <c r="AL513" i="5"/>
  <c r="AK513" i="5"/>
  <c r="AK407" i="5"/>
  <c r="AL407" i="5"/>
  <c r="AK363" i="5"/>
  <c r="AL363" i="5"/>
  <c r="AK268" i="5"/>
  <c r="AL268" i="5"/>
  <c r="AL202" i="5"/>
  <c r="AK202" i="5"/>
  <c r="AK123" i="5"/>
  <c r="AL123" i="5"/>
  <c r="AL91" i="5"/>
  <c r="AK91" i="5"/>
  <c r="AM13" i="5"/>
  <c r="T13" i="5"/>
  <c r="AJ13" i="5"/>
  <c r="AG13" i="5"/>
  <c r="W13" i="5"/>
  <c r="Q13" i="5"/>
  <c r="Z13" i="5"/>
  <c r="AK217" i="5"/>
  <c r="AL217" i="5"/>
  <c r="AK462" i="5"/>
  <c r="AL462" i="5"/>
  <c r="AK510" i="5"/>
  <c r="AL510" i="5"/>
  <c r="AL405" i="5"/>
  <c r="AK405" i="5"/>
  <c r="AL359" i="5"/>
  <c r="AK359" i="5"/>
  <c r="AK265" i="5"/>
  <c r="AL265" i="5"/>
  <c r="AL199" i="5"/>
  <c r="AK199" i="5"/>
  <c r="AL121" i="5"/>
  <c r="AK121" i="5"/>
  <c r="AL88" i="5"/>
  <c r="AK88" i="5"/>
  <c r="AL548" i="5"/>
  <c r="AK548" i="5"/>
  <c r="AK180" i="5"/>
  <c r="AL180" i="5"/>
  <c r="AL452" i="5"/>
  <c r="AK452" i="5"/>
  <c r="AL488" i="5"/>
  <c r="AK488" i="5"/>
  <c r="AK381" i="5"/>
  <c r="AL381" i="5"/>
  <c r="AL313" i="5"/>
  <c r="AK313" i="5"/>
  <c r="AL225" i="5"/>
  <c r="AK225" i="5"/>
  <c r="AK226" i="5"/>
  <c r="AL226" i="5"/>
  <c r="AK157" i="5"/>
  <c r="AL157" i="5"/>
  <c r="AK40" i="5"/>
  <c r="AL40" i="5"/>
  <c r="AL502" i="5"/>
  <c r="AK502" i="5"/>
  <c r="AK71" i="5"/>
  <c r="AL71" i="5"/>
  <c r="AK527" i="5"/>
  <c r="AL527" i="5"/>
  <c r="AL418" i="5"/>
  <c r="AK418" i="5"/>
  <c r="AK394" i="5"/>
  <c r="AL394" i="5"/>
  <c r="AK308" i="5"/>
  <c r="AL308" i="5"/>
  <c r="AK269" i="5"/>
  <c r="AL269" i="5"/>
  <c r="AK200" i="5"/>
  <c r="AL200" i="5"/>
  <c r="AK149" i="5"/>
  <c r="AL149" i="5"/>
  <c r="AK55" i="5"/>
  <c r="AL55" i="5"/>
  <c r="AL19" i="5"/>
  <c r="AK19" i="5"/>
  <c r="AK526" i="5"/>
  <c r="AL526" i="5"/>
  <c r="AK373" i="5"/>
  <c r="AL373" i="5"/>
  <c r="AK388" i="5"/>
  <c r="AL388" i="5"/>
  <c r="AL304" i="5"/>
  <c r="AK304" i="5"/>
  <c r="AK262" i="5"/>
  <c r="AL262" i="5"/>
  <c r="AK196" i="5"/>
  <c r="AL196" i="5"/>
  <c r="AL146" i="5"/>
  <c r="AK146" i="5"/>
  <c r="AK53" i="5"/>
  <c r="AL53" i="5"/>
  <c r="AS90" i="10"/>
  <c r="AS84" i="10"/>
  <c r="AS116" i="10"/>
  <c r="AS148" i="10"/>
  <c r="AS180" i="10"/>
  <c r="AS139" i="10"/>
  <c r="AS171" i="10"/>
  <c r="AS52" i="10"/>
  <c r="AS94" i="10"/>
  <c r="AS292" i="10"/>
  <c r="AS363" i="10"/>
  <c r="AS339" i="10"/>
  <c r="AS338" i="10"/>
  <c r="AS489" i="10"/>
  <c r="AS54" i="10"/>
  <c r="AS98" i="10"/>
  <c r="AS296" i="10"/>
  <c r="AS364" i="10"/>
  <c r="AS343" i="10"/>
  <c r="AS342" i="10"/>
  <c r="AS455" i="10"/>
  <c r="AS129" i="10"/>
  <c r="AS134" i="10"/>
  <c r="AS96" i="10"/>
  <c r="AS212" i="10"/>
  <c r="AS308" i="10"/>
  <c r="AS392" i="10"/>
  <c r="AS515" i="10"/>
  <c r="AS376" i="10"/>
  <c r="AS201" i="10"/>
  <c r="AS132" i="10"/>
  <c r="AS304" i="10"/>
  <c r="AS344" i="10"/>
  <c r="AS428" i="10"/>
  <c r="AS550" i="10"/>
  <c r="AS35" i="10"/>
  <c r="AS239" i="10"/>
  <c r="AS168" i="10"/>
  <c r="AS198" i="10"/>
  <c r="AS325" i="10"/>
  <c r="AS418" i="10"/>
  <c r="AS36" i="10"/>
  <c r="AS58" i="10"/>
  <c r="AS131" i="10"/>
  <c r="AS203" i="10"/>
  <c r="AS234" i="10"/>
  <c r="AS370" i="10"/>
  <c r="AS407" i="10"/>
  <c r="AS64" i="10"/>
  <c r="AS91" i="10"/>
  <c r="AS167" i="10"/>
  <c r="AS237" i="10"/>
  <c r="AS269" i="10"/>
  <c r="AS266" i="10"/>
  <c r="AS443" i="10"/>
  <c r="AS436" i="10"/>
  <c r="AS529" i="10"/>
  <c r="AS425" i="10"/>
  <c r="AS519" i="10"/>
  <c r="AS397" i="10"/>
  <c r="AS494" i="10"/>
  <c r="AS369" i="10"/>
  <c r="AS481" i="10"/>
  <c r="AS556" i="10"/>
  <c r="AS457" i="10"/>
  <c r="AS557" i="10"/>
  <c r="AS490" i="10"/>
  <c r="AS542" i="10"/>
  <c r="AT13" i="10"/>
  <c r="AU13" i="10"/>
  <c r="AL7" i="10"/>
  <c r="AK7" i="10"/>
  <c r="AK290" i="10"/>
  <c r="AL290" i="10"/>
  <c r="AL78" i="10"/>
  <c r="AK78" i="10"/>
  <c r="AK471" i="10"/>
  <c r="AL471" i="10"/>
  <c r="AK535" i="10"/>
  <c r="AL535" i="10"/>
  <c r="AL115" i="10"/>
  <c r="AK115" i="10"/>
  <c r="AL215" i="10"/>
  <c r="AK215" i="10"/>
  <c r="AL140" i="10"/>
  <c r="AK140" i="10"/>
  <c r="AK181" i="10"/>
  <c r="AL181" i="10"/>
  <c r="AL528" i="10"/>
  <c r="AK528" i="10"/>
  <c r="AL513" i="10"/>
  <c r="AK513" i="10"/>
  <c r="AK214" i="10"/>
  <c r="AL214" i="10"/>
  <c r="AK283" i="10"/>
  <c r="AL283" i="10"/>
  <c r="AK376" i="10"/>
  <c r="AL376" i="10"/>
  <c r="AL385" i="10"/>
  <c r="AK385" i="10"/>
  <c r="AL264" i="10"/>
  <c r="AK264" i="10"/>
  <c r="AL305" i="10"/>
  <c r="AK305" i="10"/>
  <c r="AK49" i="10"/>
  <c r="AL49" i="10"/>
  <c r="AK501" i="10"/>
  <c r="AL501" i="10"/>
  <c r="AK500" i="10"/>
  <c r="AL500" i="10"/>
  <c r="AK418" i="10"/>
  <c r="AL418" i="10"/>
  <c r="AK495" i="10"/>
  <c r="AL495" i="10"/>
  <c r="AL477" i="10"/>
  <c r="AK477" i="10"/>
  <c r="AL135" i="10"/>
  <c r="AK135" i="10"/>
  <c r="AK100" i="10"/>
  <c r="AL100" i="10"/>
  <c r="AL141" i="10"/>
  <c r="AK141" i="10"/>
  <c r="AL330" i="10"/>
  <c r="AK330" i="10"/>
  <c r="AL416" i="10"/>
  <c r="AK416" i="10"/>
  <c r="AL558" i="10"/>
  <c r="AK558" i="10"/>
  <c r="AK178" i="10"/>
  <c r="AL178" i="10"/>
  <c r="AK323" i="10"/>
  <c r="AL323" i="10"/>
  <c r="AK345" i="10"/>
  <c r="AL345" i="10"/>
  <c r="AK224" i="10"/>
  <c r="AL224" i="10"/>
  <c r="AK265" i="10"/>
  <c r="AL265" i="10"/>
  <c r="AK454" i="10"/>
  <c r="AL454" i="10"/>
  <c r="AL464" i="10"/>
  <c r="AK464" i="10"/>
  <c r="AK484" i="10"/>
  <c r="AL484" i="10"/>
  <c r="AK407" i="10"/>
  <c r="AL407" i="10"/>
  <c r="AL487" i="10"/>
  <c r="AK487" i="10"/>
  <c r="AL469" i="10"/>
  <c r="AK469" i="10"/>
  <c r="AK119" i="10"/>
  <c r="AL119" i="10"/>
  <c r="AL92" i="10"/>
  <c r="AK92" i="10"/>
  <c r="AL133" i="10"/>
  <c r="AK133" i="10"/>
  <c r="AK267" i="10"/>
  <c r="AL267" i="10"/>
  <c r="AK395" i="10"/>
  <c r="AL395" i="10"/>
  <c r="AK550" i="10"/>
  <c r="AL550" i="10"/>
  <c r="AK155" i="10"/>
  <c r="AL155" i="10"/>
  <c r="AK311" i="10"/>
  <c r="AL311" i="10"/>
  <c r="AK337" i="10"/>
  <c r="AL337" i="10"/>
  <c r="AL216" i="10"/>
  <c r="AK216" i="10"/>
  <c r="AL257" i="10"/>
  <c r="AK257" i="10"/>
  <c r="AL525" i="10"/>
  <c r="AK525" i="10"/>
  <c r="AL422" i="10"/>
  <c r="AK422" i="10"/>
  <c r="AK463" i="10"/>
  <c r="AL463" i="10"/>
  <c r="AL396" i="10"/>
  <c r="AK396" i="10"/>
  <c r="AK478" i="10"/>
  <c r="AL478" i="10"/>
  <c r="AL461" i="10"/>
  <c r="AK461" i="10"/>
  <c r="AK103" i="10"/>
  <c r="AL103" i="10"/>
  <c r="AL84" i="10"/>
  <c r="AK84" i="10"/>
  <c r="AL125" i="10"/>
  <c r="AK125" i="10"/>
  <c r="AL182" i="10"/>
  <c r="AK182" i="10"/>
  <c r="AL374" i="10"/>
  <c r="AK374" i="10"/>
  <c r="AK542" i="10"/>
  <c r="AL542" i="10"/>
  <c r="AK134" i="10"/>
  <c r="AL134" i="10"/>
  <c r="AL298" i="10"/>
  <c r="AK298" i="10"/>
  <c r="AL329" i="10"/>
  <c r="AK329" i="10"/>
  <c r="AK208" i="10"/>
  <c r="AL208" i="10"/>
  <c r="AL249" i="10"/>
  <c r="AK249" i="10"/>
  <c r="AA13" i="10"/>
  <c r="AB13" i="10"/>
  <c r="AN11" i="10"/>
  <c r="AO11" i="10"/>
  <c r="AN452" i="10"/>
  <c r="AO452" i="10"/>
  <c r="AO139" i="10"/>
  <c r="AN139" i="10"/>
  <c r="AO350" i="10"/>
  <c r="AN350" i="10"/>
  <c r="AO508" i="10"/>
  <c r="AN508" i="10"/>
  <c r="AN207" i="10"/>
  <c r="AO207" i="10"/>
  <c r="AN194" i="10"/>
  <c r="AO194" i="10"/>
  <c r="AO32" i="10"/>
  <c r="AN32" i="10"/>
  <c r="AN458" i="10"/>
  <c r="AO458" i="10"/>
  <c r="AN369" i="10"/>
  <c r="AO369" i="10"/>
  <c r="AN28" i="10"/>
  <c r="AO28" i="10"/>
  <c r="AH499" i="5"/>
  <c r="AP499" i="5"/>
  <c r="AI499" i="5"/>
  <c r="AI528" i="5"/>
  <c r="AH528" i="5"/>
  <c r="AP528" i="5"/>
  <c r="AH524" i="5"/>
  <c r="AP524" i="5"/>
  <c r="AI524" i="5"/>
  <c r="AI526" i="5"/>
  <c r="AP526" i="5"/>
  <c r="AH526" i="5"/>
  <c r="AI477" i="5"/>
  <c r="AH477" i="5"/>
  <c r="AP477" i="5"/>
  <c r="AI447" i="5"/>
  <c r="AH447" i="5"/>
  <c r="AP447" i="5"/>
  <c r="AI129" i="5"/>
  <c r="AH129" i="5"/>
  <c r="AP129" i="5"/>
  <c r="AP99" i="5"/>
  <c r="AH99" i="5"/>
  <c r="AI99" i="5"/>
  <c r="AQ120" i="10"/>
  <c r="AR120" i="10"/>
  <c r="AQ186" i="10"/>
  <c r="AR186" i="10"/>
  <c r="AR252" i="10"/>
  <c r="AQ252" i="10"/>
  <c r="AR229" i="10"/>
  <c r="AQ229" i="10"/>
  <c r="AO67" i="5"/>
  <c r="AN67" i="5"/>
  <c r="AN401" i="5"/>
  <c r="AO401" i="5"/>
  <c r="AO89" i="5"/>
  <c r="AN89" i="5"/>
  <c r="AN318" i="5"/>
  <c r="AO318" i="5"/>
  <c r="AN533" i="5"/>
  <c r="AO533" i="5"/>
  <c r="AO302" i="5"/>
  <c r="AN302" i="5"/>
  <c r="AO462" i="5"/>
  <c r="AN462" i="5"/>
  <c r="AN545" i="5"/>
  <c r="AO545" i="5"/>
  <c r="AN141" i="5"/>
  <c r="AO141" i="5"/>
  <c r="AK143" i="5"/>
  <c r="AL143" i="5"/>
  <c r="AL271" i="5"/>
  <c r="AK271" i="5"/>
  <c r="AL293" i="5"/>
  <c r="AK293" i="5"/>
  <c r="AL234" i="5"/>
  <c r="AK234" i="5"/>
  <c r="AU387" i="10"/>
  <c r="AT387" i="10"/>
  <c r="AV387" i="10"/>
  <c r="AN8" i="10"/>
  <c r="AO8" i="10"/>
  <c r="AO313" i="10"/>
  <c r="AN313" i="10"/>
  <c r="AO192" i="10"/>
  <c r="AN192" i="10"/>
  <c r="AO256" i="10"/>
  <c r="AN256" i="10"/>
  <c r="AN443" i="10"/>
  <c r="AO443" i="10"/>
  <c r="AO314" i="10"/>
  <c r="AN314" i="10"/>
  <c r="AN457" i="10"/>
  <c r="AO457" i="10"/>
  <c r="AN410" i="10"/>
  <c r="AO410" i="10"/>
  <c r="AO448" i="10"/>
  <c r="AN448" i="10"/>
  <c r="AN407" i="10"/>
  <c r="AO407" i="10"/>
  <c r="AO339" i="10"/>
  <c r="AN339" i="10"/>
  <c r="AN498" i="10"/>
  <c r="AO498" i="10"/>
  <c r="AO405" i="10"/>
  <c r="AN405" i="10"/>
  <c r="AO335" i="10"/>
  <c r="AN335" i="10"/>
  <c r="AO181" i="10"/>
  <c r="AN181" i="10"/>
  <c r="AO388" i="10"/>
  <c r="AN388" i="10"/>
  <c r="AO99" i="10"/>
  <c r="AN99" i="10"/>
  <c r="AN399" i="10"/>
  <c r="AO399" i="10"/>
  <c r="AN320" i="10"/>
  <c r="AO320" i="10"/>
  <c r="AN329" i="10"/>
  <c r="AO329" i="10"/>
  <c r="AO21" i="10"/>
  <c r="AN21" i="10"/>
  <c r="AO38" i="10"/>
  <c r="AN38" i="10"/>
  <c r="AO60" i="10"/>
  <c r="AN60" i="10"/>
  <c r="AN130" i="10"/>
  <c r="AO130" i="10"/>
  <c r="AN114" i="10"/>
  <c r="AO114" i="10"/>
  <c r="AI455" i="5"/>
  <c r="AH455" i="5"/>
  <c r="AP455" i="5"/>
  <c r="AP307" i="5"/>
  <c r="AI307" i="5"/>
  <c r="AH307" i="5"/>
  <c r="AI486" i="5"/>
  <c r="AH486" i="5"/>
  <c r="AP486" i="5"/>
  <c r="AI195" i="5"/>
  <c r="AH195" i="5"/>
  <c r="AP195" i="5"/>
  <c r="AI491" i="5"/>
  <c r="AH491" i="5"/>
  <c r="AP491" i="5"/>
  <c r="AH183" i="5"/>
  <c r="AP183" i="5"/>
  <c r="AI183" i="5"/>
  <c r="AH550" i="5"/>
  <c r="AP550" i="5"/>
  <c r="AI550" i="5"/>
  <c r="AH87" i="5"/>
  <c r="AI87" i="5"/>
  <c r="AP87" i="5"/>
  <c r="AP448" i="5"/>
  <c r="AI448" i="5"/>
  <c r="AH448" i="5"/>
  <c r="AH311" i="5"/>
  <c r="AP311" i="5"/>
  <c r="AI311" i="5"/>
  <c r="AP426" i="5"/>
  <c r="AI426" i="5"/>
  <c r="AH426" i="5"/>
  <c r="AI424" i="5"/>
  <c r="AP424" i="5"/>
  <c r="AH424" i="5"/>
  <c r="AH511" i="5"/>
  <c r="AP511" i="5"/>
  <c r="AI511" i="5"/>
  <c r="AI298" i="5"/>
  <c r="AH298" i="5"/>
  <c r="AP298" i="5"/>
  <c r="AP269" i="5"/>
  <c r="AH269" i="5"/>
  <c r="AI269" i="5"/>
  <c r="AH40" i="5"/>
  <c r="AI40" i="5"/>
  <c r="AP40" i="5"/>
  <c r="AI58" i="5"/>
  <c r="AH58" i="5"/>
  <c r="AP58" i="5"/>
  <c r="AH135" i="5"/>
  <c r="AI135" i="5"/>
  <c r="AP135" i="5"/>
  <c r="AI325" i="5"/>
  <c r="AP325" i="5"/>
  <c r="AH325" i="5"/>
  <c r="AH107" i="5"/>
  <c r="AI107" i="5"/>
  <c r="AP107" i="5"/>
  <c r="AP319" i="5"/>
  <c r="AI319" i="5"/>
  <c r="AH319" i="5"/>
  <c r="AH112" i="5"/>
  <c r="AI112" i="5"/>
  <c r="AP112" i="5"/>
  <c r="AP44" i="5"/>
  <c r="AH44" i="5"/>
  <c r="AI44" i="5"/>
  <c r="AR396" i="10"/>
  <c r="AQ396" i="10"/>
  <c r="AQ203" i="10"/>
  <c r="AR203" i="10"/>
  <c r="AQ557" i="10"/>
  <c r="AR557" i="10"/>
  <c r="AQ539" i="10"/>
  <c r="AR539" i="10"/>
  <c r="AQ41" i="10"/>
  <c r="AR41" i="10"/>
  <c r="AR468" i="10"/>
  <c r="AQ468" i="10"/>
  <c r="AR93" i="10"/>
  <c r="AQ93" i="10"/>
  <c r="AR380" i="10"/>
  <c r="AQ380" i="10"/>
  <c r="AR498" i="10"/>
  <c r="AQ498" i="10"/>
  <c r="AQ31" i="10"/>
  <c r="AR31" i="10"/>
  <c r="AQ303" i="10"/>
  <c r="AR303" i="10"/>
  <c r="AR480" i="10"/>
  <c r="AQ480" i="10"/>
  <c r="AR292" i="10"/>
  <c r="AQ292" i="10"/>
  <c r="AR526" i="10"/>
  <c r="AQ526" i="10"/>
  <c r="AQ112" i="10"/>
  <c r="AR112" i="10"/>
  <c r="AM12" i="10"/>
  <c r="T12" i="10"/>
  <c r="AG12" i="10"/>
  <c r="AP12" i="10"/>
  <c r="W12" i="10"/>
  <c r="Q12" i="10"/>
  <c r="Z12" i="10"/>
  <c r="AQ209" i="10"/>
  <c r="AR209" i="10"/>
  <c r="AQ487" i="10"/>
  <c r="AR487" i="10"/>
  <c r="AR416" i="10"/>
  <c r="AQ416" i="10"/>
  <c r="AR25" i="10"/>
  <c r="AQ25" i="10"/>
  <c r="AQ419" i="10"/>
  <c r="AR419" i="10"/>
  <c r="AQ44" i="10"/>
  <c r="AR44" i="10"/>
  <c r="AR369" i="10"/>
  <c r="AQ369" i="10"/>
  <c r="AQ46" i="10"/>
  <c r="AR46" i="10"/>
  <c r="AQ177" i="10"/>
  <c r="AR177" i="10"/>
  <c r="AN450" i="10"/>
  <c r="AO450" i="10"/>
  <c r="AN436" i="10"/>
  <c r="AO436" i="10"/>
  <c r="AO282" i="10"/>
  <c r="AN282" i="10"/>
  <c r="AO290" i="10"/>
  <c r="AN290" i="10"/>
  <c r="AN188" i="10"/>
  <c r="AO188" i="10"/>
  <c r="AN513" i="10"/>
  <c r="AO513" i="10"/>
  <c r="AN548" i="10"/>
  <c r="AO548" i="10"/>
  <c r="AN534" i="10"/>
  <c r="AO534" i="10"/>
  <c r="AO225" i="10"/>
  <c r="AN225" i="10"/>
  <c r="AO211" i="10"/>
  <c r="AN211" i="10"/>
  <c r="AN217" i="10"/>
  <c r="AO217" i="10"/>
  <c r="AN517" i="10"/>
  <c r="AO517" i="10"/>
  <c r="AN371" i="10"/>
  <c r="AO371" i="10"/>
  <c r="AN411" i="10"/>
  <c r="AO411" i="10"/>
  <c r="AO544" i="10"/>
  <c r="AN544" i="10"/>
  <c r="AN522" i="10"/>
  <c r="AO522" i="10"/>
  <c r="AO218" i="10"/>
  <c r="AN218" i="10"/>
  <c r="AN209" i="10"/>
  <c r="AO209" i="10"/>
  <c r="AO212" i="10"/>
  <c r="AN212" i="10"/>
  <c r="AN485" i="10"/>
  <c r="AO485" i="10"/>
  <c r="AO413" i="10"/>
  <c r="AN413" i="10"/>
  <c r="AN495" i="10"/>
  <c r="AO495" i="10"/>
  <c r="AO348" i="10"/>
  <c r="AN348" i="10"/>
  <c r="AN343" i="10"/>
  <c r="AO343" i="10"/>
  <c r="AN62" i="10"/>
  <c r="AO62" i="10"/>
  <c r="AN537" i="10"/>
  <c r="AO537" i="10"/>
  <c r="AN501" i="10"/>
  <c r="AO501" i="10"/>
  <c r="AN530" i="10"/>
  <c r="AO530" i="10"/>
  <c r="AN386" i="10"/>
  <c r="AO386" i="10"/>
  <c r="AN459" i="10"/>
  <c r="AO459" i="10"/>
  <c r="AO300" i="10"/>
  <c r="AN300" i="10"/>
  <c r="AN307" i="10"/>
  <c r="AO307" i="10"/>
  <c r="AO251" i="10"/>
  <c r="AN251" i="10"/>
  <c r="AN505" i="10"/>
  <c r="AO505" i="10"/>
  <c r="AO497" i="10"/>
  <c r="AN497" i="10"/>
  <c r="AN514" i="10"/>
  <c r="AO514" i="10"/>
  <c r="AO383" i="10"/>
  <c r="AN383" i="10"/>
  <c r="AN455" i="10"/>
  <c r="AO455" i="10"/>
  <c r="AO296" i="10"/>
  <c r="AN296" i="10"/>
  <c r="AN303" i="10"/>
  <c r="AO303" i="10"/>
  <c r="AN235" i="10"/>
  <c r="AO235" i="10"/>
  <c r="AN473" i="10"/>
  <c r="AO473" i="10"/>
  <c r="AN525" i="10"/>
  <c r="AO525" i="10"/>
  <c r="AO115" i="10"/>
  <c r="AN115" i="10"/>
  <c r="AN402" i="10"/>
  <c r="AO402" i="10"/>
  <c r="AN483" i="10"/>
  <c r="AO483" i="10"/>
  <c r="AO324" i="10"/>
  <c r="AN324" i="10"/>
  <c r="AN331" i="10"/>
  <c r="AO331" i="10"/>
  <c r="AN345" i="10"/>
  <c r="AO345" i="10"/>
  <c r="AN494" i="10"/>
  <c r="AO494" i="10"/>
  <c r="AO378" i="10"/>
  <c r="AN378" i="10"/>
  <c r="AO444" i="10"/>
  <c r="AN444" i="10"/>
  <c r="AN287" i="10"/>
  <c r="AO287" i="10"/>
  <c r="AN295" i="10"/>
  <c r="AO295" i="10"/>
  <c r="AN208" i="10"/>
  <c r="AO208" i="10"/>
  <c r="AN184" i="10"/>
  <c r="AO184" i="10"/>
  <c r="AN56" i="10"/>
  <c r="AO56" i="10"/>
  <c r="AO219" i="10"/>
  <c r="AN219" i="10"/>
  <c r="AN82" i="10"/>
  <c r="AO82" i="10"/>
  <c r="AO213" i="10"/>
  <c r="AN213" i="10"/>
  <c r="AN79" i="10"/>
  <c r="AO79" i="10"/>
  <c r="AO357" i="10"/>
  <c r="AN357" i="10"/>
  <c r="AO86" i="10"/>
  <c r="AN86" i="10"/>
  <c r="AN353" i="10"/>
  <c r="AO353" i="10"/>
  <c r="AN84" i="10"/>
  <c r="AO84" i="10"/>
  <c r="AO349" i="10"/>
  <c r="AN349" i="10"/>
  <c r="AO81" i="10"/>
  <c r="AN81" i="10"/>
  <c r="AN70" i="10"/>
  <c r="AO70" i="10"/>
  <c r="AP10" i="5"/>
  <c r="AI10" i="5"/>
  <c r="AH10" i="5"/>
  <c r="AI126" i="5"/>
  <c r="AH126" i="5"/>
  <c r="AP126" i="5"/>
  <c r="AI535" i="5"/>
  <c r="AH535" i="5"/>
  <c r="AP535" i="5"/>
  <c r="AI464" i="5"/>
  <c r="AP464" i="5"/>
  <c r="AH464" i="5"/>
  <c r="AP361" i="5"/>
  <c r="AH361" i="5"/>
  <c r="AI361" i="5"/>
  <c r="AH200" i="5"/>
  <c r="AI200" i="5"/>
  <c r="AP200" i="5"/>
  <c r="AI84" i="5"/>
  <c r="AH84" i="5"/>
  <c r="AP84" i="5"/>
  <c r="AI469" i="5"/>
  <c r="AH469" i="5"/>
  <c r="AP469" i="5"/>
  <c r="AP377" i="5"/>
  <c r="AI377" i="5"/>
  <c r="AH377" i="5"/>
  <c r="AI459" i="5"/>
  <c r="AH459" i="5"/>
  <c r="AP459" i="5"/>
  <c r="AI412" i="5"/>
  <c r="AH412" i="5"/>
  <c r="AP412" i="5"/>
  <c r="AP398" i="5"/>
  <c r="AI398" i="5"/>
  <c r="AH398" i="5"/>
  <c r="AP234" i="5"/>
  <c r="AH234" i="5"/>
  <c r="AI234" i="5"/>
  <c r="AP38" i="5"/>
  <c r="AI38" i="5"/>
  <c r="AH38" i="5"/>
  <c r="AH520" i="5"/>
  <c r="AP520" i="5"/>
  <c r="AI520" i="5"/>
  <c r="AH458" i="5"/>
  <c r="AP458" i="5"/>
  <c r="AI458" i="5"/>
  <c r="AI353" i="5"/>
  <c r="AH353" i="5"/>
  <c r="AP353" i="5"/>
  <c r="AP327" i="5"/>
  <c r="AI327" i="5"/>
  <c r="AH327" i="5"/>
  <c r="AH130" i="5"/>
  <c r="AI130" i="5"/>
  <c r="AP130" i="5"/>
  <c r="AI472" i="5"/>
  <c r="AH472" i="5"/>
  <c r="AP472" i="5"/>
  <c r="AI537" i="5"/>
  <c r="AH537" i="5"/>
  <c r="AP537" i="5"/>
  <c r="AP514" i="5"/>
  <c r="AI514" i="5"/>
  <c r="AH514" i="5"/>
  <c r="AI489" i="5"/>
  <c r="AP489" i="5"/>
  <c r="AH489" i="5"/>
  <c r="AP329" i="5"/>
  <c r="AI329" i="5"/>
  <c r="AH329" i="5"/>
  <c r="AP251" i="5"/>
  <c r="AH251" i="5"/>
  <c r="AI251" i="5"/>
  <c r="AI63" i="5"/>
  <c r="AH63" i="5"/>
  <c r="AP63" i="5"/>
  <c r="AH19" i="5"/>
  <c r="AI19" i="5"/>
  <c r="AP19" i="5"/>
  <c r="AI392" i="5"/>
  <c r="AP392" i="5"/>
  <c r="AH392" i="5"/>
  <c r="AI384" i="5"/>
  <c r="AP384" i="5"/>
  <c r="AH384" i="5"/>
  <c r="AP405" i="5"/>
  <c r="AH405" i="5"/>
  <c r="AI405" i="5"/>
  <c r="AH246" i="5"/>
  <c r="AI246" i="5"/>
  <c r="AP246" i="5"/>
  <c r="AI115" i="5"/>
  <c r="AP115" i="5"/>
  <c r="AH115" i="5"/>
  <c r="AI268" i="5"/>
  <c r="AH268" i="5"/>
  <c r="AP268" i="5"/>
  <c r="AH536" i="5"/>
  <c r="AP536" i="5"/>
  <c r="AI536" i="5"/>
  <c r="AI439" i="5"/>
  <c r="AH439" i="5"/>
  <c r="AP439" i="5"/>
  <c r="AH346" i="5"/>
  <c r="AI346" i="5"/>
  <c r="AP346" i="5"/>
  <c r="AI364" i="5"/>
  <c r="AP364" i="5"/>
  <c r="AH364" i="5"/>
  <c r="AH199" i="5"/>
  <c r="AI199" i="5"/>
  <c r="AP199" i="5"/>
  <c r="AH440" i="5"/>
  <c r="AP440" i="5"/>
  <c r="AI440" i="5"/>
  <c r="AI413" i="5"/>
  <c r="AH413" i="5"/>
  <c r="AP413" i="5"/>
  <c r="AI471" i="5"/>
  <c r="AH471" i="5"/>
  <c r="AP471" i="5"/>
  <c r="AI431" i="5"/>
  <c r="AH431" i="5"/>
  <c r="AP431" i="5"/>
  <c r="AI420" i="5"/>
  <c r="AP420" i="5"/>
  <c r="AH420" i="5"/>
  <c r="AH209" i="5"/>
  <c r="AI209" i="5"/>
  <c r="AP209" i="5"/>
  <c r="AH42" i="5"/>
  <c r="AI42" i="5"/>
  <c r="AP42" i="5"/>
  <c r="AH196" i="5"/>
  <c r="AI196" i="5"/>
  <c r="AP196" i="5"/>
  <c r="AH225" i="5"/>
  <c r="AP225" i="5"/>
  <c r="AI225" i="5"/>
  <c r="AI161" i="5"/>
  <c r="AP161" i="5"/>
  <c r="AH161" i="5"/>
  <c r="AH85" i="5"/>
  <c r="AP85" i="5"/>
  <c r="AI85" i="5"/>
  <c r="AP32" i="5"/>
  <c r="AH32" i="5"/>
  <c r="AI32" i="5"/>
  <c r="AP194" i="5"/>
  <c r="AH194" i="5"/>
  <c r="AI194" i="5"/>
  <c r="AH148" i="5"/>
  <c r="AI148" i="5"/>
  <c r="AP148" i="5"/>
  <c r="AH56" i="5"/>
  <c r="AI56" i="5"/>
  <c r="AP56" i="5"/>
  <c r="AP341" i="5"/>
  <c r="AH341" i="5"/>
  <c r="AI341" i="5"/>
  <c r="AI210" i="5"/>
  <c r="AP210" i="5"/>
  <c r="AH210" i="5"/>
  <c r="AI239" i="5"/>
  <c r="AP239" i="5"/>
  <c r="AH239" i="5"/>
  <c r="AI139" i="5"/>
  <c r="AP139" i="5"/>
  <c r="AH139" i="5"/>
  <c r="AP69" i="5"/>
  <c r="AH69" i="5"/>
  <c r="AI69" i="5"/>
  <c r="AI415" i="5"/>
  <c r="AP415" i="5"/>
  <c r="AH415" i="5"/>
  <c r="AP292" i="5"/>
  <c r="AI292" i="5"/>
  <c r="AH292" i="5"/>
  <c r="AH242" i="5"/>
  <c r="AI242" i="5"/>
  <c r="AP242" i="5"/>
  <c r="AI171" i="5"/>
  <c r="AH171" i="5"/>
  <c r="AP171" i="5"/>
  <c r="AH74" i="5"/>
  <c r="AI74" i="5"/>
  <c r="AP74" i="5"/>
  <c r="AH406" i="5"/>
  <c r="AP406" i="5"/>
  <c r="AI406" i="5"/>
  <c r="AH289" i="5"/>
  <c r="AI289" i="5"/>
  <c r="AP289" i="5"/>
  <c r="AP232" i="5"/>
  <c r="AI232" i="5"/>
  <c r="AH232" i="5"/>
  <c r="AH158" i="5"/>
  <c r="AP158" i="5"/>
  <c r="AI158" i="5"/>
  <c r="AH94" i="5"/>
  <c r="AP94" i="5"/>
  <c r="AI94" i="5"/>
  <c r="AP7" i="5"/>
  <c r="AH7" i="5"/>
  <c r="AI7" i="5"/>
  <c r="AQ131" i="10"/>
  <c r="AR131" i="10"/>
  <c r="AR324" i="10"/>
  <c r="AQ324" i="10"/>
  <c r="AQ507" i="10"/>
  <c r="AR507" i="10"/>
  <c r="AQ461" i="10"/>
  <c r="AR461" i="10"/>
  <c r="AR357" i="10"/>
  <c r="AQ357" i="10"/>
  <c r="AQ88" i="10"/>
  <c r="AR88" i="10"/>
  <c r="AR336" i="10"/>
  <c r="AQ336" i="10"/>
  <c r="AR531" i="10"/>
  <c r="AQ531" i="10"/>
  <c r="AR223" i="10"/>
  <c r="AQ223" i="10"/>
  <c r="AR537" i="10"/>
  <c r="AQ537" i="10"/>
  <c r="AQ128" i="10"/>
  <c r="AR128" i="10"/>
  <c r="AR150" i="10"/>
  <c r="AQ150" i="10"/>
  <c r="AR293" i="10"/>
  <c r="AQ293" i="10"/>
  <c r="AQ346" i="10"/>
  <c r="AR346" i="10"/>
  <c r="AR407" i="10"/>
  <c r="AQ407" i="10"/>
  <c r="AQ95" i="10"/>
  <c r="AR95" i="10"/>
  <c r="AQ402" i="10"/>
  <c r="AR402" i="10"/>
  <c r="AQ516" i="10"/>
  <c r="AR516" i="10"/>
  <c r="AR321" i="10"/>
  <c r="AQ321" i="10"/>
  <c r="AR37" i="10"/>
  <c r="AQ37" i="10"/>
  <c r="AR201" i="10"/>
  <c r="AQ201" i="10"/>
  <c r="AR463" i="10"/>
  <c r="AQ463" i="10"/>
  <c r="AR113" i="10"/>
  <c r="AQ113" i="10"/>
  <c r="AR381" i="10"/>
  <c r="AQ381" i="10"/>
  <c r="AR338" i="10"/>
  <c r="AQ338" i="10"/>
  <c r="AQ163" i="10"/>
  <c r="AR163" i="10"/>
  <c r="AQ473" i="10"/>
  <c r="AR473" i="10"/>
  <c r="AR111" i="10"/>
  <c r="AQ111" i="10"/>
  <c r="AR106" i="10"/>
  <c r="AQ106" i="10"/>
  <c r="AR241" i="10"/>
  <c r="AQ241" i="10"/>
  <c r="AQ314" i="10"/>
  <c r="AR314" i="10"/>
  <c r="AQ453" i="10"/>
  <c r="AR453" i="10"/>
  <c r="AR64" i="10"/>
  <c r="AQ64" i="10"/>
  <c r="AR370" i="10"/>
  <c r="AQ370" i="10"/>
  <c r="AQ492" i="10"/>
  <c r="AR492" i="10"/>
  <c r="AR307" i="10"/>
  <c r="AQ307" i="10"/>
  <c r="AR34" i="10"/>
  <c r="AQ34" i="10"/>
  <c r="AQ210" i="10"/>
  <c r="AR210" i="10"/>
  <c r="AR471" i="10"/>
  <c r="AQ471" i="10"/>
  <c r="AR82" i="10"/>
  <c r="AQ82" i="10"/>
  <c r="AR331" i="10"/>
  <c r="AQ331" i="10"/>
  <c r="AQ436" i="10"/>
  <c r="AR436" i="10"/>
  <c r="AQ208" i="10"/>
  <c r="AR208" i="10"/>
  <c r="AR494" i="10"/>
  <c r="AQ494" i="10"/>
  <c r="AQ76" i="10"/>
  <c r="AR76" i="10"/>
  <c r="AR114" i="10"/>
  <c r="AQ114" i="10"/>
  <c r="AQ379" i="10"/>
  <c r="AR379" i="10"/>
  <c r="AQ344" i="10"/>
  <c r="AR344" i="10"/>
  <c r="AQ154" i="10"/>
  <c r="AR154" i="10"/>
  <c r="AR218" i="10"/>
  <c r="AQ218" i="10"/>
  <c r="AQ479" i="10"/>
  <c r="AR479" i="10"/>
  <c r="AR56" i="10"/>
  <c r="AQ56" i="10"/>
  <c r="AR243" i="10"/>
  <c r="AQ243" i="10"/>
  <c r="AR351" i="10"/>
  <c r="AQ351" i="10"/>
  <c r="AQ96" i="10"/>
  <c r="AR96" i="10"/>
  <c r="AQ466" i="10"/>
  <c r="AR466" i="10"/>
  <c r="AR39" i="10"/>
  <c r="AQ39" i="10"/>
  <c r="AR122" i="10"/>
  <c r="AQ122" i="10"/>
  <c r="AQ302" i="10"/>
  <c r="AR302" i="10"/>
  <c r="AQ387" i="10"/>
  <c r="AR387" i="10"/>
  <c r="AR390" i="10"/>
  <c r="AQ390" i="10"/>
  <c r="AQ157" i="10"/>
  <c r="AR157" i="10"/>
  <c r="AR334" i="10"/>
  <c r="AQ334" i="10"/>
  <c r="AR410" i="10"/>
  <c r="AQ410" i="10"/>
  <c r="AR312" i="10"/>
  <c r="AQ312" i="10"/>
  <c r="AQ250" i="10"/>
  <c r="AR250" i="10"/>
  <c r="AQ226" i="10"/>
  <c r="AR226" i="10"/>
  <c r="AR489" i="10"/>
  <c r="AQ489" i="10"/>
  <c r="AO391" i="5"/>
  <c r="AN391" i="5"/>
  <c r="AO399" i="5"/>
  <c r="AN399" i="5"/>
  <c r="AN182" i="5"/>
  <c r="AO182" i="5"/>
  <c r="AN376" i="5"/>
  <c r="AO376" i="5"/>
  <c r="AN513" i="5"/>
  <c r="AO513" i="5"/>
  <c r="AO271" i="5"/>
  <c r="AN271" i="5"/>
  <c r="AN297" i="5"/>
  <c r="AO297" i="5"/>
  <c r="AO193" i="5"/>
  <c r="AN193" i="5"/>
  <c r="AO229" i="5"/>
  <c r="AN229" i="5"/>
  <c r="AN215" i="5"/>
  <c r="AO215" i="5"/>
  <c r="AN523" i="5"/>
  <c r="AO523" i="5"/>
  <c r="AO244" i="5"/>
  <c r="AN244" i="5"/>
  <c r="AN522" i="5"/>
  <c r="AO522" i="5"/>
  <c r="AO217" i="5"/>
  <c r="AN217" i="5"/>
  <c r="AN266" i="5"/>
  <c r="AO266" i="5"/>
  <c r="AN183" i="5"/>
  <c r="AO183" i="5"/>
  <c r="AO144" i="5"/>
  <c r="AN144" i="5"/>
  <c r="AO64" i="5"/>
  <c r="AN64" i="5"/>
  <c r="AO445" i="5"/>
  <c r="AN445" i="5"/>
  <c r="AO434" i="5"/>
  <c r="AN434" i="5"/>
  <c r="AN362" i="5"/>
  <c r="AO362" i="5"/>
  <c r="AN436" i="5"/>
  <c r="AO436" i="5"/>
  <c r="AO232" i="5"/>
  <c r="AN232" i="5"/>
  <c r="AO238" i="5"/>
  <c r="AN238" i="5"/>
  <c r="AN175" i="5"/>
  <c r="AO175" i="5"/>
  <c r="AO88" i="5"/>
  <c r="AN88" i="5"/>
  <c r="AN29" i="5"/>
  <c r="AO29" i="5"/>
  <c r="AO555" i="5"/>
  <c r="AN555" i="5"/>
  <c r="AO465" i="5"/>
  <c r="AN465" i="5"/>
  <c r="AN289" i="5"/>
  <c r="AO289" i="5"/>
  <c r="AO258" i="5"/>
  <c r="AN258" i="5"/>
  <c r="AO313" i="5"/>
  <c r="AN313" i="5"/>
  <c r="AN208" i="5"/>
  <c r="AO208" i="5"/>
  <c r="AO133" i="5"/>
  <c r="AN133" i="5"/>
  <c r="AO61" i="5"/>
  <c r="AN61" i="5"/>
  <c r="AN433" i="5"/>
  <c r="AO433" i="5"/>
  <c r="AN430" i="5"/>
  <c r="AO430" i="5"/>
  <c r="AN311" i="5"/>
  <c r="AO311" i="5"/>
  <c r="AN431" i="5"/>
  <c r="AO431" i="5"/>
  <c r="AN192" i="5"/>
  <c r="AO192" i="5"/>
  <c r="AN228" i="5"/>
  <c r="AO228" i="5"/>
  <c r="AO167" i="5"/>
  <c r="AN167" i="5"/>
  <c r="AN93" i="5"/>
  <c r="AO93" i="5"/>
  <c r="AN558" i="5"/>
  <c r="AO558" i="5"/>
  <c r="AN405" i="5"/>
  <c r="AO405" i="5"/>
  <c r="AO416" i="5"/>
  <c r="AN416" i="5"/>
  <c r="AO428" i="5"/>
  <c r="AN428" i="5"/>
  <c r="AO188" i="5"/>
  <c r="AN188" i="5"/>
  <c r="AO226" i="5"/>
  <c r="AN226" i="5"/>
  <c r="AN163" i="5"/>
  <c r="AO163" i="5"/>
  <c r="AN84" i="5"/>
  <c r="AO84" i="5"/>
  <c r="AO546" i="5"/>
  <c r="AN546" i="5"/>
  <c r="AO508" i="5"/>
  <c r="AN508" i="5"/>
  <c r="AO397" i="5"/>
  <c r="AN397" i="5"/>
  <c r="AN413" i="5"/>
  <c r="AO413" i="5"/>
  <c r="AN337" i="5"/>
  <c r="AO337" i="5"/>
  <c r="AO276" i="5"/>
  <c r="AN276" i="5"/>
  <c r="AO198" i="5"/>
  <c r="AN198" i="5"/>
  <c r="AN85" i="5"/>
  <c r="AO85" i="5"/>
  <c r="AN73" i="5"/>
  <c r="AO73" i="5"/>
  <c r="AN557" i="5"/>
  <c r="AO557" i="5"/>
  <c r="AN387" i="5"/>
  <c r="AO387" i="5"/>
  <c r="AO406" i="5"/>
  <c r="AN406" i="5"/>
  <c r="AN420" i="5"/>
  <c r="AO420" i="5"/>
  <c r="AO326" i="5"/>
  <c r="AN326" i="5"/>
  <c r="AN219" i="5"/>
  <c r="AO219" i="5"/>
  <c r="AN132" i="5"/>
  <c r="AO132" i="5"/>
  <c r="AO80" i="5"/>
  <c r="AN80" i="5"/>
  <c r="AN7" i="5"/>
  <c r="AO7" i="5"/>
  <c r="AK399" i="5"/>
  <c r="AL399" i="5"/>
  <c r="AK478" i="5"/>
  <c r="AL478" i="5"/>
  <c r="AK433" i="5"/>
  <c r="AL433" i="5"/>
  <c r="AK477" i="5"/>
  <c r="AL477" i="5"/>
  <c r="AK427" i="5"/>
  <c r="AL427" i="5"/>
  <c r="AL213" i="5"/>
  <c r="AK213" i="5"/>
  <c r="AK216" i="5"/>
  <c r="AL216" i="5"/>
  <c r="AL176" i="5"/>
  <c r="AK176" i="5"/>
  <c r="AL95" i="5"/>
  <c r="AK95" i="5"/>
  <c r="AK33" i="5"/>
  <c r="AL33" i="5"/>
  <c r="AL314" i="5"/>
  <c r="AK314" i="5"/>
  <c r="AK516" i="5"/>
  <c r="AL516" i="5"/>
  <c r="AL518" i="5"/>
  <c r="AK518" i="5"/>
  <c r="AK409" i="5"/>
  <c r="AL409" i="5"/>
  <c r="AK365" i="5"/>
  <c r="AL365" i="5"/>
  <c r="AK275" i="5"/>
  <c r="AL275" i="5"/>
  <c r="AL215" i="5"/>
  <c r="AK215" i="5"/>
  <c r="AL129" i="5"/>
  <c r="AK129" i="5"/>
  <c r="AK67" i="5"/>
  <c r="AL67" i="5"/>
  <c r="AL360" i="5"/>
  <c r="AK360" i="5"/>
  <c r="AL557" i="5"/>
  <c r="AK557" i="5"/>
  <c r="AL524" i="5"/>
  <c r="AK524" i="5"/>
  <c r="AL493" i="5"/>
  <c r="AK493" i="5"/>
  <c r="AL386" i="5"/>
  <c r="AK386" i="5"/>
  <c r="AL337" i="5"/>
  <c r="AK337" i="5"/>
  <c r="AK248" i="5"/>
  <c r="AL248" i="5"/>
  <c r="AK235" i="5"/>
  <c r="AL235" i="5"/>
  <c r="AL80" i="5"/>
  <c r="AK80" i="5"/>
  <c r="AL76" i="5"/>
  <c r="AK76" i="5"/>
  <c r="AL528" i="5"/>
  <c r="AK528" i="5"/>
  <c r="AL133" i="5"/>
  <c r="AK133" i="5"/>
  <c r="AK459" i="5"/>
  <c r="AL459" i="5"/>
  <c r="AK489" i="5"/>
  <c r="AL489" i="5"/>
  <c r="AK382" i="5"/>
  <c r="AL382" i="5"/>
  <c r="AK327" i="5"/>
  <c r="AL327" i="5"/>
  <c r="AK230" i="5"/>
  <c r="AL230" i="5"/>
  <c r="AK228" i="5"/>
  <c r="AL228" i="5"/>
  <c r="AL64" i="5"/>
  <c r="AK64" i="5"/>
  <c r="AL60" i="5"/>
  <c r="AK60" i="5"/>
  <c r="AK464" i="5"/>
  <c r="AL464" i="5"/>
  <c r="AK138" i="5"/>
  <c r="AL138" i="5"/>
  <c r="AL552" i="5"/>
  <c r="AK552" i="5"/>
  <c r="AK454" i="5"/>
  <c r="AL454" i="5"/>
  <c r="AL300" i="5"/>
  <c r="AK300" i="5"/>
  <c r="AK347" i="5"/>
  <c r="AL347" i="5"/>
  <c r="AL310" i="5"/>
  <c r="AK310" i="5"/>
  <c r="AL195" i="5"/>
  <c r="AK195" i="5"/>
  <c r="AL130" i="5"/>
  <c r="AK130" i="5"/>
  <c r="AK54" i="5"/>
  <c r="AL54" i="5"/>
  <c r="AL446" i="5"/>
  <c r="AK446" i="5"/>
  <c r="AK497" i="5"/>
  <c r="AL497" i="5"/>
  <c r="AK483" i="5"/>
  <c r="AL483" i="5"/>
  <c r="AL512" i="5"/>
  <c r="AK512" i="5"/>
  <c r="AL349" i="5"/>
  <c r="AK349" i="5"/>
  <c r="AK277" i="5"/>
  <c r="AL277" i="5"/>
  <c r="AK211" i="5"/>
  <c r="AL211" i="5"/>
  <c r="AK165" i="5"/>
  <c r="AL165" i="5"/>
  <c r="AL118" i="5"/>
  <c r="AK118" i="5"/>
  <c r="AL42" i="5"/>
  <c r="AK42" i="5"/>
  <c r="AK474" i="5"/>
  <c r="AL474" i="5"/>
  <c r="AK472" i="5"/>
  <c r="AL472" i="5"/>
  <c r="AL511" i="5"/>
  <c r="AK511" i="5"/>
  <c r="AK348" i="5"/>
  <c r="AL348" i="5"/>
  <c r="AK276" i="5"/>
  <c r="AL276" i="5"/>
  <c r="AK208" i="5"/>
  <c r="AL208" i="5"/>
  <c r="AK137" i="5"/>
  <c r="AL137" i="5"/>
  <c r="AK117" i="5"/>
  <c r="AL117" i="5"/>
  <c r="AK39" i="5"/>
  <c r="AL39" i="5"/>
  <c r="AS288" i="10"/>
  <c r="AS200" i="10"/>
  <c r="AS232" i="10"/>
  <c r="AS178" i="10"/>
  <c r="AS210" i="10"/>
  <c r="AS209" i="10"/>
  <c r="AS241" i="10"/>
  <c r="AS121" i="10"/>
  <c r="AS126" i="10"/>
  <c r="AS88" i="10"/>
  <c r="AS204" i="10"/>
  <c r="AS379" i="10"/>
  <c r="AS386" i="10"/>
  <c r="AS487" i="10"/>
  <c r="AS125" i="10"/>
  <c r="AS130" i="10"/>
  <c r="AS92" i="10"/>
  <c r="AS208" i="10"/>
  <c r="AS383" i="10"/>
  <c r="AS388" i="10"/>
  <c r="AS502" i="10"/>
  <c r="AS161" i="10"/>
  <c r="AS197" i="10"/>
  <c r="AS128" i="10"/>
  <c r="AS244" i="10"/>
  <c r="AS340" i="10"/>
  <c r="AS424" i="10"/>
  <c r="AS538" i="10"/>
  <c r="AS25" i="10"/>
  <c r="AS235" i="10"/>
  <c r="AS164" i="10"/>
  <c r="AS194" i="10"/>
  <c r="AS321" i="10"/>
  <c r="AS414" i="10"/>
  <c r="AS29" i="10"/>
  <c r="AS48" i="10"/>
  <c r="AS127" i="10"/>
  <c r="AS199" i="10"/>
  <c r="AS230" i="10"/>
  <c r="AS357" i="10"/>
  <c r="AS403" i="10"/>
  <c r="AS62" i="10"/>
  <c r="AS87" i="10"/>
  <c r="AS163" i="10"/>
  <c r="AS233" i="10"/>
  <c r="AS265" i="10"/>
  <c r="AS262" i="10"/>
  <c r="AS439" i="10"/>
  <c r="AS97" i="10"/>
  <c r="AS185" i="10"/>
  <c r="AS252" i="10"/>
  <c r="AS271" i="10"/>
  <c r="AS301" i="10"/>
  <c r="AS298" i="10"/>
  <c r="AS365" i="10"/>
  <c r="AS441" i="10"/>
  <c r="AS499" i="10"/>
  <c r="AS444" i="10"/>
  <c r="AS510" i="10"/>
  <c r="AS429" i="10"/>
  <c r="AS496" i="10"/>
  <c r="AS401" i="10"/>
  <c r="AS498" i="10"/>
  <c r="AS377" i="10"/>
  <c r="AS488" i="10"/>
  <c r="AS554" i="10"/>
  <c r="AS461" i="10"/>
  <c r="AS547" i="10"/>
  <c r="AL8" i="10"/>
  <c r="AK8" i="10"/>
  <c r="AK533" i="10"/>
  <c r="AL533" i="10"/>
  <c r="AK516" i="10"/>
  <c r="AL516" i="10"/>
  <c r="AL428" i="10"/>
  <c r="AK428" i="10"/>
  <c r="AK503" i="10"/>
  <c r="AL503" i="10"/>
  <c r="AK30" i="10"/>
  <c r="AL30" i="10"/>
  <c r="AK151" i="10"/>
  <c r="AL151" i="10"/>
  <c r="AK108" i="10"/>
  <c r="AL108" i="10"/>
  <c r="AL149" i="10"/>
  <c r="AK149" i="10"/>
  <c r="AK372" i="10"/>
  <c r="AL372" i="10"/>
  <c r="AL438" i="10"/>
  <c r="AK438" i="10"/>
  <c r="AK43" i="10"/>
  <c r="AL43" i="10"/>
  <c r="AL198" i="10"/>
  <c r="AK198" i="10"/>
  <c r="AL334" i="10"/>
  <c r="AK334" i="10"/>
  <c r="AK353" i="10"/>
  <c r="AL353" i="10"/>
  <c r="AL232" i="10"/>
  <c r="AK232" i="10"/>
  <c r="AL273" i="10"/>
  <c r="AK273" i="10"/>
  <c r="AK390" i="10"/>
  <c r="AL390" i="10"/>
  <c r="AK336" i="10"/>
  <c r="AL336" i="10"/>
  <c r="AL420" i="10"/>
  <c r="AK420" i="10"/>
  <c r="AK375" i="10"/>
  <c r="AL375" i="10"/>
  <c r="AL456" i="10"/>
  <c r="AK456" i="10"/>
  <c r="AK445" i="10"/>
  <c r="AL445" i="10"/>
  <c r="AK71" i="10"/>
  <c r="AL71" i="10"/>
  <c r="AK68" i="10"/>
  <c r="AL68" i="10"/>
  <c r="AK109" i="10"/>
  <c r="AL109" i="10"/>
  <c r="AK552" i="10"/>
  <c r="AL552" i="10"/>
  <c r="AL331" i="10"/>
  <c r="AK331" i="10"/>
  <c r="AL526" i="10"/>
  <c r="AK526" i="10"/>
  <c r="AL91" i="10"/>
  <c r="AK91" i="10"/>
  <c r="AK254" i="10"/>
  <c r="AL254" i="10"/>
  <c r="AK312" i="10"/>
  <c r="AL312" i="10"/>
  <c r="AK192" i="10"/>
  <c r="AL192" i="10"/>
  <c r="AL233" i="10"/>
  <c r="AK233" i="10"/>
  <c r="AL131" i="10"/>
  <c r="AK131" i="10"/>
  <c r="AK282" i="10"/>
  <c r="AL282" i="10"/>
  <c r="AL399" i="10"/>
  <c r="AK399" i="10"/>
  <c r="AL364" i="10"/>
  <c r="AK364" i="10"/>
  <c r="AK446" i="10"/>
  <c r="AL446" i="10"/>
  <c r="AL437" i="10"/>
  <c r="AK437" i="10"/>
  <c r="AK55" i="10"/>
  <c r="AL55" i="10"/>
  <c r="AK60" i="10"/>
  <c r="AL60" i="10"/>
  <c r="AL101" i="10"/>
  <c r="AK101" i="10"/>
  <c r="AL520" i="10"/>
  <c r="AK520" i="10"/>
  <c r="AL308" i="10"/>
  <c r="AK308" i="10"/>
  <c r="AL518" i="10"/>
  <c r="AK518" i="10"/>
  <c r="AL70" i="10"/>
  <c r="AK70" i="10"/>
  <c r="AK234" i="10"/>
  <c r="AL234" i="10"/>
  <c r="AK302" i="10"/>
  <c r="AL302" i="10"/>
  <c r="AK184" i="10"/>
  <c r="AL184" i="10"/>
  <c r="AL225" i="10"/>
  <c r="AK225" i="10"/>
  <c r="AL432" i="10"/>
  <c r="AK432" i="10"/>
  <c r="AL195" i="10"/>
  <c r="AK195" i="10"/>
  <c r="AL378" i="10"/>
  <c r="AK378" i="10"/>
  <c r="AK354" i="10"/>
  <c r="AL354" i="10"/>
  <c r="AK435" i="10"/>
  <c r="AL435" i="10"/>
  <c r="AL429" i="10"/>
  <c r="AK429" i="10"/>
  <c r="AK39" i="10"/>
  <c r="AL39" i="10"/>
  <c r="AK52" i="10"/>
  <c r="AL52" i="10"/>
  <c r="AK93" i="10"/>
  <c r="AL93" i="10"/>
  <c r="AK488" i="10"/>
  <c r="AL488" i="10"/>
  <c r="AK270" i="10"/>
  <c r="AL270" i="10"/>
  <c r="AK510" i="10"/>
  <c r="AL510" i="10"/>
  <c r="AL50" i="10"/>
  <c r="AK50" i="10"/>
  <c r="AK211" i="10"/>
  <c r="AL211" i="10"/>
  <c r="AL287" i="10"/>
  <c r="AK287" i="10"/>
  <c r="AK176" i="10"/>
  <c r="AL176" i="10"/>
  <c r="AK217" i="10"/>
  <c r="AL217" i="10"/>
  <c r="S13" i="10"/>
  <c r="R13" i="10"/>
  <c r="AN193" i="10"/>
  <c r="AO193" i="10"/>
  <c r="AO117" i="10"/>
  <c r="AN117" i="10"/>
  <c r="AN531" i="10"/>
  <c r="AO531" i="10"/>
  <c r="AO306" i="10"/>
  <c r="AN306" i="10"/>
  <c r="AO536" i="10"/>
  <c r="AN536" i="10"/>
  <c r="AN403" i="10"/>
  <c r="AO403" i="10"/>
  <c r="AN398" i="10"/>
  <c r="AO398" i="10"/>
  <c r="AN229" i="10"/>
  <c r="AO229" i="10"/>
  <c r="AO175" i="10"/>
  <c r="AN175" i="10"/>
  <c r="AO103" i="10"/>
  <c r="AN103" i="10"/>
  <c r="AN260" i="10"/>
  <c r="AO260" i="10"/>
  <c r="AH560" i="5"/>
  <c r="AI560" i="5"/>
  <c r="AP560" i="5"/>
  <c r="AP52" i="5"/>
  <c r="AH52" i="5"/>
  <c r="AI52" i="5"/>
  <c r="AI138" i="5"/>
  <c r="AH138" i="5"/>
  <c r="AP138" i="5"/>
  <c r="AH255" i="5"/>
  <c r="AP255" i="5"/>
  <c r="AI255" i="5"/>
  <c r="AI272" i="5"/>
  <c r="AH272" i="5"/>
  <c r="AP272" i="5"/>
  <c r="AH133" i="5"/>
  <c r="AP133" i="5"/>
  <c r="AI133" i="5"/>
  <c r="AP229" i="5"/>
  <c r="AH229" i="5"/>
  <c r="AI229" i="5"/>
  <c r="AI304" i="5"/>
  <c r="AP304" i="5"/>
  <c r="AH304" i="5"/>
  <c r="AI373" i="5"/>
  <c r="AP373" i="5"/>
  <c r="AH373" i="5"/>
  <c r="AH247" i="5"/>
  <c r="AI247" i="5"/>
  <c r="AP247" i="5"/>
  <c r="AH82" i="5"/>
  <c r="AI82" i="5"/>
  <c r="AP82" i="5"/>
  <c r="AH160" i="5"/>
  <c r="AI160" i="5"/>
  <c r="AP160" i="5"/>
  <c r="AH68" i="5"/>
  <c r="AI68" i="5"/>
  <c r="AP68" i="5"/>
  <c r="AR508" i="10"/>
  <c r="AQ508" i="10"/>
  <c r="AQ520" i="10"/>
  <c r="AR520" i="10"/>
  <c r="AR425" i="10"/>
  <c r="AQ425" i="10"/>
  <c r="AQ541" i="10"/>
  <c r="AR541" i="10"/>
  <c r="AR35" i="10"/>
  <c r="AQ35" i="10"/>
  <c r="AR439" i="10"/>
  <c r="AQ439" i="10"/>
  <c r="AQ295" i="10"/>
  <c r="AR295" i="10"/>
  <c r="AR246" i="10"/>
  <c r="AQ246" i="10"/>
  <c r="AQ408" i="10"/>
  <c r="AR408" i="10"/>
  <c r="AR181" i="10"/>
  <c r="AQ181" i="10"/>
  <c r="AR221" i="10"/>
  <c r="AQ221" i="10"/>
  <c r="AR27" i="10"/>
  <c r="AQ27" i="10"/>
  <c r="AN548" i="5"/>
  <c r="AO548" i="5"/>
  <c r="AO471" i="5"/>
  <c r="AN471" i="5"/>
  <c r="AO36" i="5"/>
  <c r="AN36" i="5"/>
  <c r="AN556" i="5"/>
  <c r="AO556" i="5"/>
  <c r="AO286" i="5"/>
  <c r="AN286" i="5"/>
  <c r="AO58" i="5"/>
  <c r="AN58" i="5"/>
  <c r="AO190" i="5"/>
  <c r="AN190" i="5"/>
  <c r="AO451" i="5"/>
  <c r="AN451" i="5"/>
  <c r="AN92" i="5"/>
  <c r="AO92" i="5"/>
  <c r="AO358" i="5"/>
  <c r="AN358" i="5"/>
  <c r="AL10" i="5"/>
  <c r="AK10" i="5"/>
  <c r="AK345" i="5"/>
  <c r="AL345" i="5"/>
  <c r="AL542" i="5"/>
  <c r="AK542" i="5"/>
  <c r="AK290" i="5"/>
  <c r="AL290" i="5"/>
  <c r="AK529" i="5"/>
  <c r="AL529" i="5"/>
  <c r="AL126" i="5"/>
  <c r="AK126" i="5"/>
  <c r="AT39" i="10"/>
  <c r="AO316" i="10"/>
  <c r="AN316" i="10"/>
  <c r="AN310" i="10"/>
  <c r="AO310" i="10"/>
  <c r="AN248" i="10"/>
  <c r="AO248" i="10"/>
  <c r="AN417" i="10"/>
  <c r="AO417" i="10"/>
  <c r="AO185" i="10"/>
  <c r="AN185" i="10"/>
  <c r="AN253" i="10"/>
  <c r="AO253" i="10"/>
  <c r="AN527" i="10"/>
  <c r="AO527" i="10"/>
  <c r="AO106" i="10"/>
  <c r="AN106" i="10"/>
  <c r="AO133" i="10"/>
  <c r="AN133" i="10"/>
  <c r="AO340" i="10"/>
  <c r="AN340" i="10"/>
  <c r="AN529" i="10"/>
  <c r="AO529" i="10"/>
  <c r="AO487" i="10"/>
  <c r="AN487" i="10"/>
  <c r="AO361" i="10"/>
  <c r="AN361" i="10"/>
  <c r="AN557" i="10"/>
  <c r="AO557" i="10"/>
  <c r="AN515" i="10"/>
  <c r="AO515" i="10"/>
  <c r="AN363" i="10"/>
  <c r="AO363" i="10"/>
  <c r="AN94" i="10"/>
  <c r="AO94" i="10"/>
  <c r="AO479" i="10"/>
  <c r="AN479" i="10"/>
  <c r="AN327" i="10"/>
  <c r="AO327" i="10"/>
  <c r="AN221" i="10"/>
  <c r="AO221" i="10"/>
  <c r="AN244" i="10"/>
  <c r="AO244" i="10"/>
  <c r="AN241" i="10"/>
  <c r="AO241" i="10"/>
  <c r="AO53" i="10"/>
  <c r="AN53" i="10"/>
  <c r="AO128" i="10"/>
  <c r="AN128" i="10"/>
  <c r="AH164" i="5"/>
  <c r="AI164" i="5"/>
  <c r="AP164" i="5"/>
  <c r="AI404" i="5"/>
  <c r="AH404" i="5"/>
  <c r="AP404" i="5"/>
  <c r="AI468" i="5"/>
  <c r="AP468" i="5"/>
  <c r="AH468" i="5"/>
  <c r="AI451" i="5"/>
  <c r="AP451" i="5"/>
  <c r="AH451" i="5"/>
  <c r="AI53" i="5"/>
  <c r="AH53" i="5"/>
  <c r="AP53" i="5"/>
  <c r="AI390" i="5"/>
  <c r="AH390" i="5"/>
  <c r="AP390" i="5"/>
  <c r="AI543" i="5"/>
  <c r="AH543" i="5"/>
  <c r="AP543" i="5"/>
  <c r="AI518" i="5"/>
  <c r="AP518" i="5"/>
  <c r="AH518" i="5"/>
  <c r="AP301" i="5"/>
  <c r="AI301" i="5"/>
  <c r="AH301" i="5"/>
  <c r="AH506" i="5"/>
  <c r="AP506" i="5"/>
  <c r="AI506" i="5"/>
  <c r="AP109" i="5"/>
  <c r="AH109" i="5"/>
  <c r="AI109" i="5"/>
  <c r="AP474" i="5"/>
  <c r="AI474" i="5"/>
  <c r="AH474" i="5"/>
  <c r="AP224" i="5"/>
  <c r="AI224" i="5"/>
  <c r="AH224" i="5"/>
  <c r="AI505" i="5"/>
  <c r="AH505" i="5"/>
  <c r="AP505" i="5"/>
  <c r="AP233" i="5"/>
  <c r="AH233" i="5"/>
  <c r="AI233" i="5"/>
  <c r="AI228" i="5"/>
  <c r="AH228" i="5"/>
  <c r="AP228" i="5"/>
  <c r="AH114" i="5"/>
  <c r="AI114" i="5"/>
  <c r="AP114" i="5"/>
  <c r="AP119" i="5"/>
  <c r="AH119" i="5"/>
  <c r="AI119" i="5"/>
  <c r="AH276" i="5"/>
  <c r="AI276" i="5"/>
  <c r="AP276" i="5"/>
  <c r="AH78" i="5"/>
  <c r="AI78" i="5"/>
  <c r="AP78" i="5"/>
  <c r="AH125" i="5"/>
  <c r="AI125" i="5"/>
  <c r="AP125" i="5"/>
  <c r="AH212" i="5"/>
  <c r="AP212" i="5"/>
  <c r="AI212" i="5"/>
  <c r="AR551" i="10"/>
  <c r="AQ551" i="10"/>
  <c r="AQ194" i="10"/>
  <c r="AR194" i="10"/>
  <c r="AR38" i="10"/>
  <c r="AQ38" i="10"/>
  <c r="AQ339" i="10"/>
  <c r="AR339" i="10"/>
  <c r="AQ180" i="10"/>
  <c r="AR180" i="10"/>
  <c r="AQ446" i="10"/>
  <c r="AR446" i="10"/>
  <c r="AR81" i="10"/>
  <c r="AQ81" i="10"/>
  <c r="AO416" i="10"/>
  <c r="AN416" i="10"/>
  <c r="AO250" i="10"/>
  <c r="AN250" i="10"/>
  <c r="AN521" i="10"/>
  <c r="AO521" i="10"/>
  <c r="AN449" i="10"/>
  <c r="AO449" i="10"/>
  <c r="AO516" i="10"/>
  <c r="AN516" i="10"/>
  <c r="AO432" i="10"/>
  <c r="AN432" i="10"/>
  <c r="AO159" i="10"/>
  <c r="AN159" i="10"/>
  <c r="AN180" i="10"/>
  <c r="AO180" i="10"/>
  <c r="AN186" i="10"/>
  <c r="AO186" i="10"/>
  <c r="AO165" i="10"/>
  <c r="AN165" i="10"/>
  <c r="AN510" i="10"/>
  <c r="AO510" i="10"/>
  <c r="AN390" i="10"/>
  <c r="AO390" i="10"/>
  <c r="AO512" i="10"/>
  <c r="AN512" i="10"/>
  <c r="AO400" i="10"/>
  <c r="AN400" i="10"/>
  <c r="AO151" i="10"/>
  <c r="AN151" i="10"/>
  <c r="AN172" i="10"/>
  <c r="AO172" i="10"/>
  <c r="AO182" i="10"/>
  <c r="AN182" i="10"/>
  <c r="AO85" i="10"/>
  <c r="AN85" i="10"/>
  <c r="AO389" i="10"/>
  <c r="AN389" i="10"/>
  <c r="AN463" i="10"/>
  <c r="AO463" i="10"/>
  <c r="AN304" i="10"/>
  <c r="AO304" i="10"/>
  <c r="AN311" i="10"/>
  <c r="AO311" i="10"/>
  <c r="AO267" i="10"/>
  <c r="AN267" i="10"/>
  <c r="AN387" i="10"/>
  <c r="AO387" i="10"/>
  <c r="AN469" i="10"/>
  <c r="AO469" i="10"/>
  <c r="AO424" i="10"/>
  <c r="AN424" i="10"/>
  <c r="AN281" i="10"/>
  <c r="AO281" i="10"/>
  <c r="AO362" i="10"/>
  <c r="AN362" i="10"/>
  <c r="AN266" i="10"/>
  <c r="AO266" i="10"/>
  <c r="AN274" i="10"/>
  <c r="AO274" i="10"/>
  <c r="AO119" i="10"/>
  <c r="AN119" i="10"/>
  <c r="AN409" i="10"/>
  <c r="AO409" i="10"/>
  <c r="AO465" i="10"/>
  <c r="AN465" i="10"/>
  <c r="AO408" i="10"/>
  <c r="AN408" i="10"/>
  <c r="AN254" i="10"/>
  <c r="AO254" i="10"/>
  <c r="AO354" i="10"/>
  <c r="AN354" i="10"/>
  <c r="AO264" i="10"/>
  <c r="AN264" i="10"/>
  <c r="AO272" i="10"/>
  <c r="AN272" i="10"/>
  <c r="AN91" i="10"/>
  <c r="AO91" i="10"/>
  <c r="AO360" i="10"/>
  <c r="AN360" i="10"/>
  <c r="AN493" i="10"/>
  <c r="AO493" i="10"/>
  <c r="AN502" i="10"/>
  <c r="AO502" i="10"/>
  <c r="AO381" i="10"/>
  <c r="AN381" i="10"/>
  <c r="AN451" i="10"/>
  <c r="AO451" i="10"/>
  <c r="AN293" i="10"/>
  <c r="AO293" i="10"/>
  <c r="AN299" i="10"/>
  <c r="AO299" i="10"/>
  <c r="AN223" i="10"/>
  <c r="AO223" i="10"/>
  <c r="AN358" i="10"/>
  <c r="AO358" i="10"/>
  <c r="AO227" i="10"/>
  <c r="AN227" i="10"/>
  <c r="AO338" i="10"/>
  <c r="AN338" i="10"/>
  <c r="AN255" i="10"/>
  <c r="AO255" i="10"/>
  <c r="AN263" i="10"/>
  <c r="AO263" i="10"/>
  <c r="AO43" i="10"/>
  <c r="AN43" i="10"/>
  <c r="AN152" i="10"/>
  <c r="AO152" i="10"/>
  <c r="AN24" i="10"/>
  <c r="AO24" i="10"/>
  <c r="AN178" i="10"/>
  <c r="AO178" i="10"/>
  <c r="AN50" i="10"/>
  <c r="AO50" i="10"/>
  <c r="AO176" i="10"/>
  <c r="AN176" i="10"/>
  <c r="AO47" i="10"/>
  <c r="AN47" i="10"/>
  <c r="AO325" i="10"/>
  <c r="AN325" i="10"/>
  <c r="AO27" i="10"/>
  <c r="AN27" i="10"/>
  <c r="AO321" i="10"/>
  <c r="AN321" i="10"/>
  <c r="AN122" i="10"/>
  <c r="AO122" i="10"/>
  <c r="AO317" i="10"/>
  <c r="AN317" i="10"/>
  <c r="AN120" i="10"/>
  <c r="AO120" i="10"/>
  <c r="AN25" i="10"/>
  <c r="AO25" i="10"/>
  <c r="AH555" i="5"/>
  <c r="AP555" i="5"/>
  <c r="AI555" i="5"/>
  <c r="AI39" i="5"/>
  <c r="AH39" i="5"/>
  <c r="AP39" i="5"/>
  <c r="AI476" i="5"/>
  <c r="AH476" i="5"/>
  <c r="AP476" i="5"/>
  <c r="AP434" i="5"/>
  <c r="AH434" i="5"/>
  <c r="AI434" i="5"/>
  <c r="AH202" i="5"/>
  <c r="AP202" i="5"/>
  <c r="AI202" i="5"/>
  <c r="AH282" i="5"/>
  <c r="AP282" i="5"/>
  <c r="AI282" i="5"/>
  <c r="AI89" i="5"/>
  <c r="AH89" i="5"/>
  <c r="AP89" i="5"/>
  <c r="AI391" i="5"/>
  <c r="AH391" i="5"/>
  <c r="AP391" i="5"/>
  <c r="AI545" i="5"/>
  <c r="AP545" i="5"/>
  <c r="AH545" i="5"/>
  <c r="AI337" i="5"/>
  <c r="AH337" i="5"/>
  <c r="AP337" i="5"/>
  <c r="AH275" i="5"/>
  <c r="AI275" i="5"/>
  <c r="AP275" i="5"/>
  <c r="AI359" i="5"/>
  <c r="AH359" i="5"/>
  <c r="AP359" i="5"/>
  <c r="AP172" i="5"/>
  <c r="AH172" i="5"/>
  <c r="AI172" i="5"/>
  <c r="AH502" i="5"/>
  <c r="AI502" i="5"/>
  <c r="AP502" i="5"/>
  <c r="AI463" i="5"/>
  <c r="AH463" i="5"/>
  <c r="AP463" i="5"/>
  <c r="AP422" i="5"/>
  <c r="AI422" i="5"/>
  <c r="AH422" i="5"/>
  <c r="AI409" i="5"/>
  <c r="AH409" i="5"/>
  <c r="AP409" i="5"/>
  <c r="AH270" i="5"/>
  <c r="AI270" i="5"/>
  <c r="AP270" i="5"/>
  <c r="AH136" i="5"/>
  <c r="AI136" i="5"/>
  <c r="AP136" i="5"/>
  <c r="AI334" i="5"/>
  <c r="AH334" i="5"/>
  <c r="AP334" i="5"/>
  <c r="AP430" i="5"/>
  <c r="AI430" i="5"/>
  <c r="AH430" i="5"/>
  <c r="AP478" i="5"/>
  <c r="AH478" i="5"/>
  <c r="AI478" i="5"/>
  <c r="AH445" i="5"/>
  <c r="AP445" i="5"/>
  <c r="AI445" i="5"/>
  <c r="AP436" i="5"/>
  <c r="AI436" i="5"/>
  <c r="AH436" i="5"/>
  <c r="AH243" i="5"/>
  <c r="AI243" i="5"/>
  <c r="AP243" i="5"/>
  <c r="AI47" i="5"/>
  <c r="AH47" i="5"/>
  <c r="AP47" i="5"/>
  <c r="AH470" i="5"/>
  <c r="AP470" i="5"/>
  <c r="AI470" i="5"/>
  <c r="AH549" i="5"/>
  <c r="AP549" i="5"/>
  <c r="AI549" i="5"/>
  <c r="AH513" i="5"/>
  <c r="AP513" i="5"/>
  <c r="AI513" i="5"/>
  <c r="AH372" i="5"/>
  <c r="AI372" i="5"/>
  <c r="AP372" i="5"/>
  <c r="AI295" i="5"/>
  <c r="AH295" i="5"/>
  <c r="AP295" i="5"/>
  <c r="AI93" i="5"/>
  <c r="AH93" i="5"/>
  <c r="AP93" i="5"/>
  <c r="AI286" i="5"/>
  <c r="AH286" i="5"/>
  <c r="AP286" i="5"/>
  <c r="AP495" i="5"/>
  <c r="AI495" i="5"/>
  <c r="AH495" i="5"/>
  <c r="AI516" i="5"/>
  <c r="AH516" i="5"/>
  <c r="AP516" i="5"/>
  <c r="AI417" i="5"/>
  <c r="AP417" i="5"/>
  <c r="AH417" i="5"/>
  <c r="AI338" i="5"/>
  <c r="AP338" i="5"/>
  <c r="AH338" i="5"/>
  <c r="AH181" i="5"/>
  <c r="AP181" i="5"/>
  <c r="AI181" i="5"/>
  <c r="AI479" i="5"/>
  <c r="AH479" i="5"/>
  <c r="AP479" i="5"/>
  <c r="AI532" i="5"/>
  <c r="AH532" i="5"/>
  <c r="AP532" i="5"/>
  <c r="AI423" i="5"/>
  <c r="AP423" i="5"/>
  <c r="AH423" i="5"/>
  <c r="AI344" i="5"/>
  <c r="AH344" i="5"/>
  <c r="AP344" i="5"/>
  <c r="AI330" i="5"/>
  <c r="AP330" i="5"/>
  <c r="AH330" i="5"/>
  <c r="AH198" i="5"/>
  <c r="AI198" i="5"/>
  <c r="AP198" i="5"/>
  <c r="AI429" i="5"/>
  <c r="AH429" i="5"/>
  <c r="AP429" i="5"/>
  <c r="AH308" i="5"/>
  <c r="AP308" i="5"/>
  <c r="AI308" i="5"/>
  <c r="AH188" i="5"/>
  <c r="AI188" i="5"/>
  <c r="AP188" i="5"/>
  <c r="AI179" i="5"/>
  <c r="AH179" i="5"/>
  <c r="AP179" i="5"/>
  <c r="AI98" i="5"/>
  <c r="AH98" i="5"/>
  <c r="AP98" i="5"/>
  <c r="AI33" i="5"/>
  <c r="AH33" i="5"/>
  <c r="AP33" i="5"/>
  <c r="AH162" i="5"/>
  <c r="AI162" i="5"/>
  <c r="AP162" i="5"/>
  <c r="AH143" i="5"/>
  <c r="AI143" i="5"/>
  <c r="AP143" i="5"/>
  <c r="AH37" i="5"/>
  <c r="AI37" i="5"/>
  <c r="AP37" i="5"/>
  <c r="AI356" i="5"/>
  <c r="AH356" i="5"/>
  <c r="AP356" i="5"/>
  <c r="AI314" i="5"/>
  <c r="AH314" i="5"/>
  <c r="AP314" i="5"/>
  <c r="AH176" i="5"/>
  <c r="AI176" i="5"/>
  <c r="AP176" i="5"/>
  <c r="AH118" i="5"/>
  <c r="AI118" i="5"/>
  <c r="AP118" i="5"/>
  <c r="AP23" i="5"/>
  <c r="AH23" i="5"/>
  <c r="AI23" i="5"/>
  <c r="AI388" i="5"/>
  <c r="AP388" i="5"/>
  <c r="AH388" i="5"/>
  <c r="AH266" i="5"/>
  <c r="AP266" i="5"/>
  <c r="AI266" i="5"/>
  <c r="AI207" i="5"/>
  <c r="AP207" i="5"/>
  <c r="AH207" i="5"/>
  <c r="AI123" i="5"/>
  <c r="AP123" i="5"/>
  <c r="AH123" i="5"/>
  <c r="AI76" i="5"/>
  <c r="AH76" i="5"/>
  <c r="AP76" i="5"/>
  <c r="AH382" i="5"/>
  <c r="AI382" i="5"/>
  <c r="AP382" i="5"/>
  <c r="AP258" i="5"/>
  <c r="AI258" i="5"/>
  <c r="AH258" i="5"/>
  <c r="AH192" i="5"/>
  <c r="AI192" i="5"/>
  <c r="AP192" i="5"/>
  <c r="AH116" i="5"/>
  <c r="AP116" i="5"/>
  <c r="AI116" i="5"/>
  <c r="AH72" i="5"/>
  <c r="AI72" i="5"/>
  <c r="AP72" i="5"/>
  <c r="AQ11" i="10"/>
  <c r="AR11" i="10"/>
  <c r="AR65" i="10"/>
  <c r="AQ65" i="10"/>
  <c r="AR115" i="10"/>
  <c r="AQ115" i="10"/>
  <c r="AQ493" i="10"/>
  <c r="AR493" i="10"/>
  <c r="AR554" i="10"/>
  <c r="AQ554" i="10"/>
  <c r="AR57" i="10"/>
  <c r="AQ57" i="10"/>
  <c r="AR145" i="10"/>
  <c r="AQ145" i="10"/>
  <c r="AQ255" i="10"/>
  <c r="AR255" i="10"/>
  <c r="AR378" i="10"/>
  <c r="AQ378" i="10"/>
  <c r="AQ195" i="10"/>
  <c r="AR195" i="10"/>
  <c r="AR481" i="10"/>
  <c r="AQ481" i="10"/>
  <c r="AQ135" i="10"/>
  <c r="AR135" i="10"/>
  <c r="AR286" i="10"/>
  <c r="AQ286" i="10"/>
  <c r="AQ233" i="10"/>
  <c r="AR233" i="10"/>
  <c r="AR296" i="10"/>
  <c r="AQ296" i="10"/>
  <c r="AR428" i="10"/>
  <c r="AQ428" i="10"/>
  <c r="AR125" i="10"/>
  <c r="AQ125" i="10"/>
  <c r="AQ318" i="10"/>
  <c r="AR318" i="10"/>
  <c r="AQ354" i="10"/>
  <c r="AR354" i="10"/>
  <c r="AQ291" i="10"/>
  <c r="AR291" i="10"/>
  <c r="AQ282" i="10"/>
  <c r="AR282" i="10"/>
  <c r="AQ234" i="10"/>
  <c r="AR234" i="10"/>
  <c r="AR486" i="10"/>
  <c r="AQ486" i="10"/>
  <c r="AR558" i="10"/>
  <c r="AQ558" i="10"/>
  <c r="AQ148" i="10"/>
  <c r="AR148" i="10"/>
  <c r="AR535" i="10"/>
  <c r="AQ535" i="10"/>
  <c r="AR49" i="10"/>
  <c r="AQ49" i="10"/>
  <c r="AR420" i="10"/>
  <c r="AQ420" i="10"/>
  <c r="AQ182" i="10"/>
  <c r="AR182" i="10"/>
  <c r="AQ142" i="10"/>
  <c r="AR142" i="10"/>
  <c r="AR401" i="10"/>
  <c r="AQ401" i="10"/>
  <c r="AR280" i="10"/>
  <c r="AQ280" i="10"/>
  <c r="AR362" i="10"/>
  <c r="AQ362" i="10"/>
  <c r="AQ94" i="10"/>
  <c r="AR94" i="10"/>
  <c r="AR443" i="10"/>
  <c r="AQ443" i="10"/>
  <c r="AQ300" i="10"/>
  <c r="AR300" i="10"/>
  <c r="AR275" i="10"/>
  <c r="AQ275" i="10"/>
  <c r="AQ61" i="10"/>
  <c r="AR61" i="10"/>
  <c r="AR242" i="10"/>
  <c r="AQ242" i="10"/>
  <c r="AR495" i="10"/>
  <c r="AQ495" i="10"/>
  <c r="AQ552" i="10"/>
  <c r="AR552" i="10"/>
  <c r="AR132" i="10"/>
  <c r="AQ132" i="10"/>
  <c r="AQ549" i="10"/>
  <c r="AR549" i="10"/>
  <c r="AR99" i="10"/>
  <c r="AQ99" i="10"/>
  <c r="AR404" i="10"/>
  <c r="AQ404" i="10"/>
  <c r="AQ166" i="10"/>
  <c r="AR166" i="10"/>
  <c r="AR158" i="10"/>
  <c r="AQ158" i="10"/>
  <c r="AQ409" i="10"/>
  <c r="AR409" i="10"/>
  <c r="AQ259" i="10"/>
  <c r="AR259" i="10"/>
  <c r="AR168" i="10"/>
  <c r="AQ168" i="10"/>
  <c r="AR249" i="10"/>
  <c r="AQ249" i="10"/>
  <c r="AQ534" i="10"/>
  <c r="AR534" i="10"/>
  <c r="AQ524" i="10"/>
  <c r="AR524" i="10"/>
  <c r="AQ116" i="10"/>
  <c r="AR116" i="10"/>
  <c r="AR527" i="10"/>
  <c r="AQ527" i="10"/>
  <c r="AR67" i="10"/>
  <c r="AQ67" i="10"/>
  <c r="AR388" i="10"/>
  <c r="AQ388" i="10"/>
  <c r="AQ71" i="10"/>
  <c r="AR71" i="10"/>
  <c r="AQ266" i="10"/>
  <c r="AR266" i="10"/>
  <c r="AQ417" i="10"/>
  <c r="AR417" i="10"/>
  <c r="AQ248" i="10"/>
  <c r="AR248" i="10"/>
  <c r="AR341" i="10"/>
  <c r="AQ341" i="10"/>
  <c r="AR50" i="10"/>
  <c r="AQ50" i="10"/>
  <c r="AR316" i="10"/>
  <c r="AQ316" i="10"/>
  <c r="AQ559" i="10"/>
  <c r="AR559" i="10"/>
  <c r="AR355" i="10"/>
  <c r="AQ355" i="10"/>
  <c r="AR176" i="10"/>
  <c r="AQ176" i="10"/>
  <c r="AR257" i="10"/>
  <c r="AQ257" i="10"/>
  <c r="AR519" i="10"/>
  <c r="AQ519" i="10"/>
  <c r="AN272" i="5"/>
  <c r="AO272" i="5"/>
  <c r="AN411" i="5"/>
  <c r="AO411" i="5"/>
  <c r="AN501" i="5"/>
  <c r="AO501" i="5"/>
  <c r="AN310" i="5"/>
  <c r="AO310" i="5"/>
  <c r="AN488" i="5"/>
  <c r="AO488" i="5"/>
  <c r="AO187" i="5"/>
  <c r="AN187" i="5"/>
  <c r="AO469" i="5"/>
  <c r="AN469" i="5"/>
  <c r="AN143" i="5"/>
  <c r="AO143" i="5"/>
  <c r="AN466" i="5"/>
  <c r="AO466" i="5"/>
  <c r="AN170" i="5"/>
  <c r="AO170" i="5"/>
  <c r="AO443" i="5"/>
  <c r="AN443" i="5"/>
  <c r="AN181" i="5"/>
  <c r="AO181" i="5"/>
  <c r="AO441" i="5"/>
  <c r="AN441" i="5"/>
  <c r="AO104" i="5"/>
  <c r="AN104" i="5"/>
  <c r="AO191" i="5"/>
  <c r="AN191" i="5"/>
  <c r="AO134" i="5"/>
  <c r="AN134" i="5"/>
  <c r="AO94" i="5"/>
  <c r="AN94" i="5"/>
  <c r="AO44" i="5"/>
  <c r="AN44" i="5"/>
  <c r="AO540" i="5"/>
  <c r="AN540" i="5"/>
  <c r="AN347" i="5"/>
  <c r="AO347" i="5"/>
  <c r="AN395" i="5"/>
  <c r="AO395" i="5"/>
  <c r="AO410" i="5"/>
  <c r="AN410" i="5"/>
  <c r="AO305" i="5"/>
  <c r="AN305" i="5"/>
  <c r="AN212" i="5"/>
  <c r="AO212" i="5"/>
  <c r="AO148" i="5"/>
  <c r="AN148" i="5"/>
  <c r="AO69" i="5"/>
  <c r="AN69" i="5"/>
  <c r="AM12" i="5"/>
  <c r="T12" i="5"/>
  <c r="AJ12" i="5"/>
  <c r="AG12" i="5"/>
  <c r="W12" i="5"/>
  <c r="Q12" i="5"/>
  <c r="Z12" i="5"/>
  <c r="AO518" i="5"/>
  <c r="AN518" i="5"/>
  <c r="AO426" i="5"/>
  <c r="AN426" i="5"/>
  <c r="AO419" i="5"/>
  <c r="AN419" i="5"/>
  <c r="AO344" i="5"/>
  <c r="AN344" i="5"/>
  <c r="AO282" i="5"/>
  <c r="AN282" i="5"/>
  <c r="AO118" i="5"/>
  <c r="AN118" i="5"/>
  <c r="AO111" i="5"/>
  <c r="AN111" i="5"/>
  <c r="AO39" i="5"/>
  <c r="AN39" i="5"/>
  <c r="AN534" i="5"/>
  <c r="AO534" i="5"/>
  <c r="AN519" i="5"/>
  <c r="AO519" i="5"/>
  <c r="AN379" i="5"/>
  <c r="AO379" i="5"/>
  <c r="AO404" i="5"/>
  <c r="AN404" i="5"/>
  <c r="AO294" i="5"/>
  <c r="AN294" i="5"/>
  <c r="AN204" i="5"/>
  <c r="AO204" i="5"/>
  <c r="AO142" i="5"/>
  <c r="AN142" i="5"/>
  <c r="AN62" i="5"/>
  <c r="AO62" i="5"/>
  <c r="AO529" i="5"/>
  <c r="AN529" i="5"/>
  <c r="AO516" i="5"/>
  <c r="AN516" i="5"/>
  <c r="AN378" i="5"/>
  <c r="AO378" i="5"/>
  <c r="AO393" i="5"/>
  <c r="AN393" i="5"/>
  <c r="AO290" i="5"/>
  <c r="AN290" i="5"/>
  <c r="AO196" i="5"/>
  <c r="AN196" i="5"/>
  <c r="AO139" i="5"/>
  <c r="AN139" i="5"/>
  <c r="AN59" i="5"/>
  <c r="AO59" i="5"/>
  <c r="AO552" i="5"/>
  <c r="AN552" i="5"/>
  <c r="AO493" i="5"/>
  <c r="AN493" i="5"/>
  <c r="AO526" i="5"/>
  <c r="AN526" i="5"/>
  <c r="AO384" i="5"/>
  <c r="AN384" i="5"/>
  <c r="AO314" i="5"/>
  <c r="AN314" i="5"/>
  <c r="AO223" i="5"/>
  <c r="AN223" i="5"/>
  <c r="AN156" i="5"/>
  <c r="AO156" i="5"/>
  <c r="AN114" i="5"/>
  <c r="AO114" i="5"/>
  <c r="AO32" i="5"/>
  <c r="AN32" i="5"/>
  <c r="AN521" i="5"/>
  <c r="AO521" i="5"/>
  <c r="AN512" i="5"/>
  <c r="AO512" i="5"/>
  <c r="AN371" i="5"/>
  <c r="AO371" i="5"/>
  <c r="AN383" i="5"/>
  <c r="AO383" i="5"/>
  <c r="AN278" i="5"/>
  <c r="AO278" i="5"/>
  <c r="AO194" i="5"/>
  <c r="AN194" i="5"/>
  <c r="AN127" i="5"/>
  <c r="AO127" i="5"/>
  <c r="AN23" i="5"/>
  <c r="AO23" i="5"/>
  <c r="AK11" i="5"/>
  <c r="AL11" i="5"/>
  <c r="AL273" i="5"/>
  <c r="AK273" i="5"/>
  <c r="AL554" i="5"/>
  <c r="AK554" i="5"/>
  <c r="AK402" i="5"/>
  <c r="AL402" i="5"/>
  <c r="AK444" i="5"/>
  <c r="AL444" i="5"/>
  <c r="AK392" i="5"/>
  <c r="AL392" i="5"/>
  <c r="AL312" i="5"/>
  <c r="AK312" i="5"/>
  <c r="AK187" i="5"/>
  <c r="AL187" i="5"/>
  <c r="AK155" i="5"/>
  <c r="AL155" i="5"/>
  <c r="AL99" i="5"/>
  <c r="AK99" i="5"/>
  <c r="AL26" i="5"/>
  <c r="AK26" i="5"/>
  <c r="AL163" i="5"/>
  <c r="AK163" i="5"/>
  <c r="AK532" i="5"/>
  <c r="AL532" i="5"/>
  <c r="AL494" i="5"/>
  <c r="AK494" i="5"/>
  <c r="AL387" i="5"/>
  <c r="AK387" i="5"/>
  <c r="AL344" i="5"/>
  <c r="AK344" i="5"/>
  <c r="AK249" i="5"/>
  <c r="AL249" i="5"/>
  <c r="AL238" i="5"/>
  <c r="AK238" i="5"/>
  <c r="AK86" i="5"/>
  <c r="AL86" i="5"/>
  <c r="AL77" i="5"/>
  <c r="AK77" i="5"/>
  <c r="AK517" i="5"/>
  <c r="AL517" i="5"/>
  <c r="AL555" i="5"/>
  <c r="AK555" i="5"/>
  <c r="AL261" i="5"/>
  <c r="AK261" i="5"/>
  <c r="AK463" i="5"/>
  <c r="AL463" i="5"/>
  <c r="AK323" i="5"/>
  <c r="AL323" i="5"/>
  <c r="AK355" i="5"/>
  <c r="AL355" i="5"/>
  <c r="AK321" i="5"/>
  <c r="AL321" i="5"/>
  <c r="AK204" i="5"/>
  <c r="AL204" i="5"/>
  <c r="AK134" i="5"/>
  <c r="AL134" i="5"/>
  <c r="AK57" i="5"/>
  <c r="AL57" i="5"/>
  <c r="AK435" i="5"/>
  <c r="AL435" i="5"/>
  <c r="AK96" i="5"/>
  <c r="AL96" i="5"/>
  <c r="AK558" i="5"/>
  <c r="AL558" i="5"/>
  <c r="AL455" i="5"/>
  <c r="AK455" i="5"/>
  <c r="AK303" i="5"/>
  <c r="AL303" i="5"/>
  <c r="AK353" i="5"/>
  <c r="AL353" i="5"/>
  <c r="AK317" i="5"/>
  <c r="AL317" i="5"/>
  <c r="AK203" i="5"/>
  <c r="AL203" i="5"/>
  <c r="AK132" i="5"/>
  <c r="AL132" i="5"/>
  <c r="AK56" i="5"/>
  <c r="AL56" i="5"/>
  <c r="AL473" i="5"/>
  <c r="AK473" i="5"/>
  <c r="AK51" i="5"/>
  <c r="AL51" i="5"/>
  <c r="AK533" i="5"/>
  <c r="AL533" i="5"/>
  <c r="AL431" i="5"/>
  <c r="AK431" i="5"/>
  <c r="AL395" i="5"/>
  <c r="AK395" i="5"/>
  <c r="AK311" i="5"/>
  <c r="AL311" i="5"/>
  <c r="AL272" i="5"/>
  <c r="AK272" i="5"/>
  <c r="AL205" i="5"/>
  <c r="AK205" i="5"/>
  <c r="AL152" i="5"/>
  <c r="AK152" i="5"/>
  <c r="AK59" i="5"/>
  <c r="AL59" i="5"/>
  <c r="AK342" i="5"/>
  <c r="AL342" i="5"/>
  <c r="AK504" i="5"/>
  <c r="AL504" i="5"/>
  <c r="AK442" i="5"/>
  <c r="AL442" i="5"/>
  <c r="AK482" i="5"/>
  <c r="AL482" i="5"/>
  <c r="AK439" i="5"/>
  <c r="AL439" i="5"/>
  <c r="AK250" i="5"/>
  <c r="AL250" i="5"/>
  <c r="AK223" i="5"/>
  <c r="AL223" i="5"/>
  <c r="AL186" i="5"/>
  <c r="AK186" i="5"/>
  <c r="AK100" i="5"/>
  <c r="AL100" i="5"/>
  <c r="AK44" i="5"/>
  <c r="AL44" i="5"/>
  <c r="AK498" i="5"/>
  <c r="AL498" i="5"/>
  <c r="AK437" i="5"/>
  <c r="AL437" i="5"/>
  <c r="AL480" i="5"/>
  <c r="AK480" i="5"/>
  <c r="AL434" i="5"/>
  <c r="AK434" i="5"/>
  <c r="AK245" i="5"/>
  <c r="AL245" i="5"/>
  <c r="AK220" i="5"/>
  <c r="AL220" i="5"/>
  <c r="AK185" i="5"/>
  <c r="AL185" i="5"/>
  <c r="AK98" i="5"/>
  <c r="AL98" i="5"/>
  <c r="AK41" i="5"/>
  <c r="AL41" i="5"/>
  <c r="AS360" i="10"/>
  <c r="AS375" i="10"/>
  <c r="AS328" i="10"/>
  <c r="AS384" i="10"/>
  <c r="AS337" i="10"/>
  <c r="AS242" i="10"/>
  <c r="AS273" i="10"/>
  <c r="AS153" i="10"/>
  <c r="AS158" i="10"/>
  <c r="AS120" i="10"/>
  <c r="AS236" i="10"/>
  <c r="AS332" i="10"/>
  <c r="AS416" i="10"/>
  <c r="AS531" i="10"/>
  <c r="AS157" i="10"/>
  <c r="AS162" i="10"/>
  <c r="AS124" i="10"/>
  <c r="AS240" i="10"/>
  <c r="AS336" i="10"/>
  <c r="AS420" i="10"/>
  <c r="AS520" i="10"/>
  <c r="AS22" i="10"/>
  <c r="AS231" i="10"/>
  <c r="AS160" i="10"/>
  <c r="AS190" i="10"/>
  <c r="AS317" i="10"/>
  <c r="AS410" i="10"/>
  <c r="AS26" i="10"/>
  <c r="AS43" i="10"/>
  <c r="AS123" i="10"/>
  <c r="AS195" i="10"/>
  <c r="AS226" i="10"/>
  <c r="AS353" i="10"/>
  <c r="AS399" i="10"/>
  <c r="AS56" i="10"/>
  <c r="AS83" i="10"/>
  <c r="AS159" i="10"/>
  <c r="AS229" i="10"/>
  <c r="AS261" i="10"/>
  <c r="AS258" i="10"/>
  <c r="AS437" i="10"/>
  <c r="AS93" i="10"/>
  <c r="AS181" i="10"/>
  <c r="AS248" i="10"/>
  <c r="AS267" i="10"/>
  <c r="AS297" i="10"/>
  <c r="AS294" i="10"/>
  <c r="AS361" i="10"/>
  <c r="AS45" i="10"/>
  <c r="AS86" i="10"/>
  <c r="AS284" i="10"/>
  <c r="AS303" i="10"/>
  <c r="AS331" i="10"/>
  <c r="AS330" i="10"/>
  <c r="AS445" i="10"/>
  <c r="AS470" i="10"/>
  <c r="AS530" i="10"/>
  <c r="AS449" i="10"/>
  <c r="AS507" i="10"/>
  <c r="AS448" i="10"/>
  <c r="AS514" i="10"/>
  <c r="AS431" i="10"/>
  <c r="AS500" i="10"/>
  <c r="AS409" i="10"/>
  <c r="AS505" i="10"/>
  <c r="AS381" i="10"/>
  <c r="AS492" i="10"/>
  <c r="AS558" i="10"/>
  <c r="AS8" i="10"/>
  <c r="AL541" i="10"/>
  <c r="AK541" i="10"/>
  <c r="AK379" i="10"/>
  <c r="AL379" i="10"/>
  <c r="AK442" i="10"/>
  <c r="AL442" i="10"/>
  <c r="AK386" i="10"/>
  <c r="AL386" i="10"/>
  <c r="AK467" i="10"/>
  <c r="AL467" i="10"/>
  <c r="AL453" i="10"/>
  <c r="AK453" i="10"/>
  <c r="AK87" i="10"/>
  <c r="AL87" i="10"/>
  <c r="AK76" i="10"/>
  <c r="AL76" i="10"/>
  <c r="AK117" i="10"/>
  <c r="AL117" i="10"/>
  <c r="AL98" i="10"/>
  <c r="AK98" i="10"/>
  <c r="AK352" i="10"/>
  <c r="AL352" i="10"/>
  <c r="AL534" i="10"/>
  <c r="AK534" i="10"/>
  <c r="AL114" i="10"/>
  <c r="AK114" i="10"/>
  <c r="AL275" i="10"/>
  <c r="AK275" i="10"/>
  <c r="AL321" i="10"/>
  <c r="AK321" i="10"/>
  <c r="AK200" i="10"/>
  <c r="AL200" i="10"/>
  <c r="AL241" i="10"/>
  <c r="AK241" i="10"/>
  <c r="AL557" i="10"/>
  <c r="AK557" i="10"/>
  <c r="AL26" i="10"/>
  <c r="AK26" i="10"/>
  <c r="AK335" i="10"/>
  <c r="AL335" i="10"/>
  <c r="AL332" i="10"/>
  <c r="AK332" i="10"/>
  <c r="AK414" i="10"/>
  <c r="AL414" i="10"/>
  <c r="AK413" i="10"/>
  <c r="AL413" i="10"/>
  <c r="AK292" i="10"/>
  <c r="AL292" i="10"/>
  <c r="AK36" i="10"/>
  <c r="AL36" i="10"/>
  <c r="AK77" i="10"/>
  <c r="AL77" i="10"/>
  <c r="AL404" i="10"/>
  <c r="AK404" i="10"/>
  <c r="AK186" i="10"/>
  <c r="AL186" i="10"/>
  <c r="AL494" i="10"/>
  <c r="AK494" i="10"/>
  <c r="AK555" i="10"/>
  <c r="AL555" i="10"/>
  <c r="AK170" i="10"/>
  <c r="AL170" i="10"/>
  <c r="AL255" i="10"/>
  <c r="AK255" i="10"/>
  <c r="AL160" i="10"/>
  <c r="AK160" i="10"/>
  <c r="AL201" i="10"/>
  <c r="AK201" i="10"/>
  <c r="AK411" i="10"/>
  <c r="AL411" i="10"/>
  <c r="AL553" i="10"/>
  <c r="AK553" i="10"/>
  <c r="AK314" i="10"/>
  <c r="AL314" i="10"/>
  <c r="AL322" i="10"/>
  <c r="AK322" i="10"/>
  <c r="AK403" i="10"/>
  <c r="AL403" i="10"/>
  <c r="AL405" i="10"/>
  <c r="AK405" i="10"/>
  <c r="AK284" i="10"/>
  <c r="AL284" i="10"/>
  <c r="AK28" i="10"/>
  <c r="AL28" i="10"/>
  <c r="AK69" i="10"/>
  <c r="AL69" i="10"/>
  <c r="AL362" i="10"/>
  <c r="AK362" i="10"/>
  <c r="AL142" i="10"/>
  <c r="AK142" i="10"/>
  <c r="AL486" i="10"/>
  <c r="AK486" i="10"/>
  <c r="AK547" i="10"/>
  <c r="AL547" i="10"/>
  <c r="AL147" i="10"/>
  <c r="AK147" i="10"/>
  <c r="AK239" i="10"/>
  <c r="AL239" i="10"/>
  <c r="AK152" i="10"/>
  <c r="AL152" i="10"/>
  <c r="AK193" i="10"/>
  <c r="AL193" i="10"/>
  <c r="AL174" i="10"/>
  <c r="AK174" i="10"/>
  <c r="AL537" i="10"/>
  <c r="AK537" i="10"/>
  <c r="AK278" i="10"/>
  <c r="AL278" i="10"/>
  <c r="AK310" i="10"/>
  <c r="AL310" i="10"/>
  <c r="AL392" i="10"/>
  <c r="AK392" i="10"/>
  <c r="AL397" i="10"/>
  <c r="AK397" i="10"/>
  <c r="AL276" i="10"/>
  <c r="AK276" i="10"/>
  <c r="AL20" i="10"/>
  <c r="AK20" i="10"/>
  <c r="AL61" i="10"/>
  <c r="AK61" i="10"/>
  <c r="AK319" i="10"/>
  <c r="AL319" i="10"/>
  <c r="AK99" i="10"/>
  <c r="AL99" i="10"/>
  <c r="AL476" i="10"/>
  <c r="AK476" i="10"/>
  <c r="AL539" i="10"/>
  <c r="AK539" i="10"/>
  <c r="AK126" i="10"/>
  <c r="AL126" i="10"/>
  <c r="AL223" i="10"/>
  <c r="AK223" i="10"/>
  <c r="AK144" i="10"/>
  <c r="AL144" i="10"/>
  <c r="AK185" i="10"/>
  <c r="AL185" i="10"/>
  <c r="Y13" i="10"/>
  <c r="X13" i="10"/>
  <c r="AO167" i="10"/>
  <c r="AN167" i="10"/>
  <c r="AO268" i="10"/>
  <c r="AN268" i="10"/>
  <c r="AN179" i="10"/>
  <c r="AO179" i="10"/>
  <c r="AO55" i="10"/>
  <c r="AN55" i="10"/>
  <c r="AN489" i="10"/>
  <c r="AO489" i="10"/>
  <c r="AO196" i="10"/>
  <c r="AN196" i="10"/>
  <c r="AO532" i="10"/>
  <c r="AN532" i="10"/>
  <c r="AO445" i="10"/>
  <c r="AN445" i="10"/>
  <c r="AN237" i="10"/>
  <c r="AO237" i="10"/>
  <c r="AO195" i="10"/>
  <c r="AN195" i="10"/>
  <c r="AO96" i="10"/>
  <c r="AN96" i="10"/>
  <c r="AN35" i="10"/>
  <c r="AO35" i="10"/>
  <c r="AI355" i="5"/>
  <c r="AH355" i="5"/>
  <c r="AP355" i="5"/>
  <c r="AP117" i="5"/>
  <c r="AH117" i="5"/>
  <c r="AI117" i="5"/>
  <c r="AI66" i="5"/>
  <c r="AH66" i="5"/>
  <c r="AP66" i="5"/>
  <c r="AH467" i="5"/>
  <c r="AP467" i="5"/>
  <c r="AI467" i="5"/>
  <c r="AH492" i="5"/>
  <c r="AP492" i="5"/>
  <c r="AI492" i="5"/>
  <c r="AI475" i="5"/>
  <c r="AH475" i="5"/>
  <c r="AP475" i="5"/>
  <c r="AH73" i="5"/>
  <c r="AI73" i="5"/>
  <c r="AP73" i="5"/>
  <c r="AP257" i="5"/>
  <c r="AH257" i="5"/>
  <c r="AI257" i="5"/>
  <c r="AI206" i="5"/>
  <c r="AH206" i="5"/>
  <c r="AP206" i="5"/>
  <c r="AQ10" i="10"/>
  <c r="AR10" i="10"/>
  <c r="AR319" i="10"/>
  <c r="AQ319" i="10"/>
  <c r="AR399" i="10"/>
  <c r="AQ399" i="10"/>
  <c r="AR488" i="10"/>
  <c r="AQ488" i="10"/>
  <c r="AR456" i="10"/>
  <c r="AQ456" i="10"/>
  <c r="AQ450" i="10"/>
  <c r="AR450" i="10"/>
  <c r="AR403" i="10"/>
  <c r="AQ403" i="10"/>
  <c r="AN327" i="5"/>
  <c r="AO327" i="5"/>
  <c r="AO368" i="5"/>
  <c r="AN368" i="5"/>
  <c r="AN205" i="5"/>
  <c r="AO205" i="5"/>
  <c r="AO218" i="5"/>
  <c r="AN218" i="5"/>
  <c r="AN543" i="5"/>
  <c r="AO543" i="5"/>
  <c r="AO178" i="5"/>
  <c r="AN178" i="5"/>
  <c r="AN446" i="5"/>
  <c r="AO446" i="5"/>
  <c r="AN123" i="5"/>
  <c r="AO123" i="5"/>
  <c r="AK499" i="5"/>
  <c r="AL499" i="5"/>
  <c r="AK102" i="5"/>
  <c r="AL102" i="5"/>
  <c r="AL325" i="5"/>
  <c r="AK325" i="5"/>
  <c r="AK420" i="5"/>
  <c r="AL420" i="5"/>
  <c r="AK335" i="5"/>
  <c r="AL335" i="5"/>
  <c r="AN475" i="10"/>
  <c r="AO475" i="10"/>
  <c r="AN323" i="10"/>
  <c r="AO323" i="10"/>
  <c r="AN147" i="10"/>
  <c r="AO147" i="10"/>
  <c r="AN322" i="10"/>
  <c r="AO322" i="10"/>
  <c r="AO425" i="10"/>
  <c r="AN425" i="10"/>
  <c r="AO275" i="10"/>
  <c r="AN275" i="10"/>
  <c r="AN245" i="10"/>
  <c r="AO245" i="10"/>
  <c r="AO476" i="10"/>
  <c r="AN476" i="10"/>
  <c r="AN51" i="10"/>
  <c r="AO51" i="10"/>
  <c r="AN533" i="10"/>
  <c r="AO533" i="10"/>
  <c r="AN491" i="10"/>
  <c r="AO491" i="10"/>
  <c r="AO39" i="10"/>
  <c r="AN39" i="10"/>
  <c r="AN125" i="10"/>
  <c r="AO125" i="10"/>
  <c r="AO332" i="10"/>
  <c r="AN332" i="10"/>
  <c r="AO113" i="10"/>
  <c r="AN113" i="10"/>
  <c r="AN431" i="10"/>
  <c r="AO431" i="10"/>
  <c r="AN36" i="10"/>
  <c r="AO36" i="10"/>
  <c r="AN136" i="10"/>
  <c r="AO136" i="10"/>
  <c r="AO44" i="10"/>
  <c r="AN44" i="10"/>
  <c r="AI9" i="5"/>
  <c r="AH9" i="5"/>
  <c r="AP9" i="5"/>
  <c r="AI497" i="5"/>
  <c r="AH497" i="5"/>
  <c r="AP497" i="5"/>
  <c r="AH128" i="5"/>
  <c r="AP128" i="5"/>
  <c r="AI128" i="5"/>
  <c r="AI454" i="5"/>
  <c r="AH454" i="5"/>
  <c r="AP454" i="5"/>
  <c r="AI226" i="5"/>
  <c r="AP226" i="5"/>
  <c r="AH226" i="5"/>
  <c r="AI441" i="5"/>
  <c r="AH441" i="5"/>
  <c r="AP441" i="5"/>
  <c r="AI291" i="5"/>
  <c r="AH291" i="5"/>
  <c r="AP291" i="5"/>
  <c r="AI500" i="5"/>
  <c r="AH500" i="5"/>
  <c r="AP500" i="5"/>
  <c r="AH376" i="5"/>
  <c r="AP376" i="5"/>
  <c r="AI376" i="5"/>
  <c r="AP273" i="5"/>
  <c r="AI273" i="5"/>
  <c r="AH273" i="5"/>
  <c r="AI351" i="5"/>
  <c r="AP351" i="5"/>
  <c r="AH351" i="5"/>
  <c r="AI427" i="5"/>
  <c r="AP427" i="5"/>
  <c r="AH427" i="5"/>
  <c r="AI438" i="5"/>
  <c r="AH438" i="5"/>
  <c r="AP438" i="5"/>
  <c r="AI31" i="5"/>
  <c r="AH31" i="5"/>
  <c r="AP31" i="5"/>
  <c r="AI481" i="5"/>
  <c r="AP481" i="5"/>
  <c r="AH481" i="5"/>
  <c r="AI62" i="5"/>
  <c r="AP62" i="5"/>
  <c r="AH62" i="5"/>
  <c r="AI95" i="5"/>
  <c r="AH95" i="5"/>
  <c r="AP95" i="5"/>
  <c r="AP193" i="5"/>
  <c r="AI193" i="5"/>
  <c r="AH193" i="5"/>
  <c r="AI397" i="5"/>
  <c r="AH397" i="5"/>
  <c r="AP397" i="5"/>
  <c r="AI211" i="5"/>
  <c r="AH211" i="5"/>
  <c r="AP211" i="5"/>
  <c r="AI180" i="5"/>
  <c r="AP180" i="5"/>
  <c r="AH180" i="5"/>
  <c r="AH213" i="5"/>
  <c r="AP213" i="5"/>
  <c r="AI213" i="5"/>
  <c r="AI46" i="5"/>
  <c r="AH46" i="5"/>
  <c r="AP46" i="5"/>
  <c r="AI105" i="5"/>
  <c r="AH105" i="5"/>
  <c r="AP105" i="5"/>
  <c r="AR315" i="10"/>
  <c r="AQ315" i="10"/>
  <c r="AR264" i="10"/>
  <c r="AQ264" i="10"/>
  <c r="AR333" i="10"/>
  <c r="AQ333" i="10"/>
  <c r="AQ377" i="10"/>
  <c r="AR377" i="10"/>
  <c r="AQ261" i="10"/>
  <c r="AR261" i="10"/>
  <c r="AR169" i="10"/>
  <c r="AQ169" i="10"/>
  <c r="AO330" i="10"/>
  <c r="AN330" i="10"/>
  <c r="AO258" i="10"/>
  <c r="AN258" i="10"/>
  <c r="AN374" i="10"/>
  <c r="AO374" i="10"/>
  <c r="AN233" i="10"/>
  <c r="AO233" i="10"/>
  <c r="AN215" i="10"/>
  <c r="AO215" i="10"/>
  <c r="AO220" i="10"/>
  <c r="AN220" i="10"/>
  <c r="AN171" i="10"/>
  <c r="AO171" i="10"/>
  <c r="AO393" i="10"/>
  <c r="AN393" i="10"/>
  <c r="AN484" i="10"/>
  <c r="AO484" i="10"/>
  <c r="AN163" i="10"/>
  <c r="AO163" i="10"/>
  <c r="AO22" i="10"/>
  <c r="AN22" i="10"/>
  <c r="AO118" i="10"/>
  <c r="AN118" i="10"/>
  <c r="AO153" i="10"/>
  <c r="AN153" i="10"/>
  <c r="AO456" i="10"/>
  <c r="AN456" i="10"/>
  <c r="AO376" i="10"/>
  <c r="AN376" i="10"/>
  <c r="AO368" i="10"/>
  <c r="AN368" i="10"/>
  <c r="AO480" i="10"/>
  <c r="AN480" i="10"/>
  <c r="AN123" i="10"/>
  <c r="AO123" i="10"/>
  <c r="AN446" i="10"/>
  <c r="AO446" i="10"/>
  <c r="AN116" i="10"/>
  <c r="AO116" i="10"/>
  <c r="AO150" i="10"/>
  <c r="AN150" i="10"/>
  <c r="AN423" i="10"/>
  <c r="AO423" i="10"/>
  <c r="AO291" i="10"/>
  <c r="AN291" i="10"/>
  <c r="AO412" i="10"/>
  <c r="AN412" i="10"/>
  <c r="AN271" i="10"/>
  <c r="AO271" i="10"/>
  <c r="AN279" i="10"/>
  <c r="AO279" i="10"/>
  <c r="AN138" i="10"/>
  <c r="AO138" i="10"/>
  <c r="AN538" i="10"/>
  <c r="AO538" i="10"/>
  <c r="AN435" i="10"/>
  <c r="AO435" i="10"/>
  <c r="AN155" i="10"/>
  <c r="AO155" i="10"/>
  <c r="AO67" i="10"/>
  <c r="AN67" i="10"/>
  <c r="AN298" i="10"/>
  <c r="AO298" i="10"/>
  <c r="AO234" i="10"/>
  <c r="AN234" i="10"/>
  <c r="AO242" i="10"/>
  <c r="AN242" i="10"/>
  <c r="AO553" i="10"/>
  <c r="AN553" i="10"/>
  <c r="AO141" i="10"/>
  <c r="AN141" i="10"/>
  <c r="AO433" i="10"/>
  <c r="AN433" i="10"/>
  <c r="AO131" i="10"/>
  <c r="AN131" i="10"/>
  <c r="AN54" i="10"/>
  <c r="AO54" i="10"/>
  <c r="AO270" i="10"/>
  <c r="AN270" i="10"/>
  <c r="AO232" i="10"/>
  <c r="AN232" i="10"/>
  <c r="AN240" i="10"/>
  <c r="AO240" i="10"/>
  <c r="AO542" i="10"/>
  <c r="AN542" i="10"/>
  <c r="AO440" i="10"/>
  <c r="AN440" i="10"/>
  <c r="AN461" i="10"/>
  <c r="AO461" i="10"/>
  <c r="AO384" i="10"/>
  <c r="AN384" i="10"/>
  <c r="AO236" i="10"/>
  <c r="AN236" i="10"/>
  <c r="AO346" i="10"/>
  <c r="AN346" i="10"/>
  <c r="AN261" i="10"/>
  <c r="AO261" i="10"/>
  <c r="AN269" i="10"/>
  <c r="AO269" i="10"/>
  <c r="AO74" i="10"/>
  <c r="AN74" i="10"/>
  <c r="AO556" i="10"/>
  <c r="AN556" i="10"/>
  <c r="AN558" i="10"/>
  <c r="AO558" i="10"/>
  <c r="AO243" i="10"/>
  <c r="AN243" i="10"/>
  <c r="AN224" i="10"/>
  <c r="AO224" i="10"/>
  <c r="AN231" i="10"/>
  <c r="AO231" i="10"/>
  <c r="AN20" i="10"/>
  <c r="AO20" i="10"/>
  <c r="AO111" i="10"/>
  <c r="AN111" i="10"/>
  <c r="AO76" i="10"/>
  <c r="AN76" i="10"/>
  <c r="AN146" i="10"/>
  <c r="AO146" i="10"/>
  <c r="AN69" i="10"/>
  <c r="AO69" i="10"/>
  <c r="AO144" i="10"/>
  <c r="AN144" i="10"/>
  <c r="AO93" i="10"/>
  <c r="AN93" i="10"/>
  <c r="AO294" i="10"/>
  <c r="AN294" i="10"/>
  <c r="AO88" i="10"/>
  <c r="AN88" i="10"/>
  <c r="AN292" i="10"/>
  <c r="AO292" i="10"/>
  <c r="AN80" i="10"/>
  <c r="AO80" i="10"/>
  <c r="AN289" i="10"/>
  <c r="AO289" i="10"/>
  <c r="AO75" i="10"/>
  <c r="AN75" i="10"/>
  <c r="AN30" i="10"/>
  <c r="AO30" i="10"/>
  <c r="AI504" i="5"/>
  <c r="AP504" i="5"/>
  <c r="AH504" i="5"/>
  <c r="AP527" i="5"/>
  <c r="AI527" i="5"/>
  <c r="AH527" i="5"/>
  <c r="AP557" i="5"/>
  <c r="AH557" i="5"/>
  <c r="AI557" i="5"/>
  <c r="AH294" i="5"/>
  <c r="AP294" i="5"/>
  <c r="AI294" i="5"/>
  <c r="AH387" i="5"/>
  <c r="AP387" i="5"/>
  <c r="AI387" i="5"/>
  <c r="AI322" i="5"/>
  <c r="AP322" i="5"/>
  <c r="AH322" i="5"/>
  <c r="AH75" i="5"/>
  <c r="AI75" i="5"/>
  <c r="AP75" i="5"/>
  <c r="AP313" i="5"/>
  <c r="AI313" i="5"/>
  <c r="AH313" i="5"/>
  <c r="AP444" i="5"/>
  <c r="AI444" i="5"/>
  <c r="AH444" i="5"/>
  <c r="AH496" i="5"/>
  <c r="AP496" i="5"/>
  <c r="AI496" i="5"/>
  <c r="AH402" i="5"/>
  <c r="AP402" i="5"/>
  <c r="AI402" i="5"/>
  <c r="AI300" i="5"/>
  <c r="AH300" i="5"/>
  <c r="AP300" i="5"/>
  <c r="AI187" i="5"/>
  <c r="AH187" i="5"/>
  <c r="AP187" i="5"/>
  <c r="AI503" i="5"/>
  <c r="AH503" i="5"/>
  <c r="AP503" i="5"/>
  <c r="AH551" i="5"/>
  <c r="AP551" i="5"/>
  <c r="AI551" i="5"/>
  <c r="AI522" i="5"/>
  <c r="AH522" i="5"/>
  <c r="AP522" i="5"/>
  <c r="AI381" i="5"/>
  <c r="AP381" i="5"/>
  <c r="AH381" i="5"/>
  <c r="AI312" i="5"/>
  <c r="AH312" i="5"/>
  <c r="AP312" i="5"/>
  <c r="AH102" i="5"/>
  <c r="AP102" i="5"/>
  <c r="AI102" i="5"/>
  <c r="AP362" i="5"/>
  <c r="AI362" i="5"/>
  <c r="AH362" i="5"/>
  <c r="AI358" i="5"/>
  <c r="AH358" i="5"/>
  <c r="AP358" i="5"/>
  <c r="AI453" i="5"/>
  <c r="AH453" i="5"/>
  <c r="AP453" i="5"/>
  <c r="AI371" i="5"/>
  <c r="AH371" i="5"/>
  <c r="AP371" i="5"/>
  <c r="AI378" i="5"/>
  <c r="AH378" i="5"/>
  <c r="AP378" i="5"/>
  <c r="AI215" i="5"/>
  <c r="AP215" i="5"/>
  <c r="AH215" i="5"/>
  <c r="AI8" i="5"/>
  <c r="AH8" i="5"/>
  <c r="AP8" i="5"/>
  <c r="AH529" i="5"/>
  <c r="AI529" i="5"/>
  <c r="AP529" i="5"/>
  <c r="AH512" i="5"/>
  <c r="AI512" i="5"/>
  <c r="AP512" i="5"/>
  <c r="AP488" i="5"/>
  <c r="AH488" i="5"/>
  <c r="AI488" i="5"/>
  <c r="AH326" i="5"/>
  <c r="AI326" i="5"/>
  <c r="AP326" i="5"/>
  <c r="AH249" i="5"/>
  <c r="AP249" i="5"/>
  <c r="AI249" i="5"/>
  <c r="AI20" i="5"/>
  <c r="AH20" i="5"/>
  <c r="AP20" i="5"/>
  <c r="AI163" i="5"/>
  <c r="AH163" i="5"/>
  <c r="AP163" i="5"/>
  <c r="AH542" i="5"/>
  <c r="AP542" i="5"/>
  <c r="AI542" i="5"/>
  <c r="AI483" i="5"/>
  <c r="AP483" i="5"/>
  <c r="AH483" i="5"/>
  <c r="AH375" i="5"/>
  <c r="AP375" i="5"/>
  <c r="AI375" i="5"/>
  <c r="AI264" i="5"/>
  <c r="AH264" i="5"/>
  <c r="AP264" i="5"/>
  <c r="AH150" i="5"/>
  <c r="AI150" i="5"/>
  <c r="AP150" i="5"/>
  <c r="AP501" i="5"/>
  <c r="AI501" i="5"/>
  <c r="AH501" i="5"/>
  <c r="AH484" i="5"/>
  <c r="AI484" i="5"/>
  <c r="AP484" i="5"/>
  <c r="AP515" i="5"/>
  <c r="AI515" i="5"/>
  <c r="AH515" i="5"/>
  <c r="AP414" i="5"/>
  <c r="AI414" i="5"/>
  <c r="AH414" i="5"/>
  <c r="AI335" i="5"/>
  <c r="AH335" i="5"/>
  <c r="AP335" i="5"/>
  <c r="AI165" i="5"/>
  <c r="AH165" i="5"/>
  <c r="AP165" i="5"/>
  <c r="AI400" i="5"/>
  <c r="AP400" i="5"/>
  <c r="AH400" i="5"/>
  <c r="AH279" i="5"/>
  <c r="AI279" i="5"/>
  <c r="AP279" i="5"/>
  <c r="AP220" i="5"/>
  <c r="AH220" i="5"/>
  <c r="AI220" i="5"/>
  <c r="AP147" i="5"/>
  <c r="AI147" i="5"/>
  <c r="AH147" i="5"/>
  <c r="AI86" i="5"/>
  <c r="AH86" i="5"/>
  <c r="AP86" i="5"/>
  <c r="AI214" i="5"/>
  <c r="AP214" i="5"/>
  <c r="AH214" i="5"/>
  <c r="AH184" i="5"/>
  <c r="AI184" i="5"/>
  <c r="AP184" i="5"/>
  <c r="AI113" i="5"/>
  <c r="AH113" i="5"/>
  <c r="AP113" i="5"/>
  <c r="AH36" i="5"/>
  <c r="AI36" i="5"/>
  <c r="AP36" i="5"/>
  <c r="AI336" i="5"/>
  <c r="AH336" i="5"/>
  <c r="AP336" i="5"/>
  <c r="AP283" i="5"/>
  <c r="AH283" i="5"/>
  <c r="AI283" i="5"/>
  <c r="AH190" i="5"/>
  <c r="AI190" i="5"/>
  <c r="AP190" i="5"/>
  <c r="AH142" i="5"/>
  <c r="AP142" i="5"/>
  <c r="AI142" i="5"/>
  <c r="AI41" i="5"/>
  <c r="AH41" i="5"/>
  <c r="AP41" i="5"/>
  <c r="AP310" i="5"/>
  <c r="AI310" i="5"/>
  <c r="AH310" i="5"/>
  <c r="AH203" i="5"/>
  <c r="AI203" i="5"/>
  <c r="AP203" i="5"/>
  <c r="AH227" i="5"/>
  <c r="AP227" i="5"/>
  <c r="AI227" i="5"/>
  <c r="AI137" i="5"/>
  <c r="AP137" i="5"/>
  <c r="AH137" i="5"/>
  <c r="AP80" i="5"/>
  <c r="AI80" i="5"/>
  <c r="AH80" i="5"/>
  <c r="AP290" i="5"/>
  <c r="AH290" i="5"/>
  <c r="AI290" i="5"/>
  <c r="AH332" i="5"/>
  <c r="AP332" i="5"/>
  <c r="AI332" i="5"/>
  <c r="AI223" i="5"/>
  <c r="AH223" i="5"/>
  <c r="AP223" i="5"/>
  <c r="AH134" i="5"/>
  <c r="AP134" i="5"/>
  <c r="AI134" i="5"/>
  <c r="AI26" i="5"/>
  <c r="AH26" i="5"/>
  <c r="AP26" i="5"/>
  <c r="AQ9" i="10"/>
  <c r="AR9" i="10"/>
  <c r="AQ279" i="10"/>
  <c r="AR279" i="10"/>
  <c r="AQ490" i="10"/>
  <c r="AR490" i="10"/>
  <c r="AR143" i="10"/>
  <c r="AQ143" i="10"/>
  <c r="AQ340" i="10"/>
  <c r="AR340" i="10"/>
  <c r="AR348" i="10"/>
  <c r="AQ348" i="10"/>
  <c r="AQ51" i="10"/>
  <c r="AR51" i="10"/>
  <c r="AR211" i="10"/>
  <c r="AQ211" i="10"/>
  <c r="AQ548" i="10"/>
  <c r="AR548" i="10"/>
  <c r="AQ33" i="10"/>
  <c r="AR33" i="10"/>
  <c r="AR478" i="10"/>
  <c r="AQ478" i="10"/>
  <c r="AR97" i="10"/>
  <c r="AQ97" i="10"/>
  <c r="AR130" i="10"/>
  <c r="AQ130" i="10"/>
  <c r="AQ393" i="10"/>
  <c r="AR393" i="10"/>
  <c r="AR187" i="10"/>
  <c r="AQ187" i="10"/>
  <c r="AQ325" i="10"/>
  <c r="AR325" i="10"/>
  <c r="AQ73" i="10"/>
  <c r="AR73" i="10"/>
  <c r="AR304" i="10"/>
  <c r="AQ304" i="10"/>
  <c r="AQ555" i="10"/>
  <c r="AR555" i="10"/>
  <c r="AR323" i="10"/>
  <c r="AQ323" i="10"/>
  <c r="AR184" i="10"/>
  <c r="AQ184" i="10"/>
  <c r="AR265" i="10"/>
  <c r="AQ265" i="10"/>
  <c r="AR543" i="10"/>
  <c r="AQ543" i="10"/>
  <c r="AQ525" i="10"/>
  <c r="AR525" i="10"/>
  <c r="AQ183" i="10"/>
  <c r="AR183" i="10"/>
  <c r="AQ476" i="10"/>
  <c r="AR476" i="10"/>
  <c r="AR66" i="10"/>
  <c r="AQ66" i="10"/>
  <c r="AR445" i="10"/>
  <c r="AQ445" i="10"/>
  <c r="AR133" i="10"/>
  <c r="AQ133" i="10"/>
  <c r="AQ220" i="10"/>
  <c r="AR220" i="10"/>
  <c r="AQ306" i="10"/>
  <c r="AR306" i="10"/>
  <c r="AR155" i="10"/>
  <c r="AQ155" i="10"/>
  <c r="AQ309" i="10"/>
  <c r="AR309" i="10"/>
  <c r="AQ55" i="10"/>
  <c r="AR55" i="10"/>
  <c r="AR343" i="10"/>
  <c r="AQ343" i="10"/>
  <c r="AQ536" i="10"/>
  <c r="AR536" i="10"/>
  <c r="AR219" i="10"/>
  <c r="AQ219" i="10"/>
  <c r="AR192" i="10"/>
  <c r="AQ192" i="10"/>
  <c r="AR273" i="10"/>
  <c r="AQ273" i="10"/>
  <c r="AQ544" i="10"/>
  <c r="AR544" i="10"/>
  <c r="AR497" i="10"/>
  <c r="AQ497" i="10"/>
  <c r="AR159" i="10"/>
  <c r="AQ159" i="10"/>
  <c r="AR483" i="10"/>
  <c r="AQ483" i="10"/>
  <c r="AR137" i="10"/>
  <c r="AQ137" i="10"/>
  <c r="AR414" i="10"/>
  <c r="AQ414" i="10"/>
  <c r="AR101" i="10"/>
  <c r="AQ101" i="10"/>
  <c r="AQ228" i="10"/>
  <c r="AR228" i="10"/>
  <c r="AQ383" i="10"/>
  <c r="AR383" i="10"/>
  <c r="AR152" i="10"/>
  <c r="AQ152" i="10"/>
  <c r="AR206" i="10"/>
  <c r="AQ206" i="10"/>
  <c r="AQ281" i="10"/>
  <c r="AR281" i="10"/>
  <c r="AQ560" i="10"/>
  <c r="AR560" i="10"/>
  <c r="AR470" i="10"/>
  <c r="AQ470" i="10"/>
  <c r="AR119" i="10"/>
  <c r="AQ119" i="10"/>
  <c r="AR502" i="10"/>
  <c r="AQ502" i="10"/>
  <c r="AQ105" i="10"/>
  <c r="AR105" i="10"/>
  <c r="AQ382" i="10"/>
  <c r="AR382" i="10"/>
  <c r="AR70" i="10"/>
  <c r="AQ70" i="10"/>
  <c r="AQ236" i="10"/>
  <c r="AR236" i="10"/>
  <c r="AR367" i="10"/>
  <c r="AQ367" i="10"/>
  <c r="AR107" i="10"/>
  <c r="AQ107" i="10"/>
  <c r="AR352" i="10"/>
  <c r="AQ352" i="10"/>
  <c r="AQ547" i="10"/>
  <c r="AR547" i="10"/>
  <c r="AQ239" i="10"/>
  <c r="AR239" i="10"/>
  <c r="AQ528" i="10"/>
  <c r="AR528" i="10"/>
  <c r="AQ136" i="10"/>
  <c r="AR136" i="10"/>
  <c r="AR134" i="10"/>
  <c r="AQ134" i="10"/>
  <c r="AR289" i="10"/>
  <c r="AQ289" i="10"/>
  <c r="AR7" i="10"/>
  <c r="AQ7" i="10"/>
  <c r="AN541" i="5"/>
  <c r="AO541" i="5"/>
  <c r="AO329" i="5"/>
  <c r="AN329" i="5"/>
  <c r="AN517" i="5"/>
  <c r="AO517" i="5"/>
  <c r="AN291" i="5"/>
  <c r="AO291" i="5"/>
  <c r="AN507" i="5"/>
  <c r="AO507" i="5"/>
  <c r="AN151" i="5"/>
  <c r="AO151" i="5"/>
  <c r="AN470" i="5"/>
  <c r="AO470" i="5"/>
  <c r="AO99" i="5"/>
  <c r="AN99" i="5"/>
  <c r="AN468" i="5"/>
  <c r="AO468" i="5"/>
  <c r="AN102" i="5"/>
  <c r="AO102" i="5"/>
  <c r="AN439" i="5"/>
  <c r="AO439" i="5"/>
  <c r="AO90" i="5"/>
  <c r="AN90" i="5"/>
  <c r="AO429" i="5"/>
  <c r="AN429" i="5"/>
  <c r="AN77" i="5"/>
  <c r="AO77" i="5"/>
  <c r="AN202" i="5"/>
  <c r="AO202" i="5"/>
  <c r="AN166" i="5"/>
  <c r="AO166" i="5"/>
  <c r="AO74" i="5"/>
  <c r="AN74" i="5"/>
  <c r="AN31" i="5"/>
  <c r="AO31" i="5"/>
  <c r="AO485" i="5"/>
  <c r="AN485" i="5"/>
  <c r="AN506" i="5"/>
  <c r="AO506" i="5"/>
  <c r="AO355" i="5"/>
  <c r="AN355" i="5"/>
  <c r="AO369" i="5"/>
  <c r="AN369" i="5"/>
  <c r="AN262" i="5"/>
  <c r="AO262" i="5"/>
  <c r="AO243" i="5"/>
  <c r="AN243" i="5"/>
  <c r="AN113" i="5"/>
  <c r="AO113" i="5"/>
  <c r="AN71" i="5"/>
  <c r="AO71" i="5"/>
  <c r="AN438" i="5"/>
  <c r="AO438" i="5"/>
  <c r="AN499" i="5"/>
  <c r="AO499" i="5"/>
  <c r="AN270" i="5"/>
  <c r="AO270" i="5"/>
  <c r="AO390" i="5"/>
  <c r="AN390" i="5"/>
  <c r="AO322" i="5"/>
  <c r="AN322" i="5"/>
  <c r="AO261" i="5"/>
  <c r="AN261" i="5"/>
  <c r="AO168" i="5"/>
  <c r="AN168" i="5"/>
  <c r="AO131" i="5"/>
  <c r="AN131" i="5"/>
  <c r="AO56" i="5"/>
  <c r="AN56" i="5"/>
  <c r="AN449" i="5"/>
  <c r="AO449" i="5"/>
  <c r="AO484" i="5"/>
  <c r="AN484" i="5"/>
  <c r="AO348" i="5"/>
  <c r="AN348" i="5"/>
  <c r="AN360" i="5"/>
  <c r="AO360" i="5"/>
  <c r="AN253" i="5"/>
  <c r="AO253" i="5"/>
  <c r="AN233" i="5"/>
  <c r="AO233" i="5"/>
  <c r="AN155" i="5"/>
  <c r="AO155" i="5"/>
  <c r="AO49" i="5"/>
  <c r="AN49" i="5"/>
  <c r="AO425" i="5"/>
  <c r="AN425" i="5"/>
  <c r="AN480" i="5"/>
  <c r="AO480" i="5"/>
  <c r="AN342" i="5"/>
  <c r="AO342" i="5"/>
  <c r="AN352" i="5"/>
  <c r="AO352" i="5"/>
  <c r="AN247" i="5"/>
  <c r="AO247" i="5"/>
  <c r="AN230" i="5"/>
  <c r="AO230" i="5"/>
  <c r="AO154" i="5"/>
  <c r="AN154" i="5"/>
  <c r="AN78" i="5"/>
  <c r="AO78" i="5"/>
  <c r="AN491" i="5"/>
  <c r="AO491" i="5"/>
  <c r="AN476" i="5"/>
  <c r="AO476" i="5"/>
  <c r="AO475" i="5"/>
  <c r="AN475" i="5"/>
  <c r="AO359" i="5"/>
  <c r="AN359" i="5"/>
  <c r="AO287" i="5"/>
  <c r="AN287" i="5"/>
  <c r="AN234" i="5"/>
  <c r="AO234" i="5"/>
  <c r="AO176" i="5"/>
  <c r="AN176" i="5"/>
  <c r="AO108" i="5"/>
  <c r="AN108" i="5"/>
  <c r="AO20" i="5"/>
  <c r="AN20" i="5"/>
  <c r="AN328" i="5"/>
  <c r="AO328" i="5"/>
  <c r="AO474" i="5"/>
  <c r="AN474" i="5"/>
  <c r="AO340" i="5"/>
  <c r="AN340" i="5"/>
  <c r="AO335" i="5"/>
  <c r="AN335" i="5"/>
  <c r="AN157" i="5"/>
  <c r="AO157" i="5"/>
  <c r="AO221" i="5"/>
  <c r="AN221" i="5"/>
  <c r="AO147" i="5"/>
  <c r="AN147" i="5"/>
  <c r="AO70" i="5"/>
  <c r="AN70" i="5"/>
  <c r="AK9" i="5"/>
  <c r="AL9" i="5"/>
  <c r="AL298" i="5"/>
  <c r="AK298" i="5"/>
  <c r="AK522" i="5"/>
  <c r="AL522" i="5"/>
  <c r="AL520" i="5"/>
  <c r="AK520" i="5"/>
  <c r="AL410" i="5"/>
  <c r="AK410" i="5"/>
  <c r="AK370" i="5"/>
  <c r="AL370" i="5"/>
  <c r="AK280" i="5"/>
  <c r="AL280" i="5"/>
  <c r="AK231" i="5"/>
  <c r="AL231" i="5"/>
  <c r="AK131" i="5"/>
  <c r="AL131" i="5"/>
  <c r="AK70" i="5"/>
  <c r="AL70" i="5"/>
  <c r="AK486" i="5"/>
  <c r="AL486" i="5"/>
  <c r="AK191" i="5"/>
  <c r="AL191" i="5"/>
  <c r="AL279" i="5"/>
  <c r="AK279" i="5"/>
  <c r="AK466" i="5"/>
  <c r="AL466" i="5"/>
  <c r="AL343" i="5"/>
  <c r="AK343" i="5"/>
  <c r="AK212" i="5"/>
  <c r="AL212" i="5"/>
  <c r="AK326" i="5"/>
  <c r="AL326" i="5"/>
  <c r="AL210" i="5"/>
  <c r="AK210" i="5"/>
  <c r="AL136" i="5"/>
  <c r="AK136" i="5"/>
  <c r="AL62" i="5"/>
  <c r="AK62" i="5"/>
  <c r="AK449" i="5"/>
  <c r="AL449" i="5"/>
  <c r="AL551" i="5"/>
  <c r="AK551" i="5"/>
  <c r="AK536" i="5"/>
  <c r="AL536" i="5"/>
  <c r="AL438" i="5"/>
  <c r="AK438" i="5"/>
  <c r="AK400" i="5"/>
  <c r="AL400" i="5"/>
  <c r="AL319" i="5"/>
  <c r="AK319" i="5"/>
  <c r="AK284" i="5"/>
  <c r="AL284" i="5"/>
  <c r="AK124" i="5"/>
  <c r="AL124" i="5"/>
  <c r="AK161" i="5"/>
  <c r="AL161" i="5"/>
  <c r="AK66" i="5"/>
  <c r="AL66" i="5"/>
  <c r="AK367" i="5"/>
  <c r="AL367" i="5"/>
  <c r="AK35" i="5"/>
  <c r="AL35" i="5"/>
  <c r="AK534" i="5"/>
  <c r="AL534" i="5"/>
  <c r="AK436" i="5"/>
  <c r="AL436" i="5"/>
  <c r="AL398" i="5"/>
  <c r="AK398" i="5"/>
  <c r="AK316" i="5"/>
  <c r="AL316" i="5"/>
  <c r="AK278" i="5"/>
  <c r="AL278" i="5"/>
  <c r="AK207" i="5"/>
  <c r="AL207" i="5"/>
  <c r="AK158" i="5"/>
  <c r="AL158" i="5"/>
  <c r="AK61" i="5"/>
  <c r="AL61" i="5"/>
  <c r="AL338" i="5"/>
  <c r="AK338" i="5"/>
  <c r="AK507" i="5"/>
  <c r="AL507" i="5"/>
  <c r="AL485" i="5"/>
  <c r="AK485" i="5"/>
  <c r="AK519" i="5"/>
  <c r="AL519" i="5"/>
  <c r="AK354" i="5"/>
  <c r="AL354" i="5"/>
  <c r="AL282" i="5"/>
  <c r="AK282" i="5"/>
  <c r="AK233" i="5"/>
  <c r="AL233" i="5"/>
  <c r="AL170" i="5"/>
  <c r="AK170" i="5"/>
  <c r="AK120" i="5"/>
  <c r="AL120" i="5"/>
  <c r="AK45" i="5"/>
  <c r="AL45" i="5"/>
  <c r="AK333" i="5"/>
  <c r="AL333" i="5"/>
  <c r="AK383" i="5"/>
  <c r="AL383" i="5"/>
  <c r="AK417" i="5"/>
  <c r="AL417" i="5"/>
  <c r="AK461" i="5"/>
  <c r="AL461" i="5"/>
  <c r="AK412" i="5"/>
  <c r="AL412" i="5"/>
  <c r="AL320" i="5"/>
  <c r="AK320" i="5"/>
  <c r="AK193" i="5"/>
  <c r="AL193" i="5"/>
  <c r="AK159" i="5"/>
  <c r="AL159" i="5"/>
  <c r="AL109" i="5"/>
  <c r="AK109" i="5"/>
  <c r="AL43" i="5"/>
  <c r="AK43" i="5"/>
  <c r="AL560" i="5"/>
  <c r="AK560" i="5"/>
  <c r="AL414" i="5"/>
  <c r="AK414" i="5"/>
  <c r="AK453" i="5"/>
  <c r="AL453" i="5"/>
  <c r="AL408" i="5"/>
  <c r="AK408" i="5"/>
  <c r="AK315" i="5"/>
  <c r="AL315" i="5"/>
  <c r="AK192" i="5"/>
  <c r="AL192" i="5"/>
  <c r="AL139" i="5"/>
  <c r="AK139" i="5"/>
  <c r="AK104" i="5"/>
  <c r="AL104" i="5"/>
  <c r="AL37" i="5"/>
  <c r="AK37" i="5"/>
  <c r="AS335" i="10"/>
  <c r="AS366" i="10"/>
  <c r="AS412" i="10"/>
  <c r="AS398" i="10"/>
  <c r="AS430" i="10"/>
  <c r="AS378" i="10"/>
  <c r="AS270" i="10"/>
  <c r="AS37" i="10"/>
  <c r="AS223" i="10"/>
  <c r="AS152" i="10"/>
  <c r="AS182" i="10"/>
  <c r="AS309" i="10"/>
  <c r="AS402" i="10"/>
  <c r="AS555" i="10"/>
  <c r="AS42" i="10"/>
  <c r="AS227" i="10"/>
  <c r="AS156" i="10"/>
  <c r="AS186" i="10"/>
  <c r="AS313" i="10"/>
  <c r="AS406" i="10"/>
  <c r="AS24" i="10"/>
  <c r="AS41" i="10"/>
  <c r="AS119" i="10"/>
  <c r="AS192" i="10"/>
  <c r="AS222" i="10"/>
  <c r="AS349" i="10"/>
  <c r="AS395" i="10"/>
  <c r="AS49" i="10"/>
  <c r="AS79" i="10"/>
  <c r="AS155" i="10"/>
  <c r="AS225" i="10"/>
  <c r="AS257" i="10"/>
  <c r="AS254" i="10"/>
  <c r="AS433" i="10"/>
  <c r="AS89" i="10"/>
  <c r="AS177" i="10"/>
  <c r="AS191" i="10"/>
  <c r="AS263" i="10"/>
  <c r="AS293" i="10"/>
  <c r="AS290" i="10"/>
  <c r="AS468" i="10"/>
  <c r="AS28" i="10"/>
  <c r="AS82" i="10"/>
  <c r="AS280" i="10"/>
  <c r="AS299" i="10"/>
  <c r="AS327" i="10"/>
  <c r="AS326" i="10"/>
  <c r="AS474" i="10"/>
  <c r="AS113" i="10"/>
  <c r="AS118" i="10"/>
  <c r="AS80" i="10"/>
  <c r="AS196" i="10"/>
  <c r="AS371" i="10"/>
  <c r="AS362" i="10"/>
  <c r="AS469" i="10"/>
  <c r="AS467" i="10"/>
  <c r="AS534" i="10"/>
  <c r="AS442" i="10"/>
  <c r="AS527" i="10"/>
  <c r="AS453" i="10"/>
  <c r="AS511" i="10"/>
  <c r="AS452" i="10"/>
  <c r="AS517" i="10"/>
  <c r="AS438" i="10"/>
  <c r="AS513" i="10"/>
  <c r="AS413" i="10"/>
  <c r="AS508" i="10"/>
  <c r="AS9" i="10"/>
  <c r="AK11" i="10"/>
  <c r="AL11" i="10"/>
  <c r="AK218" i="10"/>
  <c r="AL218" i="10"/>
  <c r="AL110" i="10"/>
  <c r="AK110" i="10"/>
  <c r="AK356" i="10"/>
  <c r="AL356" i="10"/>
  <c r="AK343" i="10"/>
  <c r="AL343" i="10"/>
  <c r="AK424" i="10"/>
  <c r="AL424" i="10"/>
  <c r="AL421" i="10"/>
  <c r="AK421" i="10"/>
  <c r="AL23" i="10"/>
  <c r="AK23" i="10"/>
  <c r="AK44" i="10"/>
  <c r="AL44" i="10"/>
  <c r="AK85" i="10"/>
  <c r="AL85" i="10"/>
  <c r="AK447" i="10"/>
  <c r="AL447" i="10"/>
  <c r="AL227" i="10"/>
  <c r="AK227" i="10"/>
  <c r="AL502" i="10"/>
  <c r="AK502" i="10"/>
  <c r="AK27" i="10"/>
  <c r="AL27" i="10"/>
  <c r="AL190" i="10"/>
  <c r="AK190" i="10"/>
  <c r="AL271" i="10"/>
  <c r="AK271" i="10"/>
  <c r="AK168" i="10"/>
  <c r="AL168" i="10"/>
  <c r="AK209" i="10"/>
  <c r="AL209" i="10"/>
  <c r="AK512" i="10"/>
  <c r="AL512" i="10"/>
  <c r="AL505" i="10"/>
  <c r="AK505" i="10"/>
  <c r="AL194" i="10"/>
  <c r="AK194" i="10"/>
  <c r="AK274" i="10"/>
  <c r="AL274" i="10"/>
  <c r="AK371" i="10"/>
  <c r="AL371" i="10"/>
  <c r="AK381" i="10"/>
  <c r="AL381" i="10"/>
  <c r="AL260" i="10"/>
  <c r="AK260" i="10"/>
  <c r="AK301" i="10"/>
  <c r="AL301" i="10"/>
  <c r="AL45" i="10"/>
  <c r="AK45" i="10"/>
  <c r="AK162" i="10"/>
  <c r="AL162" i="10"/>
  <c r="AK556" i="10"/>
  <c r="AL556" i="10"/>
  <c r="AK455" i="10"/>
  <c r="AL455" i="10"/>
  <c r="AL523" i="10"/>
  <c r="AK523" i="10"/>
  <c r="AL83" i="10"/>
  <c r="AK83" i="10"/>
  <c r="AL191" i="10"/>
  <c r="AK191" i="10"/>
  <c r="AL128" i="10"/>
  <c r="AK128" i="10"/>
  <c r="AK169" i="10"/>
  <c r="AL169" i="10"/>
  <c r="AL479" i="10"/>
  <c r="AK479" i="10"/>
  <c r="AL489" i="10"/>
  <c r="AK489" i="10"/>
  <c r="AL150" i="10"/>
  <c r="AK150" i="10"/>
  <c r="AL251" i="10"/>
  <c r="AK251" i="10"/>
  <c r="AL360" i="10"/>
  <c r="AK360" i="10"/>
  <c r="AL373" i="10"/>
  <c r="AK373" i="10"/>
  <c r="AL252" i="10"/>
  <c r="AK252" i="10"/>
  <c r="AK293" i="10"/>
  <c r="AL293" i="10"/>
  <c r="AL37" i="10"/>
  <c r="AK37" i="10"/>
  <c r="AK75" i="10"/>
  <c r="AL75" i="10"/>
  <c r="AK540" i="10"/>
  <c r="AL540" i="10"/>
  <c r="AK444" i="10"/>
  <c r="AL444" i="10"/>
  <c r="AK515" i="10"/>
  <c r="AL515" i="10"/>
  <c r="AL62" i="10"/>
  <c r="AK62" i="10"/>
  <c r="AL175" i="10"/>
  <c r="AK175" i="10"/>
  <c r="AK120" i="10"/>
  <c r="AL120" i="10"/>
  <c r="AK161" i="10"/>
  <c r="AL161" i="10"/>
  <c r="AK436" i="10"/>
  <c r="AL436" i="10"/>
  <c r="AK470" i="10"/>
  <c r="AL470" i="10"/>
  <c r="AK107" i="10"/>
  <c r="AL107" i="10"/>
  <c r="AK230" i="10"/>
  <c r="AL230" i="10"/>
  <c r="AK350" i="10"/>
  <c r="AL350" i="10"/>
  <c r="AK365" i="10"/>
  <c r="AL365" i="10"/>
  <c r="AL244" i="10"/>
  <c r="AK244" i="10"/>
  <c r="AL285" i="10"/>
  <c r="AK285" i="10"/>
  <c r="AL29" i="10"/>
  <c r="AK29" i="10"/>
  <c r="AL549" i="10"/>
  <c r="AK549" i="10"/>
  <c r="AL524" i="10"/>
  <c r="AK524" i="10"/>
  <c r="AL434" i="10"/>
  <c r="AK434" i="10"/>
  <c r="AL507" i="10"/>
  <c r="AK507" i="10"/>
  <c r="AK42" i="10"/>
  <c r="AL42" i="10"/>
  <c r="AK159" i="10"/>
  <c r="AL159" i="10"/>
  <c r="AK112" i="10"/>
  <c r="AL112" i="10"/>
  <c r="AL153" i="10"/>
  <c r="AK153" i="10"/>
  <c r="U13" i="10"/>
  <c r="V13" i="10"/>
  <c r="AC13" i="10"/>
  <c r="AL166" i="10"/>
  <c r="AK166" i="10"/>
  <c r="AK318" i="10"/>
  <c r="AL318" i="10"/>
  <c r="AK341" i="10"/>
  <c r="AL341" i="10"/>
  <c r="AL220" i="10"/>
  <c r="AK220" i="10"/>
  <c r="AL261" i="10"/>
  <c r="AK261" i="10"/>
  <c r="AL259" i="10"/>
  <c r="AK259" i="10"/>
  <c r="AL443" i="10"/>
  <c r="AK443" i="10"/>
  <c r="AK474" i="10"/>
  <c r="AL474" i="10"/>
  <c r="AK402" i="10"/>
  <c r="AL402" i="10"/>
  <c r="AK483" i="10"/>
  <c r="AL483" i="10"/>
  <c r="AK465" i="10"/>
  <c r="AL465" i="10"/>
  <c r="AK111" i="10"/>
  <c r="AL111" i="10"/>
  <c r="AK88" i="10"/>
  <c r="AL88" i="10"/>
  <c r="AK129" i="10"/>
  <c r="AL129" i="10"/>
  <c r="AL226" i="10"/>
  <c r="AK226" i="10"/>
  <c r="AK384" i="10"/>
  <c r="AL384" i="10"/>
  <c r="AK546" i="10"/>
  <c r="AL546" i="10"/>
  <c r="AL146" i="10"/>
  <c r="AK146" i="10"/>
  <c r="AL304" i="10"/>
  <c r="AK304" i="10"/>
  <c r="AL333" i="10"/>
  <c r="AK333" i="10"/>
  <c r="AL212" i="10"/>
  <c r="AK212" i="10"/>
  <c r="AL253" i="10"/>
  <c r="AK253" i="10"/>
  <c r="AL90" i="10"/>
  <c r="AK90" i="10"/>
  <c r="AL400" i="10"/>
  <c r="AK400" i="10"/>
  <c r="AL452" i="10"/>
  <c r="AK452" i="10"/>
  <c r="AL391" i="10"/>
  <c r="AK391" i="10"/>
  <c r="AK472" i="10"/>
  <c r="AL472" i="10"/>
  <c r="AL457" i="10"/>
  <c r="AK457" i="10"/>
  <c r="AK95" i="10"/>
  <c r="AL95" i="10"/>
  <c r="AK80" i="10"/>
  <c r="AL80" i="10"/>
  <c r="AL121" i="10"/>
  <c r="AK121" i="10"/>
  <c r="AR13" i="10"/>
  <c r="AQ13" i="10"/>
  <c r="AN395" i="10"/>
  <c r="AO395" i="10"/>
  <c r="AO418" i="10"/>
  <c r="AN418" i="10"/>
  <c r="AN447" i="10"/>
  <c r="AO447" i="10"/>
  <c r="AO109" i="10"/>
  <c r="AN109" i="10"/>
  <c r="AN247" i="10"/>
  <c r="AO247" i="10"/>
  <c r="AN490" i="10"/>
  <c r="AO490" i="10"/>
  <c r="AO540" i="10"/>
  <c r="AN540" i="10"/>
  <c r="AO190" i="10"/>
  <c r="AN190" i="10"/>
  <c r="AO83" i="10"/>
  <c r="AN83" i="10"/>
  <c r="AO524" i="10"/>
  <c r="AN524" i="10"/>
  <c r="AO341" i="10"/>
  <c r="AN341" i="10"/>
  <c r="AO365" i="10"/>
  <c r="AN365" i="10"/>
  <c r="AO37" i="10"/>
  <c r="AN37" i="10"/>
  <c r="AH331" i="5"/>
  <c r="AP331" i="5"/>
  <c r="AI331" i="5"/>
  <c r="AH189" i="5"/>
  <c r="AI189" i="5"/>
  <c r="AP189" i="5"/>
  <c r="AI333" i="5"/>
  <c r="AH333" i="5"/>
  <c r="AP333" i="5"/>
  <c r="AI345" i="5"/>
  <c r="AH345" i="5"/>
  <c r="AP345" i="5"/>
  <c r="AI433" i="5"/>
  <c r="AH433" i="5"/>
  <c r="AP433" i="5"/>
  <c r="AI347" i="5"/>
  <c r="AP347" i="5"/>
  <c r="AH347" i="5"/>
  <c r="AI541" i="5"/>
  <c r="AH541" i="5"/>
  <c r="AP541" i="5"/>
  <c r="AP241" i="5"/>
  <c r="AH241" i="5"/>
  <c r="AI241" i="5"/>
  <c r="AH28" i="5"/>
  <c r="AP28" i="5"/>
  <c r="AI28" i="5"/>
  <c r="AH349" i="5"/>
  <c r="AI349" i="5"/>
  <c r="AP349" i="5"/>
  <c r="AI348" i="5"/>
  <c r="AH348" i="5"/>
  <c r="AP348" i="5"/>
  <c r="AR538" i="10"/>
  <c r="AQ538" i="10"/>
  <c r="AR517" i="10"/>
  <c r="AQ517" i="10"/>
  <c r="AQ200" i="10"/>
  <c r="AR200" i="10"/>
  <c r="AR320" i="10"/>
  <c r="AQ320" i="10"/>
  <c r="AR297" i="10"/>
  <c r="AQ297" i="10"/>
  <c r="AQ69" i="10"/>
  <c r="AR69" i="10"/>
  <c r="AQ434" i="10"/>
  <c r="AR434" i="10"/>
  <c r="AQ510" i="10"/>
  <c r="AR510" i="10"/>
  <c r="AR472" i="10"/>
  <c r="AQ472" i="10"/>
  <c r="AQ365" i="10"/>
  <c r="AR365" i="10"/>
  <c r="AR191" i="10"/>
  <c r="AQ191" i="10"/>
  <c r="AR392" i="10"/>
  <c r="AQ392" i="10"/>
  <c r="AR345" i="10"/>
  <c r="AQ345" i="10"/>
  <c r="AR161" i="10"/>
  <c r="AQ161" i="10"/>
  <c r="AQ485" i="10"/>
  <c r="AR485" i="10"/>
  <c r="AR8" i="10"/>
  <c r="AQ8" i="10"/>
  <c r="AN504" i="5"/>
  <c r="AO504" i="5"/>
  <c r="AO37" i="5"/>
  <c r="AN37" i="5"/>
  <c r="AN177" i="5"/>
  <c r="AO177" i="5"/>
  <c r="AO292" i="5"/>
  <c r="AN292" i="5"/>
  <c r="AO66" i="5"/>
  <c r="AN66" i="5"/>
  <c r="AN365" i="5"/>
  <c r="AO365" i="5"/>
  <c r="AO103" i="5"/>
  <c r="AN103" i="5"/>
  <c r="AO224" i="5"/>
  <c r="AN224" i="5"/>
  <c r="AO280" i="5"/>
  <c r="AN280" i="5"/>
  <c r="AO55" i="5"/>
  <c r="AN55" i="5"/>
  <c r="AO251" i="5"/>
  <c r="AN251" i="5"/>
  <c r="AO267" i="5"/>
  <c r="AN267" i="5"/>
  <c r="AN24" i="5"/>
  <c r="AO24" i="5"/>
  <c r="AK391" i="5"/>
  <c r="AL391" i="5"/>
  <c r="AL58" i="5"/>
  <c r="AK58" i="5"/>
  <c r="AL406" i="5"/>
  <c r="AK406" i="5"/>
  <c r="AK87" i="5"/>
  <c r="AL87" i="5"/>
  <c r="AL537" i="5"/>
  <c r="AK537" i="5"/>
  <c r="AK243" i="5"/>
  <c r="AL243" i="5"/>
  <c r="AK396" i="5"/>
  <c r="AL396" i="5"/>
  <c r="AL523" i="5"/>
  <c r="AK523" i="5"/>
  <c r="AL236" i="5"/>
  <c r="AK236" i="5"/>
  <c r="AL52" i="5"/>
  <c r="AK52" i="5"/>
  <c r="AL445" i="5"/>
  <c r="AK445" i="5"/>
  <c r="AK224" i="5"/>
  <c r="AL224" i="5"/>
  <c r="AK46" i="5"/>
  <c r="AL46" i="5"/>
  <c r="AK385" i="5"/>
  <c r="AL385" i="5"/>
  <c r="AL144" i="5"/>
  <c r="AK144" i="5"/>
  <c r="AL266" i="5"/>
  <c r="AK266" i="5"/>
  <c r="AL287" i="5"/>
  <c r="AK287" i="5"/>
  <c r="AK82" i="5"/>
  <c r="AL82" i="5"/>
  <c r="AS214" i="10"/>
  <c r="AU115" i="10"/>
  <c r="AT115" i="10"/>
  <c r="AV115" i="10"/>
  <c r="AS345" i="10"/>
  <c r="AS151" i="10"/>
  <c r="AS427" i="10"/>
  <c r="AS173" i="10"/>
  <c r="AS259" i="10"/>
  <c r="AU78" i="10"/>
  <c r="AT78" i="10"/>
  <c r="AV78" i="10"/>
  <c r="AS323" i="10"/>
  <c r="AU76" i="10"/>
  <c r="AT76" i="10"/>
  <c r="AV76" i="10"/>
  <c r="AS408" i="10"/>
  <c r="AU471" i="10"/>
  <c r="AT471" i="10"/>
  <c r="AV471" i="10"/>
  <c r="AS541" i="10"/>
  <c r="AV454" i="10"/>
  <c r="AS10" i="10"/>
  <c r="AK544" i="10"/>
  <c r="AL544" i="10"/>
  <c r="AL235" i="10"/>
  <c r="AK235" i="10"/>
  <c r="AL382" i="10"/>
  <c r="AK382" i="10"/>
  <c r="AL268" i="10"/>
  <c r="AK268" i="10"/>
  <c r="AL53" i="10"/>
  <c r="AK53" i="10"/>
  <c r="AK58" i="10"/>
  <c r="AL58" i="10"/>
  <c r="AK531" i="10"/>
  <c r="AL531" i="10"/>
  <c r="AL207" i="10"/>
  <c r="AK207" i="10"/>
  <c r="AK177" i="10"/>
  <c r="AL177" i="10"/>
  <c r="AK427" i="10"/>
  <c r="AL427" i="10"/>
  <c r="AL187" i="10"/>
  <c r="AK187" i="10"/>
  <c r="AL328" i="10"/>
  <c r="AK328" i="10"/>
  <c r="AL228" i="10"/>
  <c r="AK228" i="10"/>
  <c r="AL269" i="10"/>
  <c r="AK269" i="10"/>
  <c r="AK368" i="10"/>
  <c r="AL368" i="10"/>
  <c r="AL485" i="10"/>
  <c r="AK485" i="10"/>
  <c r="AL492" i="10"/>
  <c r="AK492" i="10"/>
  <c r="AL412" i="10"/>
  <c r="AK412" i="10"/>
  <c r="AL491" i="10"/>
  <c r="AK491" i="10"/>
  <c r="AK127" i="10"/>
  <c r="AL127" i="10"/>
  <c r="AL96" i="10"/>
  <c r="AK96" i="10"/>
  <c r="AL137" i="10"/>
  <c r="AK137" i="10"/>
  <c r="AK306" i="10"/>
  <c r="AL306" i="10"/>
  <c r="AK406" i="10"/>
  <c r="AL406" i="10"/>
  <c r="AK554" i="10"/>
  <c r="AL554" i="10"/>
  <c r="AO9" i="10"/>
  <c r="AN9" i="10"/>
  <c r="AO199" i="10"/>
  <c r="AN199" i="10"/>
  <c r="AO64" i="10"/>
  <c r="AN64" i="10"/>
  <c r="AN124" i="10"/>
  <c r="AO124" i="10"/>
  <c r="AN158" i="10"/>
  <c r="AO158" i="10"/>
  <c r="AO552" i="10"/>
  <c r="AN552" i="10"/>
  <c r="AN157" i="10"/>
  <c r="AO157" i="10"/>
  <c r="AN421" i="10"/>
  <c r="AO421" i="10"/>
  <c r="AO503" i="10"/>
  <c r="AN503" i="10"/>
  <c r="AO364" i="10"/>
  <c r="AN364" i="10"/>
  <c r="AO351" i="10"/>
  <c r="AN351" i="10"/>
  <c r="AO87" i="10"/>
  <c r="AN87" i="10"/>
  <c r="AN392" i="10"/>
  <c r="AO392" i="10"/>
  <c r="AN541" i="10"/>
  <c r="AO541" i="10"/>
  <c r="AO149" i="10"/>
  <c r="AN149" i="10"/>
  <c r="AN415" i="10"/>
  <c r="AO415" i="10"/>
  <c r="AN499" i="10"/>
  <c r="AO499" i="10"/>
  <c r="AO356" i="10"/>
  <c r="AN356" i="10"/>
  <c r="AN347" i="10"/>
  <c r="AO347" i="10"/>
  <c r="AO78" i="10"/>
  <c r="AN78" i="10"/>
  <c r="AN441" i="10"/>
  <c r="AO441" i="10"/>
  <c r="AN506" i="10"/>
  <c r="AO506" i="10"/>
  <c r="AO204" i="10"/>
  <c r="AN204" i="10"/>
  <c r="AO206" i="10"/>
  <c r="AN206" i="10"/>
  <c r="AO210" i="10"/>
  <c r="AN210" i="10"/>
  <c r="AN549" i="10"/>
  <c r="AO549" i="10"/>
  <c r="AN486" i="10"/>
  <c r="AO486" i="10"/>
  <c r="AN385" i="10"/>
  <c r="AO385" i="10"/>
  <c r="AO504" i="10"/>
  <c r="AN504" i="10"/>
  <c r="AO342" i="10"/>
  <c r="AN342" i="10"/>
  <c r="AN135" i="10"/>
  <c r="AO135" i="10"/>
  <c r="AN156" i="10"/>
  <c r="AO156" i="10"/>
  <c r="AN174" i="10"/>
  <c r="AO174" i="10"/>
  <c r="AO419" i="10"/>
  <c r="AN419" i="10"/>
  <c r="AN474" i="10"/>
  <c r="AO474" i="10"/>
  <c r="AO382" i="10"/>
  <c r="AN382" i="10"/>
  <c r="AO500" i="10"/>
  <c r="AN500" i="10"/>
  <c r="AN318" i="10"/>
  <c r="AO318" i="10"/>
  <c r="AO127" i="10"/>
  <c r="AN127" i="10"/>
  <c r="AO148" i="10"/>
  <c r="AN148" i="10"/>
  <c r="AN169" i="10"/>
  <c r="AO169" i="10"/>
  <c r="AN453" i="10"/>
  <c r="AO453" i="10"/>
  <c r="AN550" i="10"/>
  <c r="AO550" i="10"/>
  <c r="AN401" i="10"/>
  <c r="AO401" i="10"/>
  <c r="AO528" i="10"/>
  <c r="AN528" i="10"/>
  <c r="AN470" i="10"/>
  <c r="AO470" i="10"/>
  <c r="AO183" i="10"/>
  <c r="AN183" i="10"/>
  <c r="AN191" i="10"/>
  <c r="AO191" i="10"/>
  <c r="AO200" i="10"/>
  <c r="AN200" i="10"/>
  <c r="AN377" i="10"/>
  <c r="AO377" i="10"/>
  <c r="AO492" i="10"/>
  <c r="AN492" i="10"/>
  <c r="AO238" i="10"/>
  <c r="AN238" i="10"/>
  <c r="AO97" i="10"/>
  <c r="AN97" i="10"/>
  <c r="AN132" i="10"/>
  <c r="AO132" i="10"/>
  <c r="AO161" i="10"/>
  <c r="AN161" i="10"/>
  <c r="AO309" i="10"/>
  <c r="AN309" i="10"/>
  <c r="AN112" i="10"/>
  <c r="AO112" i="10"/>
  <c r="AN337" i="10"/>
  <c r="AO337" i="10"/>
  <c r="AO59" i="10"/>
  <c r="AN59" i="10"/>
  <c r="AN333" i="10"/>
  <c r="AO333" i="10"/>
  <c r="AN48" i="10"/>
  <c r="AO48" i="10"/>
  <c r="AN26" i="10"/>
  <c r="AO26" i="10"/>
  <c r="AO230" i="10"/>
  <c r="AN230" i="10"/>
  <c r="AN52" i="10"/>
  <c r="AO52" i="10"/>
  <c r="AO228" i="10"/>
  <c r="AN228" i="10"/>
  <c r="AN42" i="10"/>
  <c r="AO42" i="10"/>
  <c r="AO226" i="10"/>
  <c r="AN226" i="10"/>
  <c r="AN33" i="10"/>
  <c r="AO33" i="10"/>
  <c r="AO29" i="10"/>
  <c r="AN29" i="10"/>
  <c r="AH411" i="5"/>
  <c r="AI411" i="5"/>
  <c r="AP411" i="5"/>
  <c r="AI461" i="5"/>
  <c r="AH461" i="5"/>
  <c r="AP461" i="5"/>
  <c r="AI498" i="5"/>
  <c r="AP498" i="5"/>
  <c r="AH498" i="5"/>
  <c r="AI466" i="5"/>
  <c r="AH466" i="5"/>
  <c r="AP466" i="5"/>
  <c r="AH267" i="5"/>
  <c r="AP267" i="5"/>
  <c r="AI267" i="5"/>
  <c r="AP217" i="5"/>
  <c r="AI217" i="5"/>
  <c r="AH217" i="5"/>
  <c r="AH54" i="5"/>
  <c r="AI54" i="5"/>
  <c r="AP54" i="5"/>
  <c r="AH88" i="5"/>
  <c r="AI88" i="5"/>
  <c r="AP88" i="5"/>
  <c r="AI473" i="5"/>
  <c r="AH473" i="5"/>
  <c r="AP473" i="5"/>
  <c r="AI425" i="5"/>
  <c r="AP425" i="5"/>
  <c r="AH425" i="5"/>
  <c r="AP410" i="5"/>
  <c r="AI410" i="5"/>
  <c r="AH410" i="5"/>
  <c r="AH278" i="5"/>
  <c r="AI278" i="5"/>
  <c r="AP278" i="5"/>
  <c r="AH71" i="5"/>
  <c r="AI71" i="5"/>
  <c r="AP71" i="5"/>
  <c r="AI432" i="5"/>
  <c r="AH432" i="5"/>
  <c r="AP432" i="5"/>
  <c r="AH480" i="5"/>
  <c r="AP480" i="5"/>
  <c r="AI480" i="5"/>
  <c r="AI450" i="5"/>
  <c r="AH450" i="5"/>
  <c r="AP450" i="5"/>
  <c r="AI437" i="5"/>
  <c r="AH437" i="5"/>
  <c r="AP437" i="5"/>
  <c r="AP191" i="5"/>
  <c r="AI191" i="5"/>
  <c r="AH191" i="5"/>
  <c r="AI51" i="5"/>
  <c r="AP51" i="5"/>
  <c r="AH51" i="5"/>
  <c r="AH230" i="5"/>
  <c r="AI230" i="5"/>
  <c r="AP230" i="5"/>
  <c r="AH554" i="5"/>
  <c r="AP554" i="5"/>
  <c r="AI554" i="5"/>
  <c r="AI490" i="5"/>
  <c r="AP490" i="5"/>
  <c r="AH490" i="5"/>
  <c r="AI385" i="5"/>
  <c r="AP385" i="5"/>
  <c r="AH385" i="5"/>
  <c r="AI281" i="5"/>
  <c r="AH281" i="5"/>
  <c r="AP281" i="5"/>
  <c r="AH173" i="5"/>
  <c r="AI173" i="5"/>
  <c r="AP173" i="5"/>
  <c r="AH559" i="5"/>
  <c r="AP559" i="5"/>
  <c r="AI559" i="5"/>
  <c r="AI540" i="5"/>
  <c r="AH540" i="5"/>
  <c r="AP540" i="5"/>
  <c r="AH452" i="5"/>
  <c r="AP452" i="5"/>
  <c r="AI452" i="5"/>
  <c r="AH350" i="5"/>
  <c r="AP350" i="5"/>
  <c r="AI350" i="5"/>
  <c r="AP374" i="5"/>
  <c r="AI374" i="5"/>
  <c r="AH374" i="5"/>
  <c r="AH154" i="5"/>
  <c r="AP154" i="5"/>
  <c r="AI154" i="5"/>
  <c r="AI534" i="5"/>
  <c r="AP534" i="5"/>
  <c r="AH534" i="5"/>
  <c r="AI544" i="5"/>
  <c r="AP544" i="5"/>
  <c r="AH544" i="5"/>
  <c r="AI380" i="5"/>
  <c r="AP380" i="5"/>
  <c r="AH380" i="5"/>
  <c r="AH370" i="5"/>
  <c r="AI370" i="5"/>
  <c r="AP370" i="5"/>
  <c r="AH396" i="5"/>
  <c r="AI396" i="5"/>
  <c r="AP396" i="5"/>
  <c r="AH219" i="5"/>
  <c r="AI219" i="5"/>
  <c r="AP219" i="5"/>
  <c r="AP83" i="5"/>
  <c r="AH83" i="5"/>
  <c r="AI83" i="5"/>
  <c r="AI324" i="5"/>
  <c r="AP324" i="5"/>
  <c r="AH324" i="5"/>
  <c r="AI482" i="5"/>
  <c r="AP482" i="5"/>
  <c r="AH482" i="5"/>
  <c r="AP442" i="5"/>
  <c r="AI442" i="5"/>
  <c r="AH442" i="5"/>
  <c r="AP339" i="5"/>
  <c r="AI339" i="5"/>
  <c r="AH339" i="5"/>
  <c r="AI297" i="5"/>
  <c r="AH297" i="5"/>
  <c r="AP297" i="5"/>
  <c r="AI156" i="5"/>
  <c r="AP156" i="5"/>
  <c r="AH156" i="5"/>
  <c r="AH174" i="5"/>
  <c r="AI174" i="5"/>
  <c r="AP174" i="5"/>
  <c r="AH320" i="5"/>
  <c r="AP320" i="5"/>
  <c r="AI320" i="5"/>
  <c r="AI208" i="5"/>
  <c r="AP208" i="5"/>
  <c r="AH208" i="5"/>
  <c r="AH120" i="5"/>
  <c r="AP120" i="5"/>
  <c r="AI120" i="5"/>
  <c r="AH59" i="5"/>
  <c r="AP59" i="5"/>
  <c r="AI59" i="5"/>
  <c r="AI166" i="5"/>
  <c r="AH166" i="5"/>
  <c r="AP166" i="5"/>
  <c r="AP178" i="5"/>
  <c r="AH178" i="5"/>
  <c r="AI178" i="5"/>
  <c r="AH97" i="5"/>
  <c r="AI97" i="5"/>
  <c r="AP97" i="5"/>
  <c r="AI30" i="5"/>
  <c r="AH30" i="5"/>
  <c r="AP30" i="5"/>
  <c r="AI261" i="5"/>
  <c r="AP261" i="5"/>
  <c r="AH261" i="5"/>
  <c r="AH240" i="5"/>
  <c r="AP240" i="5"/>
  <c r="AI240" i="5"/>
  <c r="AH182" i="5"/>
  <c r="AP182" i="5"/>
  <c r="AI182" i="5"/>
  <c r="AP100" i="5"/>
  <c r="AH100" i="5"/>
  <c r="AI100" i="5"/>
  <c r="AP34" i="5"/>
  <c r="AH34" i="5"/>
  <c r="AI34" i="5"/>
  <c r="AI323" i="5"/>
  <c r="AH323" i="5"/>
  <c r="AP323" i="5"/>
  <c r="AI277" i="5"/>
  <c r="AH277" i="5"/>
  <c r="AP277" i="5"/>
  <c r="AH186" i="5"/>
  <c r="AI186" i="5"/>
  <c r="AP186" i="5"/>
  <c r="AH124" i="5"/>
  <c r="AI124" i="5"/>
  <c r="AP124" i="5"/>
  <c r="AH61" i="5"/>
  <c r="AI61" i="5"/>
  <c r="AP61" i="5"/>
  <c r="AP318" i="5"/>
  <c r="AI318" i="5"/>
  <c r="AH318" i="5"/>
  <c r="AH274" i="5"/>
  <c r="AP274" i="5"/>
  <c r="AI274" i="5"/>
  <c r="AH185" i="5"/>
  <c r="AI185" i="5"/>
  <c r="AP185" i="5"/>
  <c r="AI104" i="5"/>
  <c r="AH104" i="5"/>
  <c r="AP104" i="5"/>
  <c r="AH57" i="5"/>
  <c r="AP57" i="5"/>
  <c r="AI57" i="5"/>
  <c r="AR62" i="10"/>
  <c r="AQ62" i="10"/>
  <c r="AR268" i="10"/>
  <c r="AQ268" i="10"/>
  <c r="AQ124" i="10"/>
  <c r="AR124" i="10"/>
  <c r="AQ121" i="10"/>
  <c r="AR121" i="10"/>
  <c r="AR22" i="10"/>
  <c r="AQ22" i="10"/>
  <c r="AR530" i="10"/>
  <c r="AQ530" i="10"/>
  <c r="AR454" i="10"/>
  <c r="AQ454" i="10"/>
  <c r="AQ84" i="10"/>
  <c r="AR84" i="10"/>
  <c r="AR482" i="10"/>
  <c r="AQ482" i="10"/>
  <c r="AQ74" i="10"/>
  <c r="AR74" i="10"/>
  <c r="AQ438" i="10"/>
  <c r="AR438" i="10"/>
  <c r="AR45" i="10"/>
  <c r="AQ45" i="10"/>
  <c r="AR165" i="10"/>
  <c r="AQ165" i="10"/>
  <c r="AR431" i="10"/>
  <c r="AQ431" i="10"/>
  <c r="AR129" i="10"/>
  <c r="AQ129" i="10"/>
  <c r="AR247" i="10"/>
  <c r="AQ247" i="10"/>
  <c r="AQ366" i="10"/>
  <c r="AR366" i="10"/>
  <c r="AQ179" i="10"/>
  <c r="AR179" i="10"/>
  <c r="AQ477" i="10"/>
  <c r="AR477" i="10"/>
  <c r="AR127" i="10"/>
  <c r="AQ127" i="10"/>
  <c r="AQ294" i="10"/>
  <c r="AR294" i="10"/>
  <c r="AR237" i="10"/>
  <c r="AQ237" i="10"/>
  <c r="AQ330" i="10"/>
  <c r="AR330" i="10"/>
  <c r="AR391" i="10"/>
  <c r="AQ391" i="10"/>
  <c r="AQ79" i="10"/>
  <c r="AR79" i="10"/>
  <c r="AQ386" i="10"/>
  <c r="AR386" i="10"/>
  <c r="AQ503" i="10"/>
  <c r="AR503" i="10"/>
  <c r="AR313" i="10"/>
  <c r="AQ313" i="10"/>
  <c r="AR21" i="10"/>
  <c r="AQ21" i="10"/>
  <c r="AR205" i="10"/>
  <c r="AQ205" i="10"/>
  <c r="AR467" i="10"/>
  <c r="AQ467" i="10"/>
  <c r="AR98" i="10"/>
  <c r="AQ98" i="10"/>
  <c r="AQ347" i="10"/>
  <c r="AR347" i="10"/>
  <c r="AR451" i="10"/>
  <c r="AQ451" i="10"/>
  <c r="AR147" i="10"/>
  <c r="AQ147" i="10"/>
  <c r="AR501" i="10"/>
  <c r="AQ501" i="10"/>
  <c r="AQ92" i="10"/>
  <c r="AR92" i="10"/>
  <c r="AR110" i="10"/>
  <c r="AQ110" i="10"/>
  <c r="AQ371" i="10"/>
  <c r="AR371" i="10"/>
  <c r="AQ356" i="10"/>
  <c r="AR356" i="10"/>
  <c r="AQ437" i="10"/>
  <c r="AR437" i="10"/>
  <c r="AR60" i="10"/>
  <c r="AQ60" i="10"/>
  <c r="AQ358" i="10"/>
  <c r="AR358" i="10"/>
  <c r="AQ496" i="10"/>
  <c r="AR496" i="10"/>
  <c r="AR364" i="10"/>
  <c r="AQ364" i="10"/>
  <c r="AR40" i="10"/>
  <c r="AQ40" i="10"/>
  <c r="AQ214" i="10"/>
  <c r="AR214" i="10"/>
  <c r="AR475" i="10"/>
  <c r="AQ475" i="10"/>
  <c r="AR68" i="10"/>
  <c r="AQ68" i="10"/>
  <c r="AQ118" i="10"/>
  <c r="AR118" i="10"/>
  <c r="AQ301" i="10"/>
  <c r="AR301" i="10"/>
  <c r="AR308" i="10"/>
  <c r="AQ308" i="10"/>
  <c r="AR406" i="10"/>
  <c r="AQ406" i="10"/>
  <c r="AR89" i="10"/>
  <c r="AQ89" i="10"/>
  <c r="AQ342" i="10"/>
  <c r="AR342" i="10"/>
  <c r="AR411" i="10"/>
  <c r="AQ411" i="10"/>
  <c r="AQ328" i="10"/>
  <c r="AR328" i="10"/>
  <c r="AQ162" i="10"/>
  <c r="AR162" i="10"/>
  <c r="AQ222" i="10"/>
  <c r="AR222" i="10"/>
  <c r="AR514" i="10"/>
  <c r="AQ514" i="10"/>
  <c r="AQ59" i="10"/>
  <c r="AR59" i="10"/>
  <c r="AR227" i="10"/>
  <c r="AQ227" i="10"/>
  <c r="AQ231" i="10"/>
  <c r="AR231" i="10"/>
  <c r="AR80" i="10"/>
  <c r="AQ80" i="10"/>
  <c r="AR458" i="10"/>
  <c r="AQ458" i="10"/>
  <c r="AR28" i="10"/>
  <c r="AQ28" i="10"/>
  <c r="AR126" i="10"/>
  <c r="AQ126" i="10"/>
  <c r="AQ389" i="10"/>
  <c r="AR389" i="10"/>
  <c r="AR19" i="10"/>
  <c r="AQ19" i="10"/>
  <c r="AN502" i="5"/>
  <c r="AO502" i="5"/>
  <c r="AO216" i="5"/>
  <c r="AN216" i="5"/>
  <c r="AN511" i="5"/>
  <c r="AO511" i="5"/>
  <c r="AO120" i="5"/>
  <c r="AN120" i="5"/>
  <c r="AO364" i="5"/>
  <c r="AN364" i="5"/>
  <c r="AO400" i="5"/>
  <c r="AN400" i="5"/>
  <c r="AN336" i="5"/>
  <c r="AO336" i="5"/>
  <c r="AO553" i="5"/>
  <c r="AN553" i="5"/>
  <c r="AN333" i="5"/>
  <c r="AO333" i="5"/>
  <c r="AO381" i="5"/>
  <c r="AN381" i="5"/>
  <c r="AN254" i="5"/>
  <c r="AO254" i="5"/>
  <c r="AN542" i="5"/>
  <c r="AO542" i="5"/>
  <c r="AO245" i="5"/>
  <c r="AN245" i="5"/>
  <c r="AN317" i="5"/>
  <c r="AO317" i="5"/>
  <c r="AN214" i="5"/>
  <c r="AO214" i="5"/>
  <c r="AO101" i="5"/>
  <c r="AN101" i="5"/>
  <c r="AO76" i="5"/>
  <c r="AN76" i="5"/>
  <c r="AO8" i="5"/>
  <c r="AN8" i="5"/>
  <c r="AN520" i="5"/>
  <c r="AO520" i="5"/>
  <c r="AN427" i="5"/>
  <c r="AO427" i="5"/>
  <c r="AN209" i="5"/>
  <c r="AO209" i="5"/>
  <c r="AN346" i="5"/>
  <c r="AO346" i="5"/>
  <c r="AO285" i="5"/>
  <c r="AN285" i="5"/>
  <c r="AO130" i="5"/>
  <c r="AN130" i="5"/>
  <c r="AO112" i="5"/>
  <c r="AN112" i="5"/>
  <c r="AO48" i="5"/>
  <c r="AN48" i="5"/>
  <c r="AO550" i="5"/>
  <c r="AN550" i="5"/>
  <c r="AO455" i="5"/>
  <c r="AN455" i="5"/>
  <c r="AO458" i="5"/>
  <c r="AN458" i="5"/>
  <c r="AN304" i="5"/>
  <c r="AO304" i="5"/>
  <c r="AO263" i="5"/>
  <c r="AN263" i="5"/>
  <c r="AN199" i="5"/>
  <c r="AO199" i="5"/>
  <c r="AO159" i="5"/>
  <c r="AN159" i="5"/>
  <c r="AO97" i="5"/>
  <c r="AN97" i="5"/>
  <c r="AO26" i="5"/>
  <c r="AN26" i="5"/>
  <c r="AN510" i="5"/>
  <c r="AO510" i="5"/>
  <c r="AO412" i="5"/>
  <c r="AN412" i="5"/>
  <c r="AO418" i="5"/>
  <c r="AN418" i="5"/>
  <c r="AO343" i="5"/>
  <c r="AN343" i="5"/>
  <c r="AN281" i="5"/>
  <c r="AO281" i="5"/>
  <c r="AN203" i="5"/>
  <c r="AO203" i="5"/>
  <c r="AO106" i="5"/>
  <c r="AN106" i="5"/>
  <c r="AO28" i="5"/>
  <c r="AN28" i="5"/>
  <c r="AO509" i="5"/>
  <c r="AN509" i="5"/>
  <c r="AO403" i="5"/>
  <c r="AN403" i="5"/>
  <c r="AN417" i="5"/>
  <c r="AO417" i="5"/>
  <c r="AO339" i="5"/>
  <c r="AN339" i="5"/>
  <c r="AN279" i="5"/>
  <c r="AO279" i="5"/>
  <c r="AN201" i="5"/>
  <c r="AO201" i="5"/>
  <c r="AO100" i="5"/>
  <c r="AN100" i="5"/>
  <c r="AN21" i="5"/>
  <c r="AO21" i="5"/>
  <c r="AO560" i="5"/>
  <c r="AN560" i="5"/>
  <c r="AO396" i="5"/>
  <c r="AN396" i="5"/>
  <c r="AO415" i="5"/>
  <c r="AN415" i="5"/>
  <c r="AN423" i="5"/>
  <c r="AO423" i="5"/>
  <c r="AO331" i="5"/>
  <c r="AN331" i="5"/>
  <c r="AO222" i="5"/>
  <c r="AN222" i="5"/>
  <c r="AO160" i="5"/>
  <c r="AN160" i="5"/>
  <c r="AO82" i="5"/>
  <c r="AN82" i="5"/>
  <c r="AO537" i="5"/>
  <c r="AN537" i="5"/>
  <c r="AO505" i="5"/>
  <c r="AN505" i="5"/>
  <c r="AO394" i="5"/>
  <c r="AN394" i="5"/>
  <c r="AN408" i="5"/>
  <c r="AO408" i="5"/>
  <c r="AN332" i="5"/>
  <c r="AO332" i="5"/>
  <c r="AO274" i="5"/>
  <c r="AN274" i="5"/>
  <c r="AO197" i="5"/>
  <c r="AN197" i="5"/>
  <c r="AN81" i="5"/>
  <c r="AO81" i="5"/>
  <c r="AO68" i="5"/>
  <c r="AN68" i="5"/>
  <c r="AK550" i="5"/>
  <c r="AL550" i="5"/>
  <c r="AL105" i="5"/>
  <c r="AK105" i="5"/>
  <c r="AL285" i="5"/>
  <c r="AK285" i="5"/>
  <c r="AK469" i="5"/>
  <c r="AL469" i="5"/>
  <c r="AK362" i="5"/>
  <c r="AL362" i="5"/>
  <c r="AK246" i="5"/>
  <c r="AL246" i="5"/>
  <c r="AK329" i="5"/>
  <c r="AL329" i="5"/>
  <c r="AK214" i="5"/>
  <c r="AL214" i="5"/>
  <c r="AL141" i="5"/>
  <c r="AK141" i="5"/>
  <c r="AL65" i="5"/>
  <c r="AK65" i="5"/>
  <c r="AK521" i="5"/>
  <c r="AL521" i="5"/>
  <c r="AK72" i="5"/>
  <c r="AL72" i="5"/>
  <c r="AL496" i="5"/>
  <c r="AK496" i="5"/>
  <c r="AL288" i="5"/>
  <c r="AK288" i="5"/>
  <c r="AK366" i="5"/>
  <c r="AL366" i="5"/>
  <c r="AL292" i="5"/>
  <c r="AK292" i="5"/>
  <c r="AL247" i="5"/>
  <c r="AK247" i="5"/>
  <c r="AK184" i="5"/>
  <c r="AL184" i="5"/>
  <c r="AK128" i="5"/>
  <c r="AL128" i="5"/>
  <c r="AK69" i="5"/>
  <c r="AL69" i="5"/>
  <c r="AK346" i="5"/>
  <c r="AL346" i="5"/>
  <c r="AK531" i="5"/>
  <c r="AL531" i="5"/>
  <c r="AL456" i="5"/>
  <c r="AK456" i="5"/>
  <c r="AK495" i="5"/>
  <c r="AL495" i="5"/>
  <c r="AL318" i="5"/>
  <c r="AK318" i="5"/>
  <c r="AK260" i="5"/>
  <c r="AL260" i="5"/>
  <c r="AK229" i="5"/>
  <c r="AL229" i="5"/>
  <c r="AL178" i="5"/>
  <c r="AK178" i="5"/>
  <c r="AK103" i="5"/>
  <c r="AL103" i="5"/>
  <c r="AL24" i="5"/>
  <c r="AK24" i="5"/>
  <c r="AK371" i="5"/>
  <c r="AL371" i="5"/>
  <c r="AK525" i="5"/>
  <c r="AL525" i="5"/>
  <c r="AK448" i="5"/>
  <c r="AL448" i="5"/>
  <c r="AK492" i="5"/>
  <c r="AL492" i="5"/>
  <c r="AK274" i="5"/>
  <c r="AL274" i="5"/>
  <c r="AL258" i="5"/>
  <c r="AK258" i="5"/>
  <c r="AK227" i="5"/>
  <c r="AL227" i="5"/>
  <c r="AK173" i="5"/>
  <c r="AL173" i="5"/>
  <c r="AL97" i="5"/>
  <c r="AK97" i="5"/>
  <c r="AL21" i="5"/>
  <c r="AK21" i="5"/>
  <c r="AL299" i="5"/>
  <c r="AK299" i="5"/>
  <c r="AK447" i="5"/>
  <c r="AL447" i="5"/>
  <c r="AL421" i="5"/>
  <c r="AK421" i="5"/>
  <c r="AK465" i="5"/>
  <c r="AL465" i="5"/>
  <c r="AL413" i="5"/>
  <c r="AK413" i="5"/>
  <c r="AK322" i="5"/>
  <c r="AL322" i="5"/>
  <c r="AK198" i="5"/>
  <c r="AL198" i="5"/>
  <c r="AL164" i="5"/>
  <c r="AK164" i="5"/>
  <c r="AK84" i="5"/>
  <c r="AL84" i="5"/>
  <c r="AK48" i="5"/>
  <c r="AL48" i="5"/>
  <c r="AL218" i="5"/>
  <c r="AK218" i="5"/>
  <c r="AL556" i="5"/>
  <c r="AK556" i="5"/>
  <c r="AK508" i="5"/>
  <c r="AL508" i="5"/>
  <c r="AK401" i="5"/>
  <c r="AL401" i="5"/>
  <c r="AK356" i="5"/>
  <c r="AL356" i="5"/>
  <c r="AL257" i="5"/>
  <c r="AK257" i="5"/>
  <c r="AK167" i="5"/>
  <c r="AL167" i="5"/>
  <c r="AK110" i="5"/>
  <c r="AL110" i="5"/>
  <c r="AL74" i="5"/>
  <c r="AK74" i="5"/>
  <c r="AK113" i="5"/>
  <c r="AL113" i="5"/>
  <c r="AL559" i="5"/>
  <c r="AK559" i="5"/>
  <c r="AK503" i="5"/>
  <c r="AL503" i="5"/>
  <c r="AL397" i="5"/>
  <c r="AK397" i="5"/>
  <c r="AK350" i="5"/>
  <c r="AL350" i="5"/>
  <c r="AK255" i="5"/>
  <c r="AL255" i="5"/>
  <c r="AL244" i="5"/>
  <c r="AK244" i="5"/>
  <c r="AL108" i="5"/>
  <c r="AK108" i="5"/>
  <c r="AK73" i="5"/>
  <c r="AL73" i="5"/>
  <c r="AK7" i="5"/>
  <c r="AL7" i="5"/>
  <c r="AS458" i="10"/>
  <c r="AS373" i="10"/>
  <c r="AS256" i="10"/>
  <c r="AS275" i="10"/>
  <c r="AS305" i="10"/>
  <c r="AS189" i="10"/>
  <c r="AS21" i="10"/>
  <c r="AS65" i="10"/>
  <c r="AS143" i="10"/>
  <c r="AS213" i="10"/>
  <c r="AS245" i="10"/>
  <c r="AS382" i="10"/>
  <c r="AS419" i="10"/>
  <c r="AS27" i="10"/>
  <c r="AS67" i="10"/>
  <c r="AS147" i="10"/>
  <c r="AS217" i="10"/>
  <c r="AS249" i="10"/>
  <c r="AS246" i="10"/>
  <c r="AS423" i="10"/>
  <c r="AS81" i="10"/>
  <c r="AS169" i="10"/>
  <c r="AS183" i="10"/>
  <c r="AS255" i="10"/>
  <c r="AS285" i="10"/>
  <c r="AS282" i="10"/>
  <c r="AS460" i="10"/>
  <c r="AS30" i="10"/>
  <c r="AS74" i="10"/>
  <c r="AS272" i="10"/>
  <c r="AS291" i="10"/>
  <c r="AS319" i="10"/>
  <c r="AS318" i="10"/>
  <c r="AS435" i="10"/>
  <c r="AS105" i="10"/>
  <c r="AS110" i="10"/>
  <c r="AS72" i="10"/>
  <c r="AS372" i="10"/>
  <c r="AS355" i="10"/>
  <c r="AS354" i="10"/>
  <c r="AS501" i="10"/>
  <c r="AS141" i="10"/>
  <c r="AS146" i="10"/>
  <c r="AS108" i="10"/>
  <c r="AS224" i="10"/>
  <c r="AS320" i="10"/>
  <c r="AS404" i="10"/>
  <c r="AS521" i="10"/>
  <c r="AS32" i="10"/>
  <c r="AS215" i="10"/>
  <c r="AS144" i="10"/>
  <c r="AS174" i="10"/>
  <c r="AS356" i="10"/>
  <c r="AS394" i="10"/>
  <c r="AS540" i="10"/>
  <c r="AS465" i="10"/>
  <c r="AS553" i="10"/>
  <c r="AS472" i="10"/>
  <c r="AS539" i="10"/>
  <c r="AS475" i="10"/>
  <c r="AS545" i="10"/>
  <c r="AS450" i="10"/>
  <c r="AS516" i="10"/>
  <c r="AS462" i="10"/>
  <c r="AS522" i="10"/>
  <c r="AS482" i="10"/>
  <c r="AS495" i="10"/>
  <c r="AL10" i="10"/>
  <c r="AK10" i="10"/>
  <c r="AL394" i="10"/>
  <c r="AK394" i="10"/>
  <c r="AL448" i="10"/>
  <c r="AK448" i="10"/>
  <c r="AK66" i="10"/>
  <c r="AL66" i="10"/>
  <c r="AL210" i="10"/>
  <c r="AK210" i="10"/>
  <c r="AL339" i="10"/>
  <c r="AK339" i="10"/>
  <c r="AL357" i="10"/>
  <c r="AK357" i="10"/>
  <c r="AK236" i="10"/>
  <c r="AL236" i="10"/>
  <c r="AK277" i="10"/>
  <c r="AL277" i="10"/>
  <c r="AL21" i="10"/>
  <c r="AK21" i="10"/>
  <c r="AL517" i="10"/>
  <c r="AK517" i="10"/>
  <c r="AL508" i="10"/>
  <c r="AK508" i="10"/>
  <c r="AK423" i="10"/>
  <c r="AL423" i="10"/>
  <c r="AL499" i="10"/>
  <c r="AK499" i="10"/>
  <c r="AL481" i="10"/>
  <c r="AK481" i="10"/>
  <c r="AK143" i="10"/>
  <c r="AL143" i="10"/>
  <c r="AK104" i="10"/>
  <c r="AL104" i="10"/>
  <c r="AK145" i="10"/>
  <c r="AL145" i="10"/>
  <c r="AK54" i="10"/>
  <c r="AL54" i="10"/>
  <c r="AL342" i="10"/>
  <c r="AK342" i="10"/>
  <c r="AK530" i="10"/>
  <c r="AL530" i="10"/>
  <c r="AK102" i="10"/>
  <c r="AL102" i="10"/>
  <c r="AK266" i="10"/>
  <c r="AL266" i="10"/>
  <c r="AL317" i="10"/>
  <c r="AK317" i="10"/>
  <c r="AK196" i="10"/>
  <c r="AL196" i="10"/>
  <c r="AL237" i="10"/>
  <c r="AK237" i="10"/>
  <c r="AL300" i="10"/>
  <c r="AK300" i="10"/>
  <c r="AL315" i="10"/>
  <c r="AK315" i="10"/>
  <c r="AK410" i="10"/>
  <c r="AL410" i="10"/>
  <c r="AK370" i="10"/>
  <c r="AL370" i="10"/>
  <c r="AL451" i="10"/>
  <c r="AK451" i="10"/>
  <c r="AK441" i="10"/>
  <c r="AL441" i="10"/>
  <c r="AK63" i="10"/>
  <c r="AL63" i="10"/>
  <c r="AL64" i="10"/>
  <c r="AK64" i="10"/>
  <c r="AL105" i="10"/>
  <c r="AK105" i="10"/>
  <c r="AK536" i="10"/>
  <c r="AL536" i="10"/>
  <c r="AK320" i="10"/>
  <c r="AL320" i="10"/>
  <c r="AK522" i="10"/>
  <c r="AL522" i="10"/>
  <c r="AK82" i="10"/>
  <c r="AL82" i="10"/>
  <c r="AK243" i="10"/>
  <c r="AL243" i="10"/>
  <c r="AK307" i="10"/>
  <c r="AL307" i="10"/>
  <c r="AL188" i="10"/>
  <c r="AK188" i="10"/>
  <c r="AL229" i="10"/>
  <c r="AK229" i="10"/>
  <c r="AL509" i="10"/>
  <c r="AK509" i="10"/>
  <c r="AK238" i="10"/>
  <c r="AL238" i="10"/>
  <c r="AK388" i="10"/>
  <c r="AL388" i="10"/>
  <c r="AK359" i="10"/>
  <c r="AL359" i="10"/>
  <c r="AL440" i="10"/>
  <c r="AK440" i="10"/>
  <c r="AK433" i="10"/>
  <c r="AL433" i="10"/>
  <c r="AL47" i="10"/>
  <c r="AK47" i="10"/>
  <c r="AK56" i="10"/>
  <c r="AL56" i="10"/>
  <c r="AK97" i="10"/>
  <c r="AL97" i="10"/>
  <c r="AL504" i="10"/>
  <c r="AK504" i="10"/>
  <c r="AK291" i="10"/>
  <c r="AL291" i="10"/>
  <c r="AL514" i="10"/>
  <c r="AK514" i="10"/>
  <c r="AL59" i="10"/>
  <c r="AK59" i="10"/>
  <c r="AK222" i="10"/>
  <c r="AL222" i="10"/>
  <c r="AK295" i="10"/>
  <c r="AL295" i="10"/>
  <c r="AL180" i="10"/>
  <c r="AK180" i="10"/>
  <c r="AK221" i="10"/>
  <c r="AL221" i="10"/>
  <c r="AL347" i="10"/>
  <c r="AK347" i="10"/>
  <c r="AL154" i="10"/>
  <c r="AK154" i="10"/>
  <c r="AL367" i="10"/>
  <c r="AK367" i="10"/>
  <c r="AK348" i="10"/>
  <c r="AL348" i="10"/>
  <c r="AL430" i="10"/>
  <c r="AK430" i="10"/>
  <c r="AL425" i="10"/>
  <c r="AK425" i="10"/>
  <c r="AK31" i="10"/>
  <c r="AL31" i="10"/>
  <c r="AL48" i="10"/>
  <c r="AK48" i="10"/>
  <c r="AK89" i="10"/>
  <c r="AL89" i="10"/>
  <c r="AO13" i="10"/>
  <c r="AN13" i="10"/>
  <c r="AO488" i="10"/>
  <c r="AN488" i="10"/>
  <c r="AN535" i="10"/>
  <c r="AO535" i="10"/>
  <c r="AO259" i="10"/>
  <c r="AN259" i="10"/>
  <c r="AO121" i="10"/>
  <c r="AN121" i="10"/>
  <c r="AN406" i="10"/>
  <c r="AO406" i="10"/>
  <c r="AN526" i="10"/>
  <c r="AO526" i="10"/>
  <c r="AN205" i="10"/>
  <c r="AO205" i="10"/>
  <c r="AO252" i="10"/>
  <c r="AN252" i="10"/>
  <c r="AN189" i="10"/>
  <c r="AO189" i="10"/>
  <c r="AO46" i="10"/>
  <c r="AN46" i="10"/>
  <c r="AN257" i="10"/>
  <c r="AO257" i="10"/>
  <c r="AI531" i="5"/>
  <c r="AH531" i="5"/>
  <c r="AP531" i="5"/>
  <c r="AI460" i="5"/>
  <c r="AP460" i="5"/>
  <c r="AH460" i="5"/>
  <c r="AI493" i="5"/>
  <c r="AH493" i="5"/>
  <c r="AP493" i="5"/>
  <c r="AH168" i="5"/>
  <c r="AI168" i="5"/>
  <c r="AP168" i="5"/>
  <c r="AP443" i="5"/>
  <c r="AH443" i="5"/>
  <c r="AI443" i="5"/>
  <c r="AI55" i="5"/>
  <c r="AH55" i="5"/>
  <c r="AP55" i="5"/>
  <c r="AI369" i="5"/>
  <c r="AH369" i="5"/>
  <c r="AP369" i="5"/>
  <c r="AP366" i="5"/>
  <c r="AI366" i="5"/>
  <c r="AH366" i="5"/>
  <c r="AH222" i="5"/>
  <c r="AI222" i="5"/>
  <c r="AP222" i="5"/>
  <c r="AP296" i="5"/>
  <c r="AI296" i="5"/>
  <c r="AH296" i="5"/>
  <c r="AI25" i="5"/>
  <c r="AH25" i="5"/>
  <c r="AP25" i="5"/>
  <c r="AH309" i="5"/>
  <c r="AP309" i="5"/>
  <c r="AI309" i="5"/>
  <c r="AH306" i="5"/>
  <c r="AP306" i="5"/>
  <c r="AI306" i="5"/>
  <c r="AH201" i="5"/>
  <c r="AP201" i="5"/>
  <c r="AI201" i="5"/>
  <c r="AH67" i="5"/>
  <c r="AI67" i="5"/>
  <c r="AP67" i="5"/>
  <c r="AR422" i="10"/>
  <c r="AQ422" i="10"/>
  <c r="AR43" i="10"/>
  <c r="AQ43" i="10"/>
  <c r="AQ72" i="10"/>
  <c r="AR72" i="10"/>
  <c r="AQ298" i="10"/>
  <c r="AR298" i="10"/>
  <c r="AQ457" i="10"/>
  <c r="AR457" i="10"/>
  <c r="AQ173" i="10"/>
  <c r="AR173" i="10"/>
  <c r="AR284" i="10"/>
  <c r="AQ284" i="10"/>
  <c r="AQ213" i="10"/>
  <c r="AR213" i="10"/>
  <c r="AR24" i="10"/>
  <c r="AQ24" i="10"/>
  <c r="AR444" i="10"/>
  <c r="AQ444" i="10"/>
  <c r="AQ441" i="10"/>
  <c r="AR441" i="10"/>
  <c r="AQ511" i="10"/>
  <c r="AR511" i="10"/>
  <c r="AR452" i="10"/>
  <c r="AQ452" i="10"/>
  <c r="AR426" i="10"/>
  <c r="AQ426" i="10"/>
  <c r="AQ278" i="10"/>
  <c r="AR278" i="10"/>
  <c r="AN165" i="5"/>
  <c r="AO165" i="5"/>
  <c r="AO46" i="5"/>
  <c r="AN46" i="5"/>
  <c r="AO241" i="5"/>
  <c r="AN241" i="5"/>
  <c r="AN34" i="5"/>
  <c r="AO34" i="5"/>
  <c r="AO299" i="5"/>
  <c r="AN299" i="5"/>
  <c r="AN135" i="5"/>
  <c r="AO135" i="5"/>
  <c r="AO486" i="5"/>
  <c r="AN486" i="5"/>
  <c r="AO240" i="5"/>
  <c r="AN240" i="5"/>
  <c r="AN38" i="5"/>
  <c r="AO38" i="5"/>
  <c r="AO307" i="5"/>
  <c r="AN307" i="5"/>
  <c r="AO461" i="5"/>
  <c r="AN461" i="5"/>
  <c r="AN126" i="5"/>
  <c r="AO126" i="5"/>
  <c r="AO260" i="5"/>
  <c r="AN260" i="5"/>
  <c r="AO530" i="5"/>
  <c r="AN530" i="5"/>
  <c r="AN171" i="5"/>
  <c r="AO171" i="5"/>
  <c r="AK242" i="5"/>
  <c r="AL242" i="5"/>
  <c r="AL251" i="5"/>
  <c r="AK251" i="5"/>
  <c r="AK538" i="5"/>
  <c r="AL538" i="5"/>
  <c r="AK142" i="5"/>
  <c r="AL142" i="5"/>
  <c r="AK491" i="5"/>
  <c r="AL491" i="5"/>
  <c r="AK289" i="5"/>
  <c r="AL289" i="5"/>
  <c r="AK63" i="5"/>
  <c r="AL63" i="5"/>
  <c r="AL490" i="5"/>
  <c r="AK490" i="5"/>
  <c r="AK286" i="5"/>
  <c r="AL286" i="5"/>
  <c r="AK125" i="5"/>
  <c r="AL125" i="5"/>
  <c r="AL515" i="5"/>
  <c r="AK515" i="5"/>
  <c r="AK252" i="5"/>
  <c r="AL252" i="5"/>
  <c r="AK107" i="5"/>
  <c r="AL107" i="5"/>
  <c r="AK535" i="5"/>
  <c r="AL535" i="5"/>
  <c r="AK239" i="5"/>
  <c r="AL239" i="5"/>
  <c r="AK530" i="5"/>
  <c r="AL530" i="5"/>
  <c r="AK377" i="5"/>
  <c r="AL377" i="5"/>
  <c r="AK140" i="5"/>
  <c r="AL140" i="5"/>
  <c r="AL8" i="5"/>
  <c r="AK8" i="5"/>
  <c r="AS485" i="10"/>
  <c r="AU300" i="10"/>
  <c r="AT300" i="10"/>
  <c r="AV300" i="10"/>
  <c r="AS447" i="10"/>
  <c r="AT184" i="10"/>
  <c r="AU184" i="10"/>
  <c r="AV184" i="10"/>
  <c r="AS341" i="10"/>
  <c r="AT47" i="10"/>
  <c r="AU47" i="10"/>
  <c r="AV47" i="10"/>
  <c r="AS221" i="10"/>
  <c r="AT85" i="10"/>
  <c r="AU85" i="10"/>
  <c r="AV85" i="10"/>
  <c r="AS187" i="10"/>
  <c r="AU114" i="10"/>
  <c r="AT114" i="10"/>
  <c r="AV114" i="10"/>
  <c r="AT145" i="10"/>
  <c r="AU145" i="10"/>
  <c r="AV145" i="10"/>
  <c r="AT228" i="10"/>
  <c r="AU228" i="10"/>
  <c r="AV228" i="10"/>
  <c r="AS532" i="10"/>
  <c r="AT525" i="10"/>
  <c r="AU525" i="10"/>
  <c r="AV525" i="10"/>
  <c r="AK9" i="10"/>
  <c r="AL9" i="10"/>
  <c r="AL294" i="10"/>
  <c r="AK294" i="10"/>
  <c r="AL389" i="10"/>
  <c r="AK389" i="10"/>
  <c r="AK309" i="10"/>
  <c r="AL309" i="10"/>
  <c r="AK246" i="10"/>
  <c r="AL246" i="10"/>
  <c r="AK466" i="10"/>
  <c r="AL466" i="10"/>
  <c r="AK136" i="10"/>
  <c r="AL136" i="10"/>
  <c r="AK351" i="10"/>
  <c r="AL351" i="10"/>
  <c r="AL22" i="10"/>
  <c r="AK22" i="10"/>
  <c r="AL349" i="10"/>
  <c r="AK349" i="10"/>
  <c r="AK473" i="10"/>
  <c r="AL473" i="10"/>
  <c r="AN10" i="10"/>
  <c r="AO10" i="10"/>
  <c r="AN539" i="10"/>
  <c r="AO539" i="10"/>
  <c r="AN422" i="10"/>
  <c r="AO422" i="10"/>
  <c r="AO90" i="10"/>
  <c r="AN90" i="10"/>
  <c r="AO126" i="10"/>
  <c r="AN126" i="10"/>
  <c r="AO546" i="10"/>
  <c r="AN546" i="10"/>
  <c r="AO73" i="10"/>
  <c r="AN73" i="10"/>
  <c r="AN394" i="10"/>
  <c r="AO394" i="10"/>
  <c r="AO471" i="10"/>
  <c r="AN471" i="10"/>
  <c r="AN312" i="10"/>
  <c r="AO312" i="10"/>
  <c r="AO319" i="10"/>
  <c r="AN319" i="10"/>
  <c r="AN297" i="10"/>
  <c r="AO297" i="10"/>
  <c r="AN545" i="10"/>
  <c r="AO545" i="10"/>
  <c r="AN509" i="10"/>
  <c r="AO509" i="10"/>
  <c r="AN554" i="10"/>
  <c r="AO554" i="10"/>
  <c r="AN391" i="10"/>
  <c r="AO391" i="10"/>
  <c r="AN467" i="10"/>
  <c r="AO467" i="10"/>
  <c r="AN308" i="10"/>
  <c r="AO308" i="10"/>
  <c r="AN315" i="10"/>
  <c r="AO315" i="10"/>
  <c r="AO283" i="10"/>
  <c r="AN283" i="10"/>
  <c r="AN249" i="10"/>
  <c r="AO249" i="10"/>
  <c r="AO366" i="10"/>
  <c r="AN366" i="10"/>
  <c r="AO143" i="10"/>
  <c r="AN143" i="10"/>
  <c r="AN164" i="10"/>
  <c r="AO164" i="10"/>
  <c r="AO177" i="10"/>
  <c r="AN177" i="10"/>
  <c r="AO286" i="10"/>
  <c r="AN286" i="10"/>
  <c r="AO326" i="10"/>
  <c r="AN326" i="10"/>
  <c r="AN352" i="10"/>
  <c r="AO352" i="10"/>
  <c r="AO472" i="10"/>
  <c r="AN472" i="10"/>
  <c r="AN559" i="10"/>
  <c r="AO559" i="10"/>
  <c r="AN438" i="10"/>
  <c r="AO438" i="10"/>
  <c r="AO108" i="10"/>
  <c r="AN108" i="10"/>
  <c r="AO142" i="10"/>
  <c r="AN142" i="10"/>
  <c r="AN478" i="10"/>
  <c r="AO478" i="10"/>
  <c r="AN302" i="10"/>
  <c r="AO302" i="10"/>
  <c r="AO344" i="10"/>
  <c r="AN344" i="10"/>
  <c r="AN468" i="10"/>
  <c r="AO468" i="10"/>
  <c r="AN551" i="10"/>
  <c r="AO551" i="10"/>
  <c r="AO434" i="10"/>
  <c r="AN434" i="10"/>
  <c r="AO105" i="10"/>
  <c r="AN105" i="10"/>
  <c r="AO137" i="10"/>
  <c r="AN137" i="10"/>
  <c r="AN334" i="10"/>
  <c r="AO334" i="10"/>
  <c r="AN462" i="10"/>
  <c r="AO462" i="10"/>
  <c r="AN379" i="10"/>
  <c r="AO379" i="10"/>
  <c r="AO496" i="10"/>
  <c r="AN496" i="10"/>
  <c r="AO284" i="10"/>
  <c r="AN284" i="10"/>
  <c r="AO107" i="10"/>
  <c r="AN107" i="10"/>
  <c r="AN140" i="10"/>
  <c r="AO140" i="10"/>
  <c r="AO166" i="10"/>
  <c r="AN166" i="10"/>
  <c r="AO328" i="10"/>
  <c r="AN328" i="10"/>
  <c r="AO460" i="10"/>
  <c r="AN460" i="10"/>
  <c r="AN543" i="10"/>
  <c r="AO543" i="10"/>
  <c r="AN426" i="10"/>
  <c r="AO426" i="10"/>
  <c r="AN100" i="10"/>
  <c r="AO100" i="10"/>
  <c r="AO129" i="10"/>
  <c r="AN129" i="10"/>
  <c r="AO278" i="10"/>
  <c r="AN278" i="10"/>
  <c r="AN68" i="10"/>
  <c r="AO68" i="10"/>
  <c r="AO305" i="10"/>
  <c r="AN305" i="10"/>
  <c r="AN98" i="10"/>
  <c r="AO98" i="10"/>
  <c r="AO301" i="10"/>
  <c r="AN301" i="10"/>
  <c r="AO95" i="10"/>
  <c r="AN95" i="10"/>
  <c r="AN77" i="10"/>
  <c r="AO77" i="10"/>
  <c r="AO203" i="10"/>
  <c r="AN203" i="10"/>
  <c r="AO72" i="10"/>
  <c r="AN72" i="10"/>
  <c r="AN201" i="10"/>
  <c r="AO201" i="10"/>
  <c r="AN66" i="10"/>
  <c r="AO66" i="10"/>
  <c r="AO198" i="10"/>
  <c r="AN198" i="10"/>
  <c r="AO63" i="10"/>
  <c r="AN63" i="10"/>
  <c r="AO19" i="10"/>
  <c r="AN19" i="10"/>
  <c r="AP403" i="5"/>
  <c r="AI403" i="5"/>
  <c r="AH403" i="5"/>
  <c r="AI389" i="5"/>
  <c r="AH389" i="5"/>
  <c r="AP389" i="5"/>
  <c r="AI462" i="5"/>
  <c r="AP462" i="5"/>
  <c r="AH462" i="5"/>
  <c r="AI419" i="5"/>
  <c r="AH419" i="5"/>
  <c r="AP419" i="5"/>
  <c r="AI401" i="5"/>
  <c r="AH401" i="5"/>
  <c r="AP401" i="5"/>
  <c r="AH248" i="5"/>
  <c r="AI248" i="5"/>
  <c r="AP248" i="5"/>
  <c r="AP21" i="5"/>
  <c r="AI21" i="5"/>
  <c r="AH21" i="5"/>
  <c r="AI521" i="5"/>
  <c r="AH521" i="5"/>
  <c r="AP521" i="5"/>
  <c r="AP553" i="5"/>
  <c r="AH553" i="5"/>
  <c r="AI553" i="5"/>
  <c r="AI530" i="5"/>
  <c r="AH530" i="5"/>
  <c r="AP530" i="5"/>
  <c r="AP386" i="5"/>
  <c r="AI386" i="5"/>
  <c r="AH386" i="5"/>
  <c r="AH315" i="5"/>
  <c r="AP315" i="5"/>
  <c r="AI315" i="5"/>
  <c r="AH103" i="5"/>
  <c r="AI103" i="5"/>
  <c r="AP103" i="5"/>
  <c r="AH365" i="5"/>
  <c r="AP365" i="5"/>
  <c r="AI365" i="5"/>
  <c r="AI457" i="5"/>
  <c r="AP457" i="5"/>
  <c r="AH457" i="5"/>
  <c r="AI379" i="5"/>
  <c r="AP379" i="5"/>
  <c r="AH379" i="5"/>
  <c r="AI394" i="5"/>
  <c r="AP394" i="5"/>
  <c r="AH394" i="5"/>
  <c r="AH218" i="5"/>
  <c r="AI218" i="5"/>
  <c r="AP218" i="5"/>
  <c r="AP35" i="5"/>
  <c r="AH35" i="5"/>
  <c r="AI35" i="5"/>
  <c r="AH110" i="5"/>
  <c r="AI110" i="5"/>
  <c r="AP110" i="5"/>
  <c r="AH509" i="5"/>
  <c r="AP509" i="5"/>
  <c r="AI509" i="5"/>
  <c r="AH456" i="5"/>
  <c r="AP456" i="5"/>
  <c r="AI456" i="5"/>
  <c r="AH352" i="5"/>
  <c r="AP352" i="5"/>
  <c r="AI352" i="5"/>
  <c r="AH316" i="5"/>
  <c r="AI316" i="5"/>
  <c r="AP316" i="5"/>
  <c r="AI122" i="5"/>
  <c r="AH122" i="5"/>
  <c r="AP122" i="5"/>
  <c r="AI435" i="5"/>
  <c r="AP435" i="5"/>
  <c r="AH435" i="5"/>
  <c r="AH519" i="5"/>
  <c r="AP519" i="5"/>
  <c r="AI519" i="5"/>
  <c r="AH517" i="5"/>
  <c r="AP517" i="5"/>
  <c r="AI517" i="5"/>
  <c r="AI418" i="5"/>
  <c r="AP418" i="5"/>
  <c r="AH418" i="5"/>
  <c r="AI343" i="5"/>
  <c r="AH343" i="5"/>
  <c r="AP343" i="5"/>
  <c r="AI111" i="5"/>
  <c r="AH111" i="5"/>
  <c r="AP111" i="5"/>
  <c r="AP539" i="5"/>
  <c r="AI539" i="5"/>
  <c r="AH539" i="5"/>
  <c r="AP449" i="5"/>
  <c r="AI449" i="5"/>
  <c r="AH449" i="5"/>
  <c r="AI548" i="5"/>
  <c r="AH548" i="5"/>
  <c r="AP548" i="5"/>
  <c r="AI510" i="5"/>
  <c r="AP510" i="5"/>
  <c r="AH510" i="5"/>
  <c r="AH368" i="5"/>
  <c r="AP368" i="5"/>
  <c r="AI368" i="5"/>
  <c r="AH287" i="5"/>
  <c r="AP287" i="5"/>
  <c r="AI287" i="5"/>
  <c r="AH90" i="5"/>
  <c r="AI90" i="5"/>
  <c r="AP90" i="5"/>
  <c r="AI538" i="5"/>
  <c r="AP538" i="5"/>
  <c r="AH538" i="5"/>
  <c r="AH204" i="5"/>
  <c r="AI204" i="5"/>
  <c r="AP204" i="5"/>
  <c r="AH357" i="5"/>
  <c r="AP357" i="5"/>
  <c r="AI357" i="5"/>
  <c r="AI393" i="5"/>
  <c r="AH393" i="5"/>
  <c r="AP393" i="5"/>
  <c r="AI205" i="5"/>
  <c r="AP205" i="5"/>
  <c r="AH205" i="5"/>
  <c r="AI91" i="5"/>
  <c r="AH91" i="5"/>
  <c r="AP91" i="5"/>
  <c r="AI342" i="5"/>
  <c r="AH342" i="5"/>
  <c r="AP342" i="5"/>
  <c r="AH293" i="5"/>
  <c r="AP293" i="5"/>
  <c r="AI293" i="5"/>
  <c r="AI197" i="5"/>
  <c r="AH197" i="5"/>
  <c r="AP197" i="5"/>
  <c r="AI151" i="5"/>
  <c r="AH151" i="5"/>
  <c r="AP151" i="5"/>
  <c r="AH60" i="5"/>
  <c r="AI60" i="5"/>
  <c r="AP60" i="5"/>
  <c r="AI216" i="5"/>
  <c r="AH216" i="5"/>
  <c r="AP216" i="5"/>
  <c r="AH144" i="5"/>
  <c r="AP144" i="5"/>
  <c r="AI144" i="5"/>
  <c r="AI81" i="5"/>
  <c r="AH81" i="5"/>
  <c r="AP81" i="5"/>
  <c r="AH262" i="5"/>
  <c r="AI262" i="5"/>
  <c r="AP262" i="5"/>
  <c r="AI328" i="5"/>
  <c r="AP328" i="5"/>
  <c r="AH328" i="5"/>
  <c r="AI221" i="5"/>
  <c r="AH221" i="5"/>
  <c r="AP221" i="5"/>
  <c r="AH131" i="5"/>
  <c r="AI131" i="5"/>
  <c r="AP131" i="5"/>
  <c r="AI79" i="5"/>
  <c r="AH79" i="5"/>
  <c r="AP79" i="5"/>
  <c r="AI24" i="5"/>
  <c r="AH24" i="5"/>
  <c r="AP24" i="5"/>
  <c r="AH288" i="5"/>
  <c r="AP288" i="5"/>
  <c r="AI288" i="5"/>
  <c r="AI254" i="5"/>
  <c r="AP254" i="5"/>
  <c r="AH254" i="5"/>
  <c r="AI155" i="5"/>
  <c r="AP155" i="5"/>
  <c r="AH155" i="5"/>
  <c r="AH132" i="5"/>
  <c r="AI132" i="5"/>
  <c r="AP132" i="5"/>
  <c r="AI49" i="5"/>
  <c r="AP49" i="5"/>
  <c r="AH49" i="5"/>
  <c r="AI285" i="5"/>
  <c r="AP285" i="5"/>
  <c r="AH285" i="5"/>
  <c r="AH252" i="5"/>
  <c r="AP252" i="5"/>
  <c r="AI252" i="5"/>
  <c r="AH140" i="5"/>
  <c r="AI140" i="5"/>
  <c r="AP140" i="5"/>
  <c r="AP127" i="5"/>
  <c r="AH127" i="5"/>
  <c r="AI127" i="5"/>
  <c r="AH48" i="5"/>
  <c r="AP48" i="5"/>
  <c r="AI48" i="5"/>
  <c r="AR368" i="10"/>
  <c r="AQ368" i="10"/>
  <c r="AQ491" i="10"/>
  <c r="AR491" i="10"/>
  <c r="AQ532" i="10"/>
  <c r="AR532" i="10"/>
  <c r="AR460" i="10"/>
  <c r="AQ460" i="10"/>
  <c r="AQ350" i="10"/>
  <c r="AR350" i="10"/>
  <c r="AQ465" i="10"/>
  <c r="AR465" i="10"/>
  <c r="AQ423" i="10"/>
  <c r="AR423" i="10"/>
  <c r="AQ170" i="10"/>
  <c r="AR170" i="10"/>
  <c r="AR418" i="10"/>
  <c r="AQ418" i="10"/>
  <c r="AQ529" i="10"/>
  <c r="AR529" i="10"/>
  <c r="AQ329" i="10"/>
  <c r="AR329" i="10"/>
  <c r="AR32" i="10"/>
  <c r="AQ32" i="10"/>
  <c r="AQ197" i="10"/>
  <c r="AR197" i="10"/>
  <c r="AQ459" i="10"/>
  <c r="AR459" i="10"/>
  <c r="AR29" i="10"/>
  <c r="AQ29" i="10"/>
  <c r="AQ156" i="10"/>
  <c r="AR156" i="10"/>
  <c r="AR553" i="10"/>
  <c r="AQ553" i="10"/>
  <c r="AQ23" i="10"/>
  <c r="AR23" i="10"/>
  <c r="AR464" i="10"/>
  <c r="AQ464" i="10"/>
  <c r="AQ190" i="10"/>
  <c r="AR190" i="10"/>
  <c r="AR138" i="10"/>
  <c r="AQ138" i="10"/>
  <c r="AQ397" i="10"/>
  <c r="AR397" i="10"/>
  <c r="AR288" i="10"/>
  <c r="AQ288" i="10"/>
  <c r="AR372" i="10"/>
  <c r="AQ372" i="10"/>
  <c r="AR109" i="10"/>
  <c r="AQ109" i="10"/>
  <c r="AQ310" i="10"/>
  <c r="AR310" i="10"/>
  <c r="AQ322" i="10"/>
  <c r="AR322" i="10"/>
  <c r="AQ283" i="10"/>
  <c r="AR283" i="10"/>
  <c r="AQ290" i="10"/>
  <c r="AR290" i="10"/>
  <c r="AR238" i="10"/>
  <c r="AQ238" i="10"/>
  <c r="AQ518" i="10"/>
  <c r="AR518" i="10"/>
  <c r="AR542" i="10"/>
  <c r="AQ542" i="10"/>
  <c r="AQ140" i="10"/>
  <c r="AR140" i="10"/>
  <c r="AR533" i="10"/>
  <c r="AQ533" i="10"/>
  <c r="AQ196" i="10"/>
  <c r="AR196" i="10"/>
  <c r="AQ412" i="10"/>
  <c r="AR412" i="10"/>
  <c r="AR174" i="10"/>
  <c r="AQ174" i="10"/>
  <c r="AQ146" i="10"/>
  <c r="AR146" i="10"/>
  <c r="AR405" i="10"/>
  <c r="AQ405" i="10"/>
  <c r="AR272" i="10"/>
  <c r="AQ272" i="10"/>
  <c r="AQ447" i="10"/>
  <c r="AR447" i="10"/>
  <c r="AR78" i="10"/>
  <c r="AQ78" i="10"/>
  <c r="AR361" i="10"/>
  <c r="AQ361" i="10"/>
  <c r="AQ373" i="10"/>
  <c r="AR373" i="10"/>
  <c r="AQ267" i="10"/>
  <c r="AR267" i="10"/>
  <c r="AR164" i="10"/>
  <c r="AQ164" i="10"/>
  <c r="AR245" i="10"/>
  <c r="AQ245" i="10"/>
  <c r="AQ499" i="10"/>
  <c r="AR499" i="10"/>
  <c r="AR87" i="10"/>
  <c r="AQ87" i="10"/>
  <c r="AQ258" i="10"/>
  <c r="AR258" i="10"/>
  <c r="AQ413" i="10"/>
  <c r="AR413" i="10"/>
  <c r="AQ256" i="10"/>
  <c r="AR256" i="10"/>
  <c r="AR349" i="10"/>
  <c r="AQ349" i="10"/>
  <c r="AR54" i="10"/>
  <c r="AQ54" i="10"/>
  <c r="AR332" i="10"/>
  <c r="AQ332" i="10"/>
  <c r="AR215" i="10"/>
  <c r="AQ215" i="10"/>
  <c r="AQ251" i="10"/>
  <c r="AR251" i="10"/>
  <c r="AR172" i="10"/>
  <c r="AQ172" i="10"/>
  <c r="AR253" i="10"/>
  <c r="AQ253" i="10"/>
  <c r="AR515" i="10"/>
  <c r="AQ515" i="10"/>
  <c r="AR523" i="10"/>
  <c r="AQ523" i="10"/>
  <c r="AQ108" i="10"/>
  <c r="AR108" i="10"/>
  <c r="AR500" i="10"/>
  <c r="AQ500" i="10"/>
  <c r="AQ58" i="10"/>
  <c r="AR58" i="10"/>
  <c r="AQ415" i="10"/>
  <c r="AR415" i="10"/>
  <c r="AR63" i="10"/>
  <c r="AQ63" i="10"/>
  <c r="AQ202" i="10"/>
  <c r="AR202" i="10"/>
  <c r="AQ421" i="10"/>
  <c r="AR421" i="10"/>
  <c r="AO11" i="5"/>
  <c r="AN11" i="5"/>
  <c r="AO353" i="5"/>
  <c r="AN353" i="5"/>
  <c r="AO146" i="5"/>
  <c r="AN146" i="5"/>
  <c r="AN515" i="5"/>
  <c r="AO515" i="5"/>
  <c r="AO63" i="5"/>
  <c r="AN63" i="5"/>
  <c r="AN375" i="5"/>
  <c r="AO375" i="5"/>
  <c r="AN124" i="5"/>
  <c r="AO124" i="5"/>
  <c r="AN350" i="5"/>
  <c r="AO350" i="5"/>
  <c r="AO402" i="5"/>
  <c r="AN402" i="5"/>
  <c r="AN345" i="5"/>
  <c r="AO345" i="5"/>
  <c r="AO79" i="5"/>
  <c r="AN79" i="5"/>
  <c r="AN250" i="5"/>
  <c r="AO250" i="5"/>
  <c r="AO414" i="5"/>
  <c r="AN414" i="5"/>
  <c r="AN440" i="5"/>
  <c r="AO440" i="5"/>
  <c r="AN269" i="5"/>
  <c r="AO269" i="5"/>
  <c r="AO179" i="5"/>
  <c r="AN179" i="5"/>
  <c r="AO119" i="5"/>
  <c r="AN119" i="5"/>
  <c r="AO75" i="5"/>
  <c r="AN75" i="5"/>
  <c r="AO450" i="5"/>
  <c r="AN450" i="5"/>
  <c r="AN500" i="5"/>
  <c r="AO500" i="5"/>
  <c r="AO325" i="5"/>
  <c r="AN325" i="5"/>
  <c r="AO392" i="5"/>
  <c r="AN392" i="5"/>
  <c r="AN324" i="5"/>
  <c r="AO324" i="5"/>
  <c r="AN264" i="5"/>
  <c r="AO264" i="5"/>
  <c r="AO173" i="5"/>
  <c r="AN173" i="5"/>
  <c r="AN140" i="5"/>
  <c r="AO140" i="5"/>
  <c r="AN60" i="5"/>
  <c r="AO60" i="5"/>
  <c r="AN437" i="5"/>
  <c r="AO437" i="5"/>
  <c r="AO432" i="5"/>
  <c r="AN432" i="5"/>
  <c r="AN354" i="5"/>
  <c r="AO354" i="5"/>
  <c r="AN435" i="5"/>
  <c r="AO435" i="5"/>
  <c r="AO227" i="5"/>
  <c r="AN227" i="5"/>
  <c r="AN235" i="5"/>
  <c r="AO235" i="5"/>
  <c r="AN169" i="5"/>
  <c r="AO169" i="5"/>
  <c r="AO83" i="5"/>
  <c r="AN83" i="5"/>
  <c r="AN372" i="5"/>
  <c r="AO372" i="5"/>
  <c r="AN495" i="5"/>
  <c r="AO495" i="5"/>
  <c r="AO532" i="5"/>
  <c r="AN532" i="5"/>
  <c r="AN389" i="5"/>
  <c r="AO389" i="5"/>
  <c r="AN320" i="5"/>
  <c r="AO320" i="5"/>
  <c r="AO259" i="5"/>
  <c r="AN259" i="5"/>
  <c r="AO162" i="5"/>
  <c r="AN162" i="5"/>
  <c r="AO129" i="5"/>
  <c r="AN129" i="5"/>
  <c r="AO42" i="5"/>
  <c r="AN42" i="5"/>
  <c r="AO494" i="5"/>
  <c r="AN494" i="5"/>
  <c r="AO531" i="5"/>
  <c r="AN531" i="5"/>
  <c r="AN386" i="5"/>
  <c r="AO386" i="5"/>
  <c r="AN315" i="5"/>
  <c r="AO315" i="5"/>
  <c r="AO246" i="5"/>
  <c r="AN246" i="5"/>
  <c r="AN158" i="5"/>
  <c r="AO158" i="5"/>
  <c r="AN121" i="5"/>
  <c r="AO121" i="5"/>
  <c r="AO35" i="5"/>
  <c r="AN35" i="5"/>
  <c r="AN527" i="5"/>
  <c r="AO527" i="5"/>
  <c r="AO514" i="5"/>
  <c r="AN514" i="5"/>
  <c r="AO374" i="5"/>
  <c r="AN374" i="5"/>
  <c r="AN385" i="5"/>
  <c r="AO385" i="5"/>
  <c r="AN284" i="5"/>
  <c r="AO284" i="5"/>
  <c r="AO195" i="5"/>
  <c r="AN195" i="5"/>
  <c r="AO137" i="5"/>
  <c r="AN137" i="5"/>
  <c r="AO47" i="5"/>
  <c r="AN47" i="5"/>
  <c r="AN547" i="5"/>
  <c r="AO547" i="5"/>
  <c r="AN492" i="5"/>
  <c r="AO492" i="5"/>
  <c r="AO525" i="5"/>
  <c r="AN525" i="5"/>
  <c r="AO380" i="5"/>
  <c r="AN380" i="5"/>
  <c r="AO312" i="5"/>
  <c r="AN312" i="5"/>
  <c r="AO220" i="5"/>
  <c r="AN220" i="5"/>
  <c r="AO152" i="5"/>
  <c r="AN152" i="5"/>
  <c r="AN110" i="5"/>
  <c r="AO110" i="5"/>
  <c r="AO50" i="5"/>
  <c r="AN50" i="5"/>
  <c r="AK411" i="5"/>
  <c r="AL411" i="5"/>
  <c r="AL101" i="5"/>
  <c r="AK101" i="5"/>
  <c r="AL540" i="5"/>
  <c r="AK540" i="5"/>
  <c r="AK443" i="5"/>
  <c r="AL443" i="5"/>
  <c r="AK415" i="5"/>
  <c r="AL415" i="5"/>
  <c r="AL328" i="5"/>
  <c r="AK328" i="5"/>
  <c r="AL294" i="5"/>
  <c r="AK294" i="5"/>
  <c r="AK148" i="5"/>
  <c r="AL148" i="5"/>
  <c r="AL115" i="5"/>
  <c r="AK115" i="5"/>
  <c r="AK36" i="5"/>
  <c r="AL36" i="5"/>
  <c r="AK479" i="5"/>
  <c r="AL479" i="5"/>
  <c r="AK31" i="5"/>
  <c r="AL31" i="5"/>
  <c r="AK458" i="5"/>
  <c r="AL458" i="5"/>
  <c r="AL500" i="5"/>
  <c r="AK500" i="5"/>
  <c r="AL336" i="5"/>
  <c r="AK336" i="5"/>
  <c r="AL267" i="5"/>
  <c r="AK267" i="5"/>
  <c r="AL232" i="5"/>
  <c r="AK232" i="5"/>
  <c r="AK179" i="5"/>
  <c r="AL179" i="5"/>
  <c r="AL106" i="5"/>
  <c r="AK106" i="5"/>
  <c r="AK28" i="5"/>
  <c r="AL28" i="5"/>
  <c r="AL283" i="5"/>
  <c r="AK283" i="5"/>
  <c r="AK471" i="5"/>
  <c r="AL471" i="5"/>
  <c r="AL424" i="5"/>
  <c r="AK424" i="5"/>
  <c r="AL470" i="5"/>
  <c r="AK470" i="5"/>
  <c r="AK419" i="5"/>
  <c r="AL419" i="5"/>
  <c r="AK332" i="5"/>
  <c r="AL332" i="5"/>
  <c r="AK206" i="5"/>
  <c r="AL206" i="5"/>
  <c r="AK168" i="5"/>
  <c r="AL168" i="5"/>
  <c r="AK90" i="5"/>
  <c r="AL90" i="5"/>
  <c r="AK29" i="5"/>
  <c r="AL29" i="5"/>
  <c r="AK221" i="5"/>
  <c r="AL221" i="5"/>
  <c r="AL457" i="5"/>
  <c r="AK457" i="5"/>
  <c r="AL422" i="5"/>
  <c r="AK422" i="5"/>
  <c r="AL467" i="5"/>
  <c r="AK467" i="5"/>
  <c r="AL416" i="5"/>
  <c r="AK416" i="5"/>
  <c r="AK324" i="5"/>
  <c r="AL324" i="5"/>
  <c r="AK201" i="5"/>
  <c r="AL201" i="5"/>
  <c r="AK166" i="5"/>
  <c r="AL166" i="5"/>
  <c r="AL89" i="5"/>
  <c r="AK89" i="5"/>
  <c r="AK20" i="5"/>
  <c r="AL20" i="5"/>
  <c r="AK330" i="5"/>
  <c r="AL330" i="5"/>
  <c r="AK539" i="5"/>
  <c r="AL539" i="5"/>
  <c r="AL339" i="5"/>
  <c r="AK339" i="5"/>
  <c r="AK428" i="5"/>
  <c r="AL428" i="5"/>
  <c r="AL380" i="5"/>
  <c r="AK380" i="5"/>
  <c r="AK295" i="5"/>
  <c r="AL295" i="5"/>
  <c r="AK169" i="5"/>
  <c r="AL169" i="5"/>
  <c r="AK147" i="5"/>
  <c r="AL147" i="5"/>
  <c r="AK81" i="5"/>
  <c r="AL81" i="5"/>
  <c r="AL553" i="5"/>
  <c r="AK553" i="5"/>
  <c r="AL119" i="5"/>
  <c r="AK119" i="5"/>
  <c r="AK423" i="5"/>
  <c r="AL423" i="5"/>
  <c r="AK487" i="5"/>
  <c r="AL487" i="5"/>
  <c r="AK376" i="5"/>
  <c r="AL376" i="5"/>
  <c r="AL307" i="5"/>
  <c r="AK307" i="5"/>
  <c r="AK177" i="5"/>
  <c r="AL177" i="5"/>
  <c r="AK222" i="5"/>
  <c r="AL222" i="5"/>
  <c r="AK153" i="5"/>
  <c r="AL153" i="5"/>
  <c r="AK79" i="5"/>
  <c r="AL79" i="5"/>
  <c r="AK112" i="5"/>
  <c r="AL112" i="5"/>
  <c r="AK404" i="5"/>
  <c r="AL404" i="5"/>
  <c r="AK481" i="5"/>
  <c r="AL481" i="5"/>
  <c r="AK372" i="5"/>
  <c r="AL372" i="5"/>
  <c r="AL296" i="5"/>
  <c r="AK296" i="5"/>
  <c r="AK331" i="5"/>
  <c r="AL331" i="5"/>
  <c r="AK219" i="5"/>
  <c r="AL219" i="5"/>
  <c r="AK145" i="5"/>
  <c r="AL145" i="5"/>
  <c r="AK75" i="5"/>
  <c r="AL75" i="5"/>
  <c r="AS302" i="10"/>
  <c r="AS117" i="10"/>
  <c r="AS149" i="10"/>
  <c r="AS34" i="10"/>
  <c r="AS31" i="10"/>
  <c r="AS55" i="10"/>
  <c r="AS66" i="10"/>
  <c r="AS73" i="10"/>
  <c r="AS99" i="10"/>
  <c r="AS175" i="10"/>
  <c r="AS247" i="10"/>
  <c r="AS277" i="10"/>
  <c r="AS274" i="10"/>
  <c r="AS451" i="10"/>
  <c r="AS77" i="10"/>
  <c r="AS165" i="10"/>
  <c r="AS179" i="10"/>
  <c r="AS251" i="10"/>
  <c r="AS281" i="10"/>
  <c r="AS278" i="10"/>
  <c r="AS456" i="10"/>
  <c r="AS59" i="10"/>
  <c r="AS71" i="10"/>
  <c r="AS268" i="10"/>
  <c r="AS287" i="10"/>
  <c r="AS315" i="10"/>
  <c r="AS314" i="10"/>
  <c r="AS421" i="10"/>
  <c r="AS101" i="10"/>
  <c r="AS106" i="10"/>
  <c r="AS70" i="10"/>
  <c r="AS368" i="10"/>
  <c r="AS351" i="10"/>
  <c r="AS350" i="10"/>
  <c r="AS483" i="10"/>
  <c r="AS137" i="10"/>
  <c r="AS142" i="10"/>
  <c r="AS104" i="10"/>
  <c r="AS220" i="10"/>
  <c r="AS316" i="10"/>
  <c r="AS400" i="10"/>
  <c r="AS506" i="10"/>
  <c r="AS61" i="10"/>
  <c r="AS211" i="10"/>
  <c r="AS140" i="10"/>
  <c r="AS170" i="10"/>
  <c r="AS352" i="10"/>
  <c r="AS390" i="10"/>
  <c r="AS552" i="10"/>
  <c r="AS23" i="10"/>
  <c r="AS103" i="10"/>
  <c r="AS176" i="10"/>
  <c r="AS206" i="10"/>
  <c r="AS333" i="10"/>
  <c r="AS426" i="10"/>
  <c r="AS385" i="10"/>
  <c r="AS493" i="10"/>
  <c r="AS551" i="10"/>
  <c r="AS473" i="10"/>
  <c r="AS544" i="10"/>
  <c r="AS476" i="10"/>
  <c r="AS543" i="10"/>
  <c r="AS479" i="10"/>
  <c r="AS549" i="10"/>
  <c r="AS459" i="10"/>
  <c r="AS524" i="10"/>
  <c r="AS466" i="10"/>
  <c r="AS526" i="10"/>
  <c r="AS11" i="10"/>
  <c r="AJ12" i="10"/>
  <c r="AL139" i="10"/>
  <c r="AK139" i="10"/>
  <c r="AK363" i="10"/>
  <c r="AL363" i="10"/>
  <c r="AL538" i="10"/>
  <c r="AK538" i="10"/>
  <c r="AK123" i="10"/>
  <c r="AL123" i="10"/>
  <c r="AK286" i="10"/>
  <c r="AL286" i="10"/>
  <c r="AL325" i="10"/>
  <c r="AK325" i="10"/>
  <c r="AK204" i="10"/>
  <c r="AL204" i="10"/>
  <c r="AK245" i="10"/>
  <c r="AL245" i="10"/>
  <c r="AL475" i="10"/>
  <c r="AK475" i="10"/>
  <c r="AK358" i="10"/>
  <c r="AL358" i="10"/>
  <c r="AL431" i="10"/>
  <c r="AK431" i="10"/>
  <c r="AL380" i="10"/>
  <c r="AK380" i="10"/>
  <c r="AL462" i="10"/>
  <c r="AK462" i="10"/>
  <c r="AL449" i="10"/>
  <c r="AK449" i="10"/>
  <c r="AK79" i="10"/>
  <c r="AL79" i="10"/>
  <c r="AK72" i="10"/>
  <c r="AL72" i="10"/>
  <c r="AK113" i="10"/>
  <c r="AL113" i="10"/>
  <c r="AK426" i="10"/>
  <c r="AL426" i="10"/>
  <c r="AK206" i="10"/>
  <c r="AL206" i="10"/>
  <c r="AK498" i="10"/>
  <c r="AL498" i="10"/>
  <c r="AL559" i="10"/>
  <c r="AK559" i="10"/>
  <c r="AL179" i="10"/>
  <c r="AK179" i="10"/>
  <c r="AK263" i="10"/>
  <c r="AL263" i="10"/>
  <c r="AK164" i="10"/>
  <c r="AL164" i="10"/>
  <c r="AK205" i="10"/>
  <c r="AL205" i="10"/>
  <c r="AL493" i="10"/>
  <c r="AK493" i="10"/>
  <c r="AS19" i="10"/>
  <c r="AL19" i="10"/>
  <c r="AK19" i="10"/>
  <c r="AK324" i="10"/>
  <c r="AL324" i="10"/>
  <c r="AL327" i="10"/>
  <c r="AK327" i="10"/>
  <c r="AL408" i="10"/>
  <c r="AK408" i="10"/>
  <c r="AK409" i="10"/>
  <c r="AL409" i="10"/>
  <c r="AK288" i="10"/>
  <c r="AL288" i="10"/>
  <c r="AK32" i="10"/>
  <c r="AL32" i="10"/>
  <c r="AK73" i="10"/>
  <c r="AL73" i="10"/>
  <c r="AL383" i="10"/>
  <c r="AK383" i="10"/>
  <c r="AL163" i="10"/>
  <c r="AK163" i="10"/>
  <c r="AL490" i="10"/>
  <c r="AK490" i="10"/>
  <c r="AL551" i="10"/>
  <c r="AK551" i="10"/>
  <c r="AK158" i="10"/>
  <c r="AL158" i="10"/>
  <c r="AK247" i="10"/>
  <c r="AL247" i="10"/>
  <c r="AL156" i="10"/>
  <c r="AK156" i="10"/>
  <c r="AK197" i="10"/>
  <c r="AL197" i="10"/>
  <c r="AL326" i="10"/>
  <c r="AK326" i="10"/>
  <c r="AL545" i="10"/>
  <c r="AK545" i="10"/>
  <c r="AK299" i="10"/>
  <c r="AL299" i="10"/>
  <c r="AL316" i="10"/>
  <c r="AK316" i="10"/>
  <c r="AL398" i="10"/>
  <c r="AK398" i="10"/>
  <c r="AK401" i="10"/>
  <c r="AL401" i="10"/>
  <c r="AL280" i="10"/>
  <c r="AK280" i="10"/>
  <c r="AL24" i="10"/>
  <c r="AK24" i="10"/>
  <c r="AL65" i="10"/>
  <c r="AK65" i="10"/>
  <c r="AL340" i="10"/>
  <c r="AK340" i="10"/>
  <c r="AK122" i="10"/>
  <c r="AL122" i="10"/>
  <c r="AK482" i="10"/>
  <c r="AL482" i="10"/>
  <c r="AK543" i="10"/>
  <c r="AL543" i="10"/>
  <c r="AK138" i="10"/>
  <c r="AL138" i="10"/>
  <c r="AK231" i="10"/>
  <c r="AL231" i="10"/>
  <c r="AK148" i="10"/>
  <c r="AL148" i="10"/>
  <c r="AK189" i="10"/>
  <c r="AL189" i="10"/>
  <c r="AL560" i="10"/>
  <c r="AK560" i="10"/>
  <c r="AL529" i="10"/>
  <c r="AK529" i="10"/>
  <c r="AK258" i="10"/>
  <c r="AL258" i="10"/>
  <c r="AK303" i="10"/>
  <c r="AL303" i="10"/>
  <c r="AK387" i="10"/>
  <c r="AL387" i="10"/>
  <c r="AL393" i="10"/>
  <c r="AK393" i="10"/>
  <c r="AL272" i="10"/>
  <c r="AK272" i="10"/>
  <c r="AL313" i="10"/>
  <c r="AK313" i="10"/>
  <c r="AL57" i="10"/>
  <c r="AK57" i="10"/>
  <c r="AH13" i="10"/>
  <c r="AI13" i="10"/>
  <c r="AV518" i="10" l="1"/>
  <c r="AU518" i="10"/>
  <c r="AT188" i="10"/>
  <c r="AV40" i="10"/>
  <c r="AT40" i="10"/>
  <c r="AV503" i="10"/>
  <c r="AW503" i="10" s="1"/>
  <c r="AV188" i="10"/>
  <c r="AW188" i="10" s="1"/>
  <c r="AU415" i="10"/>
  <c r="AV478" i="10"/>
  <c r="AV324" i="10"/>
  <c r="AU478" i="10"/>
  <c r="AT324" i="10"/>
  <c r="AV415" i="10"/>
  <c r="AX415" i="10" s="1"/>
  <c r="AV446" i="10"/>
  <c r="AX446" i="10" s="1"/>
  <c r="AT446" i="10"/>
  <c r="AU150" i="10"/>
  <c r="AU289" i="10"/>
  <c r="AU484" i="10"/>
  <c r="AV523" i="10"/>
  <c r="AX523" i="10" s="1"/>
  <c r="AT523" i="10"/>
  <c r="AV286" i="10"/>
  <c r="AX286" i="10" s="1"/>
  <c r="AV359" i="10"/>
  <c r="AX359" i="10" s="1"/>
  <c r="AT286" i="10"/>
  <c r="AT359" i="10"/>
  <c r="AV358" i="10"/>
  <c r="AX358" i="10" s="1"/>
  <c r="AU497" i="10"/>
  <c r="AT358" i="10"/>
  <c r="AV391" i="10"/>
  <c r="AW391" i="10" s="1"/>
  <c r="AV111" i="10"/>
  <c r="AX111" i="10" s="1"/>
  <c r="AT432" i="10"/>
  <c r="AV112" i="10"/>
  <c r="AW112" i="10" s="1"/>
  <c r="AU250" i="10"/>
  <c r="AV497" i="10"/>
  <c r="AW497" i="10" s="1"/>
  <c r="AT464" i="10"/>
  <c r="AT391" i="10"/>
  <c r="AU111" i="10"/>
  <c r="AV39" i="10"/>
  <c r="AX39" i="10" s="1"/>
  <c r="AT112" i="10"/>
  <c r="AV464" i="10"/>
  <c r="AW464" i="10" s="1"/>
  <c r="AU454" i="10"/>
  <c r="AV560" i="10"/>
  <c r="AW560" i="10" s="1"/>
  <c r="AU560" i="10"/>
  <c r="AU432" i="10"/>
  <c r="AU537" i="10"/>
  <c r="AU253" i="10"/>
  <c r="AV533" i="10"/>
  <c r="AW533" i="10" s="1"/>
  <c r="AT537" i="10"/>
  <c r="AU533" i="10"/>
  <c r="AV276" i="10"/>
  <c r="AW276" i="10" s="1"/>
  <c r="AV20" i="10"/>
  <c r="AX20" i="10" s="1"/>
  <c r="AT276" i="10"/>
  <c r="AV150" i="10"/>
  <c r="AX150" i="10" s="1"/>
  <c r="AU20" i="10"/>
  <c r="AV253" i="10"/>
  <c r="AX253" i="10" s="1"/>
  <c r="AT380" i="10"/>
  <c r="AU380" i="10"/>
  <c r="AV289" i="10"/>
  <c r="AX289" i="10" s="1"/>
  <c r="AT503" i="10"/>
  <c r="AV33" i="10"/>
  <c r="AX33" i="10" s="1"/>
  <c r="AT33" i="10"/>
  <c r="AV218" i="10"/>
  <c r="AW218" i="10" s="1"/>
  <c r="AT218" i="10"/>
  <c r="AT211" i="10"/>
  <c r="AU211" i="10"/>
  <c r="AV211" i="10"/>
  <c r="AQ132" i="5"/>
  <c r="AR132" i="5"/>
  <c r="AS132" i="5"/>
  <c r="AT447" i="10"/>
  <c r="AU447" i="10"/>
  <c r="AV447" i="10"/>
  <c r="AT141" i="10"/>
  <c r="AU141" i="10"/>
  <c r="AV141" i="10"/>
  <c r="AQ124" i="5"/>
  <c r="AR124" i="5"/>
  <c r="AS124" i="5"/>
  <c r="AU270" i="10"/>
  <c r="AT270" i="10"/>
  <c r="AV270" i="10"/>
  <c r="AR264" i="5"/>
  <c r="AQ264" i="5"/>
  <c r="AS264" i="5"/>
  <c r="AQ62" i="5"/>
  <c r="AR62" i="5"/>
  <c r="AS62" i="5"/>
  <c r="AT157" i="10"/>
  <c r="AU157" i="10"/>
  <c r="AV157" i="10"/>
  <c r="AR143" i="5"/>
  <c r="AQ143" i="5"/>
  <c r="AS143" i="5"/>
  <c r="AT298" i="10"/>
  <c r="AU298" i="10"/>
  <c r="AV298" i="10"/>
  <c r="AQ406" i="5"/>
  <c r="AR406" i="5"/>
  <c r="AS406" i="5"/>
  <c r="AT325" i="10"/>
  <c r="AU325" i="10"/>
  <c r="AV325" i="10"/>
  <c r="AL12" i="10"/>
  <c r="AK12" i="10"/>
  <c r="AT11" i="10"/>
  <c r="AU11" i="10"/>
  <c r="AV11" i="10"/>
  <c r="AU476" i="10"/>
  <c r="AT476" i="10"/>
  <c r="AV476" i="10"/>
  <c r="AU206" i="10"/>
  <c r="AT206" i="10"/>
  <c r="AV206" i="10"/>
  <c r="AU140" i="10"/>
  <c r="AT140" i="10"/>
  <c r="AV140" i="10"/>
  <c r="AU142" i="10"/>
  <c r="AT142" i="10"/>
  <c r="AV142" i="10"/>
  <c r="AT101" i="10"/>
  <c r="AU101" i="10"/>
  <c r="AV101" i="10"/>
  <c r="AU456" i="10"/>
  <c r="AT456" i="10"/>
  <c r="AV456" i="10"/>
  <c r="AU274" i="10"/>
  <c r="AT274" i="10"/>
  <c r="AV274" i="10"/>
  <c r="AU31" i="10"/>
  <c r="AT31" i="10"/>
  <c r="AV31" i="10"/>
  <c r="AR48" i="5"/>
  <c r="AQ48" i="5"/>
  <c r="AS48" i="5"/>
  <c r="AR254" i="5"/>
  <c r="AQ254" i="5"/>
  <c r="AS254" i="5"/>
  <c r="AR79" i="5"/>
  <c r="AQ79" i="5"/>
  <c r="AS79" i="5"/>
  <c r="AR60" i="5"/>
  <c r="AQ60" i="5"/>
  <c r="AS60" i="5"/>
  <c r="AQ368" i="5"/>
  <c r="AR368" i="5"/>
  <c r="AS368" i="5"/>
  <c r="AR517" i="5"/>
  <c r="AQ517" i="5"/>
  <c r="AS517" i="5"/>
  <c r="AQ122" i="5"/>
  <c r="AR122" i="5"/>
  <c r="AS122" i="5"/>
  <c r="AR315" i="5"/>
  <c r="AQ315" i="5"/>
  <c r="AS315" i="5"/>
  <c r="AR21" i="5"/>
  <c r="AQ21" i="5"/>
  <c r="AS21" i="5"/>
  <c r="AX228" i="10"/>
  <c r="AW228" i="10"/>
  <c r="AQ67" i="5"/>
  <c r="AR67" i="5"/>
  <c r="AS67" i="5"/>
  <c r="AR369" i="5"/>
  <c r="AQ369" i="5"/>
  <c r="AS369" i="5"/>
  <c r="AR443" i="5"/>
  <c r="AQ443" i="5"/>
  <c r="AS443" i="5"/>
  <c r="AQ460" i="5"/>
  <c r="AR460" i="5"/>
  <c r="AS460" i="5"/>
  <c r="AU495" i="10"/>
  <c r="AT495" i="10"/>
  <c r="AV495" i="10"/>
  <c r="AT539" i="10"/>
  <c r="AU539" i="10"/>
  <c r="AV539" i="10"/>
  <c r="AT144" i="10"/>
  <c r="AU144" i="10"/>
  <c r="AV144" i="10"/>
  <c r="AU146" i="10"/>
  <c r="AT146" i="10"/>
  <c r="AV146" i="10"/>
  <c r="AT105" i="10"/>
  <c r="AU105" i="10"/>
  <c r="AV105" i="10"/>
  <c r="AU460" i="10"/>
  <c r="AT460" i="10"/>
  <c r="AV460" i="10"/>
  <c r="AU246" i="10"/>
  <c r="AT246" i="10"/>
  <c r="AV246" i="10"/>
  <c r="AT245" i="10"/>
  <c r="AU245" i="10"/>
  <c r="AV245" i="10"/>
  <c r="AU256" i="10"/>
  <c r="AT256" i="10"/>
  <c r="AV256" i="10"/>
  <c r="AR57" i="5"/>
  <c r="AQ57" i="5"/>
  <c r="AS57" i="5"/>
  <c r="AR156" i="5"/>
  <c r="AQ156" i="5"/>
  <c r="AS156" i="5"/>
  <c r="AR452" i="5"/>
  <c r="AQ452" i="5"/>
  <c r="AS452" i="5"/>
  <c r="AQ173" i="5"/>
  <c r="AR173" i="5"/>
  <c r="AS173" i="5"/>
  <c r="AR437" i="5"/>
  <c r="AQ437" i="5"/>
  <c r="AS437" i="5"/>
  <c r="AQ473" i="5"/>
  <c r="AR473" i="5"/>
  <c r="AS473" i="5"/>
  <c r="AQ411" i="5"/>
  <c r="AR411" i="5"/>
  <c r="AS411" i="5"/>
  <c r="AW78" i="10"/>
  <c r="AX78" i="10"/>
  <c r="AU427" i="10"/>
  <c r="AT427" i="10"/>
  <c r="AV427" i="10"/>
  <c r="AU345" i="10"/>
  <c r="AT345" i="10"/>
  <c r="AV345" i="10"/>
  <c r="AR541" i="5"/>
  <c r="AQ541" i="5"/>
  <c r="AS541" i="5"/>
  <c r="AU438" i="10"/>
  <c r="AT438" i="10"/>
  <c r="AV438" i="10"/>
  <c r="AT467" i="10"/>
  <c r="AU467" i="10"/>
  <c r="AV467" i="10"/>
  <c r="AT474" i="10"/>
  <c r="AU474" i="10"/>
  <c r="AV474" i="10"/>
  <c r="AU290" i="10"/>
  <c r="AT290" i="10"/>
  <c r="AV290" i="10"/>
  <c r="AT257" i="10"/>
  <c r="AU257" i="10"/>
  <c r="AV257" i="10"/>
  <c r="AT192" i="10"/>
  <c r="AU192" i="10"/>
  <c r="AV192" i="10"/>
  <c r="AT227" i="10"/>
  <c r="AU227" i="10"/>
  <c r="AV227" i="10"/>
  <c r="AU37" i="10"/>
  <c r="AT37" i="10"/>
  <c r="AV37" i="10"/>
  <c r="AR134" i="5"/>
  <c r="AQ134" i="5"/>
  <c r="AS134" i="5"/>
  <c r="AQ190" i="5"/>
  <c r="AR190" i="5"/>
  <c r="AS190" i="5"/>
  <c r="AQ484" i="5"/>
  <c r="AR484" i="5"/>
  <c r="AS484" i="5"/>
  <c r="AR483" i="5"/>
  <c r="AQ483" i="5"/>
  <c r="AS483" i="5"/>
  <c r="AQ20" i="5"/>
  <c r="AR20" i="5"/>
  <c r="AS20" i="5"/>
  <c r="AQ378" i="5"/>
  <c r="AR378" i="5"/>
  <c r="AS378" i="5"/>
  <c r="AQ102" i="5"/>
  <c r="AR102" i="5"/>
  <c r="AS102" i="5"/>
  <c r="AR522" i="5"/>
  <c r="AQ522" i="5"/>
  <c r="AS522" i="5"/>
  <c r="AQ402" i="5"/>
  <c r="AR402" i="5"/>
  <c r="AS402" i="5"/>
  <c r="AR105" i="5"/>
  <c r="AQ105" i="5"/>
  <c r="AS105" i="5"/>
  <c r="AQ351" i="5"/>
  <c r="AR351" i="5"/>
  <c r="AS351" i="5"/>
  <c r="AQ500" i="5"/>
  <c r="AR500" i="5"/>
  <c r="AS500" i="5"/>
  <c r="AQ128" i="5"/>
  <c r="AR128" i="5"/>
  <c r="AS128" i="5"/>
  <c r="AQ66" i="5"/>
  <c r="AR66" i="5"/>
  <c r="AS66" i="5"/>
  <c r="AU409" i="10"/>
  <c r="AT409" i="10"/>
  <c r="AV409" i="10"/>
  <c r="AT470" i="10"/>
  <c r="AU470" i="10"/>
  <c r="AV470" i="10"/>
  <c r="AU361" i="10"/>
  <c r="AT361" i="10"/>
  <c r="AV361" i="10"/>
  <c r="AT258" i="10"/>
  <c r="AU258" i="10"/>
  <c r="AV258" i="10"/>
  <c r="AU226" i="10"/>
  <c r="AT226" i="10"/>
  <c r="AV226" i="10"/>
  <c r="AU160" i="10"/>
  <c r="AT160" i="10"/>
  <c r="AV160" i="10"/>
  <c r="AU162" i="10"/>
  <c r="AT162" i="10"/>
  <c r="AV162" i="10"/>
  <c r="AT153" i="10"/>
  <c r="AU153" i="10"/>
  <c r="AV153" i="10"/>
  <c r="AK12" i="5"/>
  <c r="AL12" i="5"/>
  <c r="AR76" i="5"/>
  <c r="AQ76" i="5"/>
  <c r="AS76" i="5"/>
  <c r="AQ314" i="5"/>
  <c r="AR314" i="5"/>
  <c r="AS314" i="5"/>
  <c r="AQ188" i="5"/>
  <c r="AR188" i="5"/>
  <c r="AS188" i="5"/>
  <c r="AQ479" i="5"/>
  <c r="AR479" i="5"/>
  <c r="AS479" i="5"/>
  <c r="AR295" i="5"/>
  <c r="AQ295" i="5"/>
  <c r="AS295" i="5"/>
  <c r="AR430" i="5"/>
  <c r="AQ430" i="5"/>
  <c r="AS430" i="5"/>
  <c r="AQ463" i="5"/>
  <c r="AR463" i="5"/>
  <c r="AS463" i="5"/>
  <c r="AR172" i="5"/>
  <c r="AQ172" i="5"/>
  <c r="AS172" i="5"/>
  <c r="AQ89" i="5"/>
  <c r="AR89" i="5"/>
  <c r="AS89" i="5"/>
  <c r="AR212" i="5"/>
  <c r="AQ212" i="5"/>
  <c r="AS212" i="5"/>
  <c r="AR276" i="5"/>
  <c r="AQ276" i="5"/>
  <c r="AS276" i="5"/>
  <c r="AR301" i="5"/>
  <c r="AQ301" i="5"/>
  <c r="AS301" i="5"/>
  <c r="AR229" i="5"/>
  <c r="AQ229" i="5"/>
  <c r="AS229" i="5"/>
  <c r="AQ255" i="5"/>
  <c r="AR255" i="5"/>
  <c r="AS255" i="5"/>
  <c r="AR560" i="5"/>
  <c r="AQ560" i="5"/>
  <c r="AS560" i="5"/>
  <c r="AU498" i="10"/>
  <c r="AT498" i="10"/>
  <c r="AV498" i="10"/>
  <c r="AU365" i="10"/>
  <c r="AT365" i="10"/>
  <c r="AV365" i="10"/>
  <c r="AU262" i="10"/>
  <c r="AT262" i="10"/>
  <c r="AV262" i="10"/>
  <c r="AU230" i="10"/>
  <c r="AT230" i="10"/>
  <c r="AV230" i="10"/>
  <c r="AT164" i="10"/>
  <c r="AU164" i="10"/>
  <c r="AV164" i="10"/>
  <c r="AT197" i="10"/>
  <c r="AU197" i="10"/>
  <c r="AV197" i="10"/>
  <c r="AT125" i="10"/>
  <c r="AU125" i="10"/>
  <c r="AV125" i="10"/>
  <c r="AU241" i="10"/>
  <c r="AT241" i="10"/>
  <c r="AV241" i="10"/>
  <c r="AR158" i="5"/>
  <c r="AQ158" i="5"/>
  <c r="AS158" i="5"/>
  <c r="AQ415" i="5"/>
  <c r="AR415" i="5"/>
  <c r="AS415" i="5"/>
  <c r="AQ341" i="5"/>
  <c r="AR341" i="5"/>
  <c r="AS341" i="5"/>
  <c r="AQ420" i="5"/>
  <c r="AR420" i="5"/>
  <c r="AS420" i="5"/>
  <c r="AQ413" i="5"/>
  <c r="AR413" i="5"/>
  <c r="AS413" i="5"/>
  <c r="AQ405" i="5"/>
  <c r="AR405" i="5"/>
  <c r="AS405" i="5"/>
  <c r="AR514" i="5"/>
  <c r="AQ514" i="5"/>
  <c r="AS514" i="5"/>
  <c r="AR38" i="5"/>
  <c r="AQ38" i="5"/>
  <c r="AS38" i="5"/>
  <c r="AR469" i="5"/>
  <c r="AQ469" i="5"/>
  <c r="AS469" i="5"/>
  <c r="AN12" i="10"/>
  <c r="AO12" i="10"/>
  <c r="AR107" i="5"/>
  <c r="AQ107" i="5"/>
  <c r="AS107" i="5"/>
  <c r="AR550" i="5"/>
  <c r="AQ550" i="5"/>
  <c r="AS550" i="5"/>
  <c r="AQ195" i="5"/>
  <c r="AR195" i="5"/>
  <c r="AS195" i="5"/>
  <c r="AR307" i="5"/>
  <c r="AQ307" i="5"/>
  <c r="AS307" i="5"/>
  <c r="AQ526" i="5"/>
  <c r="AR526" i="5"/>
  <c r="AS526" i="5"/>
  <c r="AU457" i="10"/>
  <c r="AT457" i="10"/>
  <c r="AV457" i="10"/>
  <c r="AT529" i="10"/>
  <c r="AU529" i="10"/>
  <c r="AV529" i="10"/>
  <c r="AU64" i="10"/>
  <c r="AT64" i="10"/>
  <c r="AV64" i="10"/>
  <c r="AT418" i="10"/>
  <c r="AU418" i="10"/>
  <c r="AV418" i="10"/>
  <c r="AU344" i="10"/>
  <c r="AT344" i="10"/>
  <c r="AV344" i="10"/>
  <c r="AT212" i="10"/>
  <c r="AU212" i="10"/>
  <c r="AV212" i="10"/>
  <c r="AU296" i="10"/>
  <c r="AT296" i="10"/>
  <c r="AV296" i="10"/>
  <c r="AU94" i="10"/>
  <c r="AT94" i="10"/>
  <c r="AV94" i="10"/>
  <c r="AU90" i="10"/>
  <c r="AT90" i="10"/>
  <c r="AV90" i="10"/>
  <c r="AI13" i="5"/>
  <c r="AP13" i="5"/>
  <c r="AH13" i="5"/>
  <c r="AU463" i="10"/>
  <c r="AT463" i="10"/>
  <c r="AV463" i="10"/>
  <c r="AU491" i="10"/>
  <c r="AT491" i="10"/>
  <c r="AV491" i="10"/>
  <c r="AU135" i="10"/>
  <c r="AT135" i="10"/>
  <c r="AV135" i="10"/>
  <c r="AU38" i="10"/>
  <c r="AT38" i="10"/>
  <c r="AV38" i="10"/>
  <c r="AU509" i="10"/>
  <c r="AT509" i="10"/>
  <c r="AV509" i="10"/>
  <c r="AU346" i="10"/>
  <c r="AT346" i="10"/>
  <c r="AV346" i="10"/>
  <c r="AT311" i="10"/>
  <c r="AU311" i="10"/>
  <c r="AV311" i="10"/>
  <c r="AT279" i="10"/>
  <c r="AU279" i="10"/>
  <c r="AV279" i="10"/>
  <c r="AU154" i="10"/>
  <c r="AT154" i="10"/>
  <c r="AV154" i="10"/>
  <c r="AR101" i="5"/>
  <c r="AQ101" i="5"/>
  <c r="AS101" i="5"/>
  <c r="AR235" i="5"/>
  <c r="AQ235" i="5"/>
  <c r="AS235" i="5"/>
  <c r="AR108" i="5"/>
  <c r="AQ108" i="5"/>
  <c r="AS108" i="5"/>
  <c r="AQ299" i="5"/>
  <c r="AR299" i="5"/>
  <c r="AS299" i="5"/>
  <c r="AR146" i="5"/>
  <c r="AQ146" i="5"/>
  <c r="AS146" i="5"/>
  <c r="AR50" i="5"/>
  <c r="AQ50" i="5"/>
  <c r="AS50" i="5"/>
  <c r="AR280" i="5"/>
  <c r="AQ280" i="5"/>
  <c r="AS280" i="5"/>
  <c r="AR65" i="5"/>
  <c r="AQ65" i="5"/>
  <c r="AS65" i="5"/>
  <c r="AR487" i="5"/>
  <c r="AQ487" i="5"/>
  <c r="AS487" i="5"/>
  <c r="AR395" i="5"/>
  <c r="AQ395" i="5"/>
  <c r="AS395" i="5"/>
  <c r="AQ533" i="5"/>
  <c r="AR533" i="5"/>
  <c r="AS533" i="5"/>
  <c r="AW432" i="10"/>
  <c r="AX432" i="10"/>
  <c r="AT295" i="10"/>
  <c r="AU295" i="10"/>
  <c r="AV295" i="10"/>
  <c r="AR43" i="5"/>
  <c r="AQ43" i="5"/>
  <c r="AS43" i="5"/>
  <c r="AX40" i="10"/>
  <c r="AW40" i="10"/>
  <c r="AW334" i="10"/>
  <c r="AX334" i="10"/>
  <c r="AQ141" i="5"/>
  <c r="AR141" i="5"/>
  <c r="AS141" i="5"/>
  <c r="AR556" i="5"/>
  <c r="AQ556" i="5"/>
  <c r="AS556" i="5"/>
  <c r="AQ265" i="5"/>
  <c r="AR265" i="5"/>
  <c r="AS265" i="5"/>
  <c r="AT544" i="10"/>
  <c r="AU544" i="10"/>
  <c r="AV544" i="10"/>
  <c r="AU421" i="10"/>
  <c r="AT421" i="10"/>
  <c r="AV421" i="10"/>
  <c r="AR357" i="5"/>
  <c r="AQ357" i="5"/>
  <c r="AS357" i="5"/>
  <c r="AU472" i="10"/>
  <c r="AT472" i="10"/>
  <c r="AV472" i="10"/>
  <c r="AT435" i="10"/>
  <c r="AU435" i="10"/>
  <c r="AV435" i="10"/>
  <c r="AQ432" i="5"/>
  <c r="AR432" i="5"/>
  <c r="AS432" i="5"/>
  <c r="AT517" i="10"/>
  <c r="AU517" i="10"/>
  <c r="AV517" i="10"/>
  <c r="AT293" i="10"/>
  <c r="AU293" i="10"/>
  <c r="AV293" i="10"/>
  <c r="AQ36" i="5"/>
  <c r="AR36" i="5"/>
  <c r="AS36" i="5"/>
  <c r="AQ438" i="5"/>
  <c r="AR438" i="5"/>
  <c r="AS438" i="5"/>
  <c r="AT500" i="10"/>
  <c r="AU500" i="10"/>
  <c r="AV500" i="10"/>
  <c r="AT273" i="10"/>
  <c r="AU273" i="10"/>
  <c r="AV273" i="10"/>
  <c r="AQ72" i="5"/>
  <c r="AR72" i="5"/>
  <c r="AS72" i="5"/>
  <c r="AR198" i="5"/>
  <c r="AQ198" i="5"/>
  <c r="AS198" i="5"/>
  <c r="AU401" i="10"/>
  <c r="AT401" i="10"/>
  <c r="AV401" i="10"/>
  <c r="AT161" i="10"/>
  <c r="AU161" i="10"/>
  <c r="AV161" i="10"/>
  <c r="AR242" i="5"/>
  <c r="AQ242" i="5"/>
  <c r="AS242" i="5"/>
  <c r="AR42" i="5"/>
  <c r="AQ42" i="5"/>
  <c r="AS42" i="5"/>
  <c r="AQ269" i="5"/>
  <c r="AR269" i="5"/>
  <c r="AS269" i="5"/>
  <c r="AQ447" i="5"/>
  <c r="AR447" i="5"/>
  <c r="AS447" i="5"/>
  <c r="AT556" i="10"/>
  <c r="AU556" i="10"/>
  <c r="AV556" i="10"/>
  <c r="AU407" i="10"/>
  <c r="AT407" i="10"/>
  <c r="AV407" i="10"/>
  <c r="AU304" i="10"/>
  <c r="AT304" i="10"/>
  <c r="AV304" i="10"/>
  <c r="AU96" i="10"/>
  <c r="AT96" i="10"/>
  <c r="AV96" i="10"/>
  <c r="AU98" i="10"/>
  <c r="AT98" i="10"/>
  <c r="AV98" i="10"/>
  <c r="AU52" i="10"/>
  <c r="AT52" i="10"/>
  <c r="AV52" i="10"/>
  <c r="AL13" i="5"/>
  <c r="AK13" i="5"/>
  <c r="AU535" i="10"/>
  <c r="AT535" i="10"/>
  <c r="AV535" i="10"/>
  <c r="AU393" i="10"/>
  <c r="AT393" i="10"/>
  <c r="AV393" i="10"/>
  <c r="AT60" i="10"/>
  <c r="AU60" i="10"/>
  <c r="AV60" i="10"/>
  <c r="AU536" i="10"/>
  <c r="AT536" i="10"/>
  <c r="AV536" i="10"/>
  <c r="AT396" i="10"/>
  <c r="AU396" i="10"/>
  <c r="AV396" i="10"/>
  <c r="AT347" i="10"/>
  <c r="AU347" i="10"/>
  <c r="AV347" i="10"/>
  <c r="AT283" i="10"/>
  <c r="AU283" i="10"/>
  <c r="AV283" i="10"/>
  <c r="AU260" i="10"/>
  <c r="AT260" i="10"/>
  <c r="AV260" i="10"/>
  <c r="AU122" i="10"/>
  <c r="AT122" i="10"/>
  <c r="AV122" i="10"/>
  <c r="AR244" i="5"/>
  <c r="AQ244" i="5"/>
  <c r="AS244" i="5"/>
  <c r="AQ253" i="5"/>
  <c r="AR253" i="5"/>
  <c r="AS253" i="5"/>
  <c r="AR177" i="5"/>
  <c r="AQ177" i="5"/>
  <c r="AS177" i="5"/>
  <c r="AQ547" i="5"/>
  <c r="AR547" i="5"/>
  <c r="AS547" i="5"/>
  <c r="AQ250" i="5"/>
  <c r="AR250" i="5"/>
  <c r="AS250" i="5"/>
  <c r="AQ256" i="5"/>
  <c r="AR256" i="5"/>
  <c r="AS256" i="5"/>
  <c r="AQ340" i="5"/>
  <c r="AR340" i="5"/>
  <c r="AS340" i="5"/>
  <c r="AQ558" i="5"/>
  <c r="AR558" i="5"/>
  <c r="AS558" i="5"/>
  <c r="AQ175" i="5"/>
  <c r="AR175" i="5"/>
  <c r="AS175" i="5"/>
  <c r="AR11" i="5"/>
  <c r="AQ11" i="5"/>
  <c r="AS11" i="5"/>
  <c r="AU19" i="10"/>
  <c r="AT19" i="10"/>
  <c r="AV19" i="10"/>
  <c r="AT466" i="10"/>
  <c r="AU466" i="10"/>
  <c r="AV466" i="10"/>
  <c r="AU473" i="10"/>
  <c r="AT473" i="10"/>
  <c r="AV473" i="10"/>
  <c r="AU103" i="10"/>
  <c r="AT103" i="10"/>
  <c r="AV103" i="10"/>
  <c r="AU61" i="10"/>
  <c r="AT61" i="10"/>
  <c r="AV61" i="10"/>
  <c r="AU483" i="10"/>
  <c r="AT483" i="10"/>
  <c r="AV483" i="10"/>
  <c r="AU314" i="10"/>
  <c r="AT314" i="10"/>
  <c r="AV314" i="10"/>
  <c r="AT281" i="10"/>
  <c r="AU281" i="10"/>
  <c r="AV281" i="10"/>
  <c r="AT247" i="10"/>
  <c r="AU247" i="10"/>
  <c r="AV247" i="10"/>
  <c r="AT149" i="10"/>
  <c r="AU149" i="10"/>
  <c r="AV149" i="10"/>
  <c r="AQ328" i="5"/>
  <c r="AR328" i="5"/>
  <c r="AS328" i="5"/>
  <c r="AR293" i="5"/>
  <c r="AQ293" i="5"/>
  <c r="AS293" i="5"/>
  <c r="AR449" i="5"/>
  <c r="AQ449" i="5"/>
  <c r="AS449" i="5"/>
  <c r="AR456" i="5"/>
  <c r="AQ456" i="5"/>
  <c r="AS456" i="5"/>
  <c r="AQ365" i="5"/>
  <c r="AR365" i="5"/>
  <c r="AS365" i="5"/>
  <c r="AR553" i="5"/>
  <c r="AQ553" i="5"/>
  <c r="AS553" i="5"/>
  <c r="AR403" i="5"/>
  <c r="AQ403" i="5"/>
  <c r="AS403" i="5"/>
  <c r="AT187" i="10"/>
  <c r="AU187" i="10"/>
  <c r="AV187" i="10"/>
  <c r="AX300" i="10"/>
  <c r="AW300" i="10"/>
  <c r="AQ309" i="5"/>
  <c r="AR309" i="5"/>
  <c r="AS309" i="5"/>
  <c r="AQ222" i="5"/>
  <c r="AR222" i="5"/>
  <c r="AS222" i="5"/>
  <c r="AR531" i="5"/>
  <c r="AQ531" i="5"/>
  <c r="AS531" i="5"/>
  <c r="AU522" i="10"/>
  <c r="AT522" i="10"/>
  <c r="AV522" i="10"/>
  <c r="AT553" i="10"/>
  <c r="AU553" i="10"/>
  <c r="AV553" i="10"/>
  <c r="AU32" i="10"/>
  <c r="AT32" i="10"/>
  <c r="AV32" i="10"/>
  <c r="AU501" i="10"/>
  <c r="AT501" i="10"/>
  <c r="AV501" i="10"/>
  <c r="AU318" i="10"/>
  <c r="AT318" i="10"/>
  <c r="AV318" i="10"/>
  <c r="AT285" i="10"/>
  <c r="AU285" i="10"/>
  <c r="AV285" i="10"/>
  <c r="AU217" i="10"/>
  <c r="AT217" i="10"/>
  <c r="AV217" i="10"/>
  <c r="AU143" i="10"/>
  <c r="AT143" i="10"/>
  <c r="AV143" i="10"/>
  <c r="AT458" i="10"/>
  <c r="AU458" i="10"/>
  <c r="AV458" i="10"/>
  <c r="AR104" i="5"/>
  <c r="AQ104" i="5"/>
  <c r="AS104" i="5"/>
  <c r="AQ323" i="5"/>
  <c r="AR323" i="5"/>
  <c r="AS323" i="5"/>
  <c r="AQ100" i="5"/>
  <c r="AR100" i="5"/>
  <c r="AS100" i="5"/>
  <c r="AQ261" i="5"/>
  <c r="AR261" i="5"/>
  <c r="AS261" i="5"/>
  <c r="AR320" i="5"/>
  <c r="AQ320" i="5"/>
  <c r="AS320" i="5"/>
  <c r="AQ297" i="5"/>
  <c r="AR297" i="5"/>
  <c r="AS297" i="5"/>
  <c r="AQ442" i="5"/>
  <c r="AR442" i="5"/>
  <c r="AS442" i="5"/>
  <c r="AR370" i="5"/>
  <c r="AQ370" i="5"/>
  <c r="AS370" i="5"/>
  <c r="AR540" i="5"/>
  <c r="AQ540" i="5"/>
  <c r="AS540" i="5"/>
  <c r="AQ490" i="5"/>
  <c r="AR490" i="5"/>
  <c r="AS490" i="5"/>
  <c r="AT408" i="10"/>
  <c r="AU408" i="10"/>
  <c r="AV408" i="10"/>
  <c r="AU452" i="10"/>
  <c r="AT452" i="10"/>
  <c r="AV452" i="10"/>
  <c r="AT362" i="10"/>
  <c r="AU362" i="10"/>
  <c r="AV362" i="10"/>
  <c r="AT327" i="10"/>
  <c r="AU327" i="10"/>
  <c r="AV327" i="10"/>
  <c r="AU263" i="10"/>
  <c r="AT263" i="10"/>
  <c r="AV263" i="10"/>
  <c r="AU155" i="10"/>
  <c r="AT155" i="10"/>
  <c r="AV155" i="10"/>
  <c r="AU41" i="10"/>
  <c r="AT41" i="10"/>
  <c r="AV41" i="10"/>
  <c r="AU555" i="10"/>
  <c r="AT555" i="10"/>
  <c r="AV555" i="10"/>
  <c r="AT378" i="10"/>
  <c r="AU378" i="10"/>
  <c r="AV378" i="10"/>
  <c r="AR223" i="5"/>
  <c r="AQ223" i="5"/>
  <c r="AS223" i="5"/>
  <c r="AR290" i="5"/>
  <c r="AQ290" i="5"/>
  <c r="AS290" i="5"/>
  <c r="AQ227" i="5"/>
  <c r="AR227" i="5"/>
  <c r="AS227" i="5"/>
  <c r="AR41" i="5"/>
  <c r="AQ41" i="5"/>
  <c r="AS41" i="5"/>
  <c r="AR147" i="5"/>
  <c r="AQ147" i="5"/>
  <c r="AS147" i="5"/>
  <c r="AQ400" i="5"/>
  <c r="AR400" i="5"/>
  <c r="AS400" i="5"/>
  <c r="AR8" i="5"/>
  <c r="AQ8" i="5"/>
  <c r="AS8" i="5"/>
  <c r="AQ312" i="5"/>
  <c r="AR312" i="5"/>
  <c r="AS312" i="5"/>
  <c r="AR313" i="5"/>
  <c r="AQ313" i="5"/>
  <c r="AS313" i="5"/>
  <c r="AQ387" i="5"/>
  <c r="AR387" i="5"/>
  <c r="AS387" i="5"/>
  <c r="AR180" i="5"/>
  <c r="AQ180" i="5"/>
  <c r="AS180" i="5"/>
  <c r="AQ226" i="5"/>
  <c r="AR226" i="5"/>
  <c r="AS226" i="5"/>
  <c r="AQ497" i="5"/>
  <c r="AR497" i="5"/>
  <c r="AS497" i="5"/>
  <c r="AT431" i="10"/>
  <c r="AU431" i="10"/>
  <c r="AV431" i="10"/>
  <c r="AU330" i="10"/>
  <c r="AT330" i="10"/>
  <c r="AV330" i="10"/>
  <c r="AT297" i="10"/>
  <c r="AU297" i="10"/>
  <c r="AV297" i="10"/>
  <c r="AT229" i="10"/>
  <c r="AU229" i="10"/>
  <c r="AV229" i="10"/>
  <c r="AU123" i="10"/>
  <c r="AT123" i="10"/>
  <c r="AV123" i="10"/>
  <c r="AU22" i="10"/>
  <c r="AT22" i="10"/>
  <c r="AV22" i="10"/>
  <c r="AT531" i="10"/>
  <c r="AU531" i="10"/>
  <c r="AV531" i="10"/>
  <c r="AU242" i="10"/>
  <c r="AT242" i="10"/>
  <c r="AV242" i="10"/>
  <c r="AO12" i="5"/>
  <c r="AN12" i="5"/>
  <c r="AQ266" i="5"/>
  <c r="AR266" i="5"/>
  <c r="AS266" i="5"/>
  <c r="AQ118" i="5"/>
  <c r="AR118" i="5"/>
  <c r="AS118" i="5"/>
  <c r="AQ98" i="5"/>
  <c r="AR98" i="5"/>
  <c r="AS98" i="5"/>
  <c r="AR417" i="5"/>
  <c r="AQ417" i="5"/>
  <c r="AS417" i="5"/>
  <c r="AQ286" i="5"/>
  <c r="AR286" i="5"/>
  <c r="AS286" i="5"/>
  <c r="AQ549" i="5"/>
  <c r="AR549" i="5"/>
  <c r="AS549" i="5"/>
  <c r="AR243" i="5"/>
  <c r="AQ243" i="5"/>
  <c r="AS243" i="5"/>
  <c r="AQ409" i="5"/>
  <c r="AR409" i="5"/>
  <c r="AS409" i="5"/>
  <c r="AQ125" i="5"/>
  <c r="AR125" i="5"/>
  <c r="AS125" i="5"/>
  <c r="AR109" i="5"/>
  <c r="AQ109" i="5"/>
  <c r="AS109" i="5"/>
  <c r="AQ518" i="5"/>
  <c r="AR518" i="5"/>
  <c r="AS518" i="5"/>
  <c r="AR53" i="5"/>
  <c r="AQ53" i="5"/>
  <c r="AS53" i="5"/>
  <c r="AR82" i="5"/>
  <c r="AQ82" i="5"/>
  <c r="AS82" i="5"/>
  <c r="AR133" i="5"/>
  <c r="AQ133" i="5"/>
  <c r="AS133" i="5"/>
  <c r="AQ138" i="5"/>
  <c r="AR138" i="5"/>
  <c r="AS138" i="5"/>
  <c r="AT496" i="10"/>
  <c r="AU496" i="10"/>
  <c r="AV496" i="10"/>
  <c r="AT301" i="10"/>
  <c r="AU301" i="10"/>
  <c r="AV301" i="10"/>
  <c r="AT233" i="10"/>
  <c r="AU233" i="10"/>
  <c r="AV233" i="10"/>
  <c r="AU127" i="10"/>
  <c r="AT127" i="10"/>
  <c r="AV127" i="10"/>
  <c r="AU25" i="10"/>
  <c r="AT25" i="10"/>
  <c r="AV25" i="10"/>
  <c r="AU502" i="10"/>
  <c r="AT502" i="10"/>
  <c r="AV502" i="10"/>
  <c r="AT386" i="10"/>
  <c r="AU386" i="10"/>
  <c r="AV386" i="10"/>
  <c r="AU210" i="10"/>
  <c r="AT210" i="10"/>
  <c r="AV210" i="10"/>
  <c r="AR431" i="5"/>
  <c r="AQ431" i="5"/>
  <c r="AS431" i="5"/>
  <c r="AQ364" i="5"/>
  <c r="AR364" i="5"/>
  <c r="AS364" i="5"/>
  <c r="AR384" i="5"/>
  <c r="AQ384" i="5"/>
  <c r="AS384" i="5"/>
  <c r="AR63" i="5"/>
  <c r="AQ63" i="5"/>
  <c r="AS63" i="5"/>
  <c r="AR329" i="5"/>
  <c r="AQ329" i="5"/>
  <c r="AS329" i="5"/>
  <c r="AQ459" i="5"/>
  <c r="AR459" i="5"/>
  <c r="AS459" i="5"/>
  <c r="AQ126" i="5"/>
  <c r="AR126" i="5"/>
  <c r="AS126" i="5"/>
  <c r="AA12" i="10"/>
  <c r="AB12" i="10"/>
  <c r="AQ112" i="5"/>
  <c r="AR112" i="5"/>
  <c r="AS112" i="5"/>
  <c r="AR298" i="5"/>
  <c r="AQ298" i="5"/>
  <c r="AS298" i="5"/>
  <c r="AU481" i="10"/>
  <c r="AT481" i="10"/>
  <c r="AV481" i="10"/>
  <c r="AT443" i="10"/>
  <c r="AU443" i="10"/>
  <c r="AV443" i="10"/>
  <c r="AT370" i="10"/>
  <c r="AU370" i="10"/>
  <c r="AV370" i="10"/>
  <c r="AU198" i="10"/>
  <c r="AT198" i="10"/>
  <c r="AV198" i="10"/>
  <c r="AU132" i="10"/>
  <c r="AT132" i="10"/>
  <c r="AV132" i="10"/>
  <c r="AU134" i="10"/>
  <c r="AT134" i="10"/>
  <c r="AV134" i="10"/>
  <c r="AU54" i="10"/>
  <c r="AT54" i="10"/>
  <c r="AV54" i="10"/>
  <c r="AT171" i="10"/>
  <c r="AU171" i="10"/>
  <c r="AV171" i="10"/>
  <c r="U13" i="5"/>
  <c r="V13" i="5"/>
  <c r="AC13" i="5"/>
  <c r="AU486" i="10"/>
  <c r="AT486" i="10"/>
  <c r="AV486" i="10"/>
  <c r="AT512" i="10"/>
  <c r="AU512" i="10"/>
  <c r="AV512" i="10"/>
  <c r="AT51" i="10"/>
  <c r="AU51" i="10"/>
  <c r="AV51" i="10"/>
  <c r="AU434" i="10"/>
  <c r="AT434" i="10"/>
  <c r="AV434" i="10"/>
  <c r="AU312" i="10"/>
  <c r="AT312" i="10"/>
  <c r="AV312" i="10"/>
  <c r="AU367" i="10"/>
  <c r="AT367" i="10"/>
  <c r="AV367" i="10"/>
  <c r="AU264" i="10"/>
  <c r="AT264" i="10"/>
  <c r="AV264" i="10"/>
  <c r="AU193" i="10"/>
  <c r="AT193" i="10"/>
  <c r="AV193" i="10"/>
  <c r="AT50" i="10"/>
  <c r="AU50" i="10"/>
  <c r="AV50" i="10"/>
  <c r="AR421" i="5"/>
  <c r="AQ421" i="5"/>
  <c r="AS421" i="5"/>
  <c r="AR145" i="5"/>
  <c r="AQ145" i="5"/>
  <c r="AS145" i="5"/>
  <c r="AR303" i="5"/>
  <c r="AQ303" i="5"/>
  <c r="AS303" i="5"/>
  <c r="AR238" i="5"/>
  <c r="AQ238" i="5"/>
  <c r="AS238" i="5"/>
  <c r="AQ231" i="5"/>
  <c r="AR231" i="5"/>
  <c r="AS231" i="5"/>
  <c r="AQ363" i="5"/>
  <c r="AR363" i="5"/>
  <c r="AS363" i="5"/>
  <c r="AW380" i="10"/>
  <c r="AX380" i="10"/>
  <c r="AX75" i="10"/>
  <c r="AW75" i="10"/>
  <c r="AQ259" i="5"/>
  <c r="AR259" i="5"/>
  <c r="AS259" i="5"/>
  <c r="AU34" i="10"/>
  <c r="AT34" i="10"/>
  <c r="AV34" i="10"/>
  <c r="AQ90" i="5"/>
  <c r="AR90" i="5"/>
  <c r="AS90" i="5"/>
  <c r="AT482" i="10"/>
  <c r="AU482" i="10"/>
  <c r="AV482" i="10"/>
  <c r="AU373" i="10"/>
  <c r="AT373" i="10"/>
  <c r="AV373" i="10"/>
  <c r="AR544" i="5"/>
  <c r="AQ544" i="5"/>
  <c r="AS544" i="5"/>
  <c r="AU469" i="10"/>
  <c r="AT469" i="10"/>
  <c r="AV469" i="10"/>
  <c r="AQ557" i="5"/>
  <c r="AR557" i="5"/>
  <c r="AS557" i="5"/>
  <c r="AT231" i="10"/>
  <c r="AU231" i="10"/>
  <c r="AV231" i="10"/>
  <c r="U12" i="5"/>
  <c r="V12" i="5"/>
  <c r="AC12" i="5"/>
  <c r="AR359" i="5"/>
  <c r="AQ359" i="5"/>
  <c r="AS359" i="5"/>
  <c r="AU487" i="10"/>
  <c r="AT487" i="10"/>
  <c r="AV487" i="10"/>
  <c r="AR239" i="5"/>
  <c r="AQ239" i="5"/>
  <c r="AS239" i="5"/>
  <c r="AQ115" i="5"/>
  <c r="AR115" i="5"/>
  <c r="AS115" i="5"/>
  <c r="AQ455" i="5"/>
  <c r="AR455" i="5"/>
  <c r="AS455" i="5"/>
  <c r="AQ499" i="5"/>
  <c r="AR499" i="5"/>
  <c r="AS499" i="5"/>
  <c r="AU524" i="10"/>
  <c r="AT524" i="10"/>
  <c r="AV524" i="10"/>
  <c r="AU551" i="10"/>
  <c r="AT551" i="10"/>
  <c r="AV551" i="10"/>
  <c r="AU23" i="10"/>
  <c r="AT23" i="10"/>
  <c r="AV23" i="10"/>
  <c r="AU506" i="10"/>
  <c r="AT506" i="10"/>
  <c r="AV506" i="10"/>
  <c r="AU350" i="10"/>
  <c r="AT350" i="10"/>
  <c r="AV350" i="10"/>
  <c r="AT315" i="10"/>
  <c r="AU315" i="10"/>
  <c r="AV315" i="10"/>
  <c r="AT251" i="10"/>
  <c r="AU251" i="10"/>
  <c r="AV251" i="10"/>
  <c r="AT175" i="10"/>
  <c r="AU175" i="10"/>
  <c r="AV175" i="10"/>
  <c r="AT117" i="10"/>
  <c r="AU117" i="10"/>
  <c r="AV117" i="10"/>
  <c r="AQ288" i="5"/>
  <c r="AR288" i="5"/>
  <c r="AS288" i="5"/>
  <c r="AQ131" i="5"/>
  <c r="AR131" i="5"/>
  <c r="AS131" i="5"/>
  <c r="AR144" i="5"/>
  <c r="AQ144" i="5"/>
  <c r="AS144" i="5"/>
  <c r="AR151" i="5"/>
  <c r="AQ151" i="5"/>
  <c r="AS151" i="5"/>
  <c r="AQ205" i="5"/>
  <c r="AR205" i="5"/>
  <c r="AS205" i="5"/>
  <c r="AR204" i="5"/>
  <c r="AQ204" i="5"/>
  <c r="AS204" i="5"/>
  <c r="AQ510" i="5"/>
  <c r="AR510" i="5"/>
  <c r="AS510" i="5"/>
  <c r="AQ519" i="5"/>
  <c r="AR519" i="5"/>
  <c r="AS519" i="5"/>
  <c r="AQ316" i="5"/>
  <c r="AR316" i="5"/>
  <c r="AS316" i="5"/>
  <c r="AQ521" i="5"/>
  <c r="AR521" i="5"/>
  <c r="AS521" i="5"/>
  <c r="AR462" i="5"/>
  <c r="AQ462" i="5"/>
  <c r="AS462" i="5"/>
  <c r="AX525" i="10"/>
  <c r="AW525" i="10"/>
  <c r="AW145" i="10"/>
  <c r="AX145" i="10"/>
  <c r="AX85" i="10"/>
  <c r="AW85" i="10"/>
  <c r="AQ55" i="5"/>
  <c r="AR55" i="5"/>
  <c r="AS55" i="5"/>
  <c r="AU462" i="10"/>
  <c r="AT462" i="10"/>
  <c r="AV462" i="10"/>
  <c r="AU465" i="10"/>
  <c r="AT465" i="10"/>
  <c r="AV465" i="10"/>
  <c r="AT521" i="10"/>
  <c r="AU521" i="10"/>
  <c r="AV521" i="10"/>
  <c r="AU354" i="10"/>
  <c r="AT354" i="10"/>
  <c r="AV354" i="10"/>
  <c r="AT319" i="10"/>
  <c r="AU319" i="10"/>
  <c r="AV319" i="10"/>
  <c r="AT255" i="10"/>
  <c r="AU255" i="10"/>
  <c r="AV255" i="10"/>
  <c r="AU147" i="10"/>
  <c r="AT147" i="10"/>
  <c r="AV147" i="10"/>
  <c r="AT65" i="10"/>
  <c r="AU65" i="10"/>
  <c r="AV65" i="10"/>
  <c r="AR83" i="5"/>
  <c r="AQ83" i="5"/>
  <c r="AS83" i="5"/>
  <c r="AQ374" i="5"/>
  <c r="AR374" i="5"/>
  <c r="AS374" i="5"/>
  <c r="AQ281" i="5"/>
  <c r="AR281" i="5"/>
  <c r="AS281" i="5"/>
  <c r="AQ51" i="5"/>
  <c r="AR51" i="5"/>
  <c r="AS51" i="5"/>
  <c r="AQ450" i="5"/>
  <c r="AR450" i="5"/>
  <c r="AS450" i="5"/>
  <c r="AQ88" i="5"/>
  <c r="AR88" i="5"/>
  <c r="AS88" i="5"/>
  <c r="AQ217" i="5"/>
  <c r="AR217" i="5"/>
  <c r="AS217" i="5"/>
  <c r="AR498" i="5"/>
  <c r="AQ498" i="5"/>
  <c r="AS498" i="5"/>
  <c r="AW454" i="10"/>
  <c r="AX454" i="10"/>
  <c r="AX324" i="10"/>
  <c r="AW324" i="10"/>
  <c r="AQ28" i="5"/>
  <c r="AR28" i="5"/>
  <c r="AS28" i="5"/>
  <c r="AR331" i="5"/>
  <c r="AQ331" i="5"/>
  <c r="AS331" i="5"/>
  <c r="AU511" i="10"/>
  <c r="AT511" i="10"/>
  <c r="AV511" i="10"/>
  <c r="AT371" i="10"/>
  <c r="AU371" i="10"/>
  <c r="AV371" i="10"/>
  <c r="AT299" i="10"/>
  <c r="AU299" i="10"/>
  <c r="AV299" i="10"/>
  <c r="AT191" i="10"/>
  <c r="AU191" i="10"/>
  <c r="AV191" i="10"/>
  <c r="AT79" i="10"/>
  <c r="AU79" i="10"/>
  <c r="AV79" i="10"/>
  <c r="AT24" i="10"/>
  <c r="AU24" i="10"/>
  <c r="AV24" i="10"/>
  <c r="AT402" i="10"/>
  <c r="AU402" i="10"/>
  <c r="AV402" i="10"/>
  <c r="AT430" i="10"/>
  <c r="AU430" i="10"/>
  <c r="AV430" i="10"/>
  <c r="AQ214" i="5"/>
  <c r="AR214" i="5"/>
  <c r="AS214" i="5"/>
  <c r="AQ542" i="5"/>
  <c r="AR542" i="5"/>
  <c r="AS542" i="5"/>
  <c r="AR488" i="5"/>
  <c r="AQ488" i="5"/>
  <c r="AS488" i="5"/>
  <c r="AQ371" i="5"/>
  <c r="AR371" i="5"/>
  <c r="AS371" i="5"/>
  <c r="AQ496" i="5"/>
  <c r="AR496" i="5"/>
  <c r="AS496" i="5"/>
  <c r="AR75" i="5"/>
  <c r="AQ75" i="5"/>
  <c r="AS75" i="5"/>
  <c r="AR46" i="5"/>
  <c r="AQ46" i="5"/>
  <c r="AS46" i="5"/>
  <c r="AQ291" i="5"/>
  <c r="AR291" i="5"/>
  <c r="AS291" i="5"/>
  <c r="AQ257" i="5"/>
  <c r="AR257" i="5"/>
  <c r="AS257" i="5"/>
  <c r="AQ492" i="5"/>
  <c r="AR492" i="5"/>
  <c r="AS492" i="5"/>
  <c r="AT8" i="10"/>
  <c r="AU8" i="10"/>
  <c r="AV8" i="10"/>
  <c r="AT514" i="10"/>
  <c r="AU514" i="10"/>
  <c r="AV514" i="10"/>
  <c r="AU331" i="10"/>
  <c r="AT331" i="10"/>
  <c r="AV331" i="10"/>
  <c r="AT267" i="10"/>
  <c r="AU267" i="10"/>
  <c r="AV267" i="10"/>
  <c r="AT159" i="10"/>
  <c r="AU159" i="10"/>
  <c r="AV159" i="10"/>
  <c r="AU43" i="10"/>
  <c r="AT43" i="10"/>
  <c r="AV43" i="10"/>
  <c r="AU520" i="10"/>
  <c r="AT520" i="10"/>
  <c r="AV520" i="10"/>
  <c r="AT416" i="10"/>
  <c r="AU416" i="10"/>
  <c r="AV416" i="10"/>
  <c r="AT337" i="10"/>
  <c r="AU337" i="10"/>
  <c r="AV337" i="10"/>
  <c r="AR356" i="5"/>
  <c r="AQ356" i="5"/>
  <c r="AS356" i="5"/>
  <c r="AR423" i="5"/>
  <c r="AQ423" i="5"/>
  <c r="AS423" i="5"/>
  <c r="AR372" i="5"/>
  <c r="AQ372" i="5"/>
  <c r="AS372" i="5"/>
  <c r="AQ502" i="5"/>
  <c r="AR502" i="5"/>
  <c r="AS502" i="5"/>
  <c r="AQ545" i="5"/>
  <c r="AR545" i="5"/>
  <c r="AS545" i="5"/>
  <c r="AR434" i="5"/>
  <c r="AQ434" i="5"/>
  <c r="AS434" i="5"/>
  <c r="AQ555" i="5"/>
  <c r="AR555" i="5"/>
  <c r="AS555" i="5"/>
  <c r="AR404" i="5"/>
  <c r="AQ404" i="5"/>
  <c r="AS404" i="5"/>
  <c r="AU547" i="10"/>
  <c r="AT547" i="10"/>
  <c r="AV547" i="10"/>
  <c r="AU429" i="10"/>
  <c r="AT429" i="10"/>
  <c r="AV429" i="10"/>
  <c r="AT271" i="10"/>
  <c r="AU271" i="10"/>
  <c r="AV271" i="10"/>
  <c r="AU163" i="10"/>
  <c r="AT163" i="10"/>
  <c r="AV163" i="10"/>
  <c r="AU48" i="10"/>
  <c r="AT48" i="10"/>
  <c r="AV48" i="10"/>
  <c r="AU538" i="10"/>
  <c r="AT538" i="10"/>
  <c r="AV538" i="10"/>
  <c r="AT388" i="10"/>
  <c r="AU388" i="10"/>
  <c r="AV388" i="10"/>
  <c r="AT379" i="10"/>
  <c r="AU379" i="10"/>
  <c r="AV379" i="10"/>
  <c r="AU178" i="10"/>
  <c r="AT178" i="10"/>
  <c r="AV178" i="10"/>
  <c r="AQ7" i="5"/>
  <c r="AR7" i="5"/>
  <c r="AS7" i="5"/>
  <c r="AR74" i="5"/>
  <c r="AQ74" i="5"/>
  <c r="AS74" i="5"/>
  <c r="AR536" i="5"/>
  <c r="AQ536" i="5"/>
  <c r="AS536" i="5"/>
  <c r="AQ246" i="5"/>
  <c r="AR246" i="5"/>
  <c r="AS246" i="5"/>
  <c r="AQ234" i="5"/>
  <c r="AR234" i="5"/>
  <c r="AS234" i="5"/>
  <c r="AQ84" i="5"/>
  <c r="AR84" i="5"/>
  <c r="AS84" i="5"/>
  <c r="AR361" i="5"/>
  <c r="AQ361" i="5"/>
  <c r="AS361" i="5"/>
  <c r="R12" i="10"/>
  <c r="S12" i="10"/>
  <c r="AR448" i="5"/>
  <c r="AQ448" i="5"/>
  <c r="AS448" i="5"/>
  <c r="AQ183" i="5"/>
  <c r="AR183" i="5"/>
  <c r="AS183" i="5"/>
  <c r="AQ486" i="5"/>
  <c r="AR486" i="5"/>
  <c r="AS486" i="5"/>
  <c r="AR524" i="5"/>
  <c r="AQ524" i="5"/>
  <c r="AS524" i="5"/>
  <c r="AT369" i="10"/>
  <c r="AU369" i="10"/>
  <c r="AV369" i="10"/>
  <c r="AU266" i="10"/>
  <c r="AT266" i="10"/>
  <c r="AV266" i="10"/>
  <c r="AU234" i="10"/>
  <c r="AT234" i="10"/>
  <c r="AV234" i="10"/>
  <c r="AT168" i="10"/>
  <c r="AU168" i="10"/>
  <c r="AV168" i="10"/>
  <c r="AT201" i="10"/>
  <c r="AU201" i="10"/>
  <c r="AV201" i="10"/>
  <c r="AT129" i="10"/>
  <c r="AU129" i="10"/>
  <c r="AV129" i="10"/>
  <c r="AT489" i="10"/>
  <c r="AU489" i="10"/>
  <c r="AV489" i="10"/>
  <c r="AU139" i="10"/>
  <c r="AT139" i="10"/>
  <c r="AV139" i="10"/>
  <c r="AN13" i="5"/>
  <c r="AO13" i="5"/>
  <c r="AU546" i="10"/>
  <c r="AT546" i="10"/>
  <c r="AV546" i="10"/>
  <c r="AU417" i="10"/>
  <c r="AT417" i="10"/>
  <c r="AV417" i="10"/>
  <c r="AT422" i="10"/>
  <c r="AU422" i="10"/>
  <c r="AV422" i="10"/>
  <c r="AU348" i="10"/>
  <c r="AT348" i="10"/>
  <c r="AV348" i="10"/>
  <c r="AT216" i="10"/>
  <c r="AU216" i="10"/>
  <c r="AV216" i="10"/>
  <c r="AT68" i="10"/>
  <c r="AU68" i="10"/>
  <c r="AV68" i="10"/>
  <c r="AU69" i="10"/>
  <c r="AT69" i="10"/>
  <c r="AV69" i="10"/>
  <c r="AT44" i="10"/>
  <c r="AU44" i="10"/>
  <c r="AV44" i="10"/>
  <c r="AQ169" i="5"/>
  <c r="AR169" i="5"/>
  <c r="AS169" i="5"/>
  <c r="AR170" i="5"/>
  <c r="AQ170" i="5"/>
  <c r="AS170" i="5"/>
  <c r="AQ245" i="5"/>
  <c r="AR245" i="5"/>
  <c r="AS245" i="5"/>
  <c r="AR546" i="5"/>
  <c r="AQ546" i="5"/>
  <c r="AS546" i="5"/>
  <c r="AR399" i="5"/>
  <c r="AQ399" i="5"/>
  <c r="AS399" i="5"/>
  <c r="AR157" i="5"/>
  <c r="AQ157" i="5"/>
  <c r="AS157" i="5"/>
  <c r="AR22" i="5"/>
  <c r="AQ22" i="5"/>
  <c r="AS22" i="5"/>
  <c r="AX518" i="10"/>
  <c r="AW518" i="10"/>
  <c r="AT137" i="10"/>
  <c r="AU137" i="10"/>
  <c r="AV137" i="10"/>
  <c r="AR248" i="5"/>
  <c r="AQ248" i="5"/>
  <c r="AS248" i="5"/>
  <c r="AX537" i="10"/>
  <c r="AW537" i="10"/>
  <c r="AT215" i="10"/>
  <c r="AU215" i="10"/>
  <c r="AV215" i="10"/>
  <c r="AR274" i="5"/>
  <c r="AQ274" i="5"/>
  <c r="AS274" i="5"/>
  <c r="AR345" i="5"/>
  <c r="AQ345" i="5"/>
  <c r="AS345" i="5"/>
  <c r="AU42" i="10"/>
  <c r="AT42" i="10"/>
  <c r="AV42" i="10"/>
  <c r="AQ310" i="5"/>
  <c r="AR310" i="5"/>
  <c r="AS310" i="5"/>
  <c r="AT195" i="10"/>
  <c r="AU195" i="10"/>
  <c r="AV195" i="10"/>
  <c r="AQ334" i="5"/>
  <c r="AR334" i="5"/>
  <c r="AS334" i="5"/>
  <c r="AR373" i="5"/>
  <c r="AQ373" i="5"/>
  <c r="AS373" i="5"/>
  <c r="AT265" i="10"/>
  <c r="AU265" i="10"/>
  <c r="AV265" i="10"/>
  <c r="AQ56" i="5"/>
  <c r="AR56" i="5"/>
  <c r="AS56" i="5"/>
  <c r="AR537" i="5"/>
  <c r="AQ537" i="5"/>
  <c r="AS537" i="5"/>
  <c r="AQ424" i="5"/>
  <c r="AR424" i="5"/>
  <c r="AS424" i="5"/>
  <c r="AT459" i="10"/>
  <c r="AU459" i="10"/>
  <c r="AV459" i="10"/>
  <c r="AU493" i="10"/>
  <c r="AT493" i="10"/>
  <c r="AV493" i="10"/>
  <c r="AT552" i="10"/>
  <c r="AU552" i="10"/>
  <c r="AV552" i="10"/>
  <c r="AT400" i="10"/>
  <c r="AU400" i="10"/>
  <c r="AV400" i="10"/>
  <c r="AT351" i="10"/>
  <c r="AU351" i="10"/>
  <c r="AV351" i="10"/>
  <c r="AT287" i="10"/>
  <c r="AU287" i="10"/>
  <c r="AV287" i="10"/>
  <c r="AT179" i="10"/>
  <c r="AU179" i="10"/>
  <c r="AV179" i="10"/>
  <c r="AU99" i="10"/>
  <c r="AT99" i="10"/>
  <c r="AV99" i="10"/>
  <c r="AU302" i="10"/>
  <c r="AT302" i="10"/>
  <c r="AV302" i="10"/>
  <c r="AQ127" i="5"/>
  <c r="AR127" i="5"/>
  <c r="AS127" i="5"/>
  <c r="AQ285" i="5"/>
  <c r="AR285" i="5"/>
  <c r="AS285" i="5"/>
  <c r="AQ262" i="5"/>
  <c r="AR262" i="5"/>
  <c r="AS262" i="5"/>
  <c r="AQ342" i="5"/>
  <c r="AR342" i="5"/>
  <c r="AS342" i="5"/>
  <c r="AQ35" i="5"/>
  <c r="AR35" i="5"/>
  <c r="AS35" i="5"/>
  <c r="AQ379" i="5"/>
  <c r="AR379" i="5"/>
  <c r="AS379" i="5"/>
  <c r="AQ103" i="5"/>
  <c r="AR103" i="5"/>
  <c r="AS103" i="5"/>
  <c r="AR386" i="5"/>
  <c r="AQ386" i="5"/>
  <c r="AS386" i="5"/>
  <c r="AR401" i="5"/>
  <c r="AQ401" i="5"/>
  <c r="AS401" i="5"/>
  <c r="AU532" i="10"/>
  <c r="AT532" i="10"/>
  <c r="AV532" i="10"/>
  <c r="AQ201" i="5"/>
  <c r="AR201" i="5"/>
  <c r="AS201" i="5"/>
  <c r="AR25" i="5"/>
  <c r="AQ25" i="5"/>
  <c r="AS25" i="5"/>
  <c r="AR493" i="5"/>
  <c r="AQ493" i="5"/>
  <c r="AS493" i="5"/>
  <c r="AU516" i="10"/>
  <c r="AT516" i="10"/>
  <c r="AV516" i="10"/>
  <c r="AU540" i="10"/>
  <c r="AT540" i="10"/>
  <c r="AV540" i="10"/>
  <c r="AT404" i="10"/>
  <c r="AU404" i="10"/>
  <c r="AV404" i="10"/>
  <c r="AT355" i="10"/>
  <c r="AU355" i="10"/>
  <c r="AV355" i="10"/>
  <c r="AT291" i="10"/>
  <c r="AU291" i="10"/>
  <c r="AV291" i="10"/>
  <c r="AT183" i="10"/>
  <c r="AU183" i="10"/>
  <c r="AV183" i="10"/>
  <c r="AT67" i="10"/>
  <c r="AU67" i="10"/>
  <c r="AV67" i="10"/>
  <c r="AU21" i="10"/>
  <c r="AT21" i="10"/>
  <c r="AV21" i="10"/>
  <c r="AQ186" i="5"/>
  <c r="AR186" i="5"/>
  <c r="AS186" i="5"/>
  <c r="AR182" i="5"/>
  <c r="AQ182" i="5"/>
  <c r="AS182" i="5"/>
  <c r="AQ30" i="5"/>
  <c r="AR30" i="5"/>
  <c r="AS30" i="5"/>
  <c r="AQ178" i="5"/>
  <c r="AR178" i="5"/>
  <c r="AS178" i="5"/>
  <c r="AQ120" i="5"/>
  <c r="AR120" i="5"/>
  <c r="AS120" i="5"/>
  <c r="AR174" i="5"/>
  <c r="AQ174" i="5"/>
  <c r="AS174" i="5"/>
  <c r="AQ482" i="5"/>
  <c r="AR482" i="5"/>
  <c r="AS482" i="5"/>
  <c r="AR219" i="5"/>
  <c r="AQ219" i="5"/>
  <c r="AS219" i="5"/>
  <c r="AR534" i="5"/>
  <c r="AQ534" i="5"/>
  <c r="AS534" i="5"/>
  <c r="AR71" i="5"/>
  <c r="AQ71" i="5"/>
  <c r="AS71" i="5"/>
  <c r="AR410" i="5"/>
  <c r="AQ410" i="5"/>
  <c r="AS410" i="5"/>
  <c r="AW76" i="10"/>
  <c r="AX76" i="10"/>
  <c r="AU151" i="10"/>
  <c r="AT151" i="10"/>
  <c r="AV151" i="10"/>
  <c r="AU214" i="10"/>
  <c r="AT214" i="10"/>
  <c r="AV214" i="10"/>
  <c r="AQ348" i="5"/>
  <c r="AR348" i="5"/>
  <c r="AS348" i="5"/>
  <c r="AR347" i="5"/>
  <c r="AQ347" i="5"/>
  <c r="AS347" i="5"/>
  <c r="AQ333" i="5"/>
  <c r="AR333" i="5"/>
  <c r="AS333" i="5"/>
  <c r="AU9" i="10"/>
  <c r="AT9" i="10"/>
  <c r="AV9" i="10"/>
  <c r="AU453" i="10"/>
  <c r="AT453" i="10"/>
  <c r="AV453" i="10"/>
  <c r="AT196" i="10"/>
  <c r="AU196" i="10"/>
  <c r="AV196" i="10"/>
  <c r="AU280" i="10"/>
  <c r="AT280" i="10"/>
  <c r="AV280" i="10"/>
  <c r="AU177" i="10"/>
  <c r="AT177" i="10"/>
  <c r="AV177" i="10"/>
  <c r="AU49" i="10"/>
  <c r="AT49" i="10"/>
  <c r="AV49" i="10"/>
  <c r="AT406" i="10"/>
  <c r="AU406" i="10"/>
  <c r="AV406" i="10"/>
  <c r="AU309" i="10"/>
  <c r="AT309" i="10"/>
  <c r="AV309" i="10"/>
  <c r="AT398" i="10"/>
  <c r="AU398" i="10"/>
  <c r="AV398" i="10"/>
  <c r="AQ26" i="5"/>
  <c r="AR26" i="5"/>
  <c r="AS26" i="5"/>
  <c r="AQ203" i="5"/>
  <c r="AR203" i="5"/>
  <c r="AS203" i="5"/>
  <c r="AR113" i="5"/>
  <c r="AQ113" i="5"/>
  <c r="AS113" i="5"/>
  <c r="AQ165" i="5"/>
  <c r="AR165" i="5"/>
  <c r="AS165" i="5"/>
  <c r="AQ414" i="5"/>
  <c r="AR414" i="5"/>
  <c r="AS414" i="5"/>
  <c r="AR249" i="5"/>
  <c r="AQ249" i="5"/>
  <c r="AS249" i="5"/>
  <c r="AQ512" i="5"/>
  <c r="AR512" i="5"/>
  <c r="AS512" i="5"/>
  <c r="AQ551" i="5"/>
  <c r="AR551" i="5"/>
  <c r="AS551" i="5"/>
  <c r="AR300" i="5"/>
  <c r="AQ300" i="5"/>
  <c r="AS300" i="5"/>
  <c r="AQ527" i="5"/>
  <c r="AR527" i="5"/>
  <c r="AS527" i="5"/>
  <c r="AR211" i="5"/>
  <c r="AQ211" i="5"/>
  <c r="AS211" i="5"/>
  <c r="AQ193" i="5"/>
  <c r="AR193" i="5"/>
  <c r="AS193" i="5"/>
  <c r="AQ481" i="5"/>
  <c r="AR481" i="5"/>
  <c r="AS481" i="5"/>
  <c r="AR273" i="5"/>
  <c r="AQ273" i="5"/>
  <c r="AS273" i="5"/>
  <c r="AR454" i="5"/>
  <c r="AQ454" i="5"/>
  <c r="AS454" i="5"/>
  <c r="AR73" i="5"/>
  <c r="AQ73" i="5"/>
  <c r="AS73" i="5"/>
  <c r="AU558" i="10"/>
  <c r="AT558" i="10"/>
  <c r="AV558" i="10"/>
  <c r="AU448" i="10"/>
  <c r="AT448" i="10"/>
  <c r="AV448" i="10"/>
  <c r="AT303" i="10"/>
  <c r="AU303" i="10"/>
  <c r="AV303" i="10"/>
  <c r="AU248" i="10"/>
  <c r="AT248" i="10"/>
  <c r="AV248" i="10"/>
  <c r="AT83" i="10"/>
  <c r="AU83" i="10"/>
  <c r="AV83" i="10"/>
  <c r="AT26" i="10"/>
  <c r="AU26" i="10"/>
  <c r="AV26" i="10"/>
  <c r="AT420" i="10"/>
  <c r="AU420" i="10"/>
  <c r="AV420" i="10"/>
  <c r="AT332" i="10"/>
  <c r="AU332" i="10"/>
  <c r="AV332" i="10"/>
  <c r="AT384" i="10"/>
  <c r="AU384" i="10"/>
  <c r="AV384" i="10"/>
  <c r="AB12" i="5"/>
  <c r="AA12" i="5"/>
  <c r="AR258" i="5"/>
  <c r="AQ258" i="5"/>
  <c r="AS258" i="5"/>
  <c r="AR123" i="5"/>
  <c r="AQ123" i="5"/>
  <c r="AS123" i="5"/>
  <c r="AQ162" i="5"/>
  <c r="AR162" i="5"/>
  <c r="AS162" i="5"/>
  <c r="AR308" i="5"/>
  <c r="AQ308" i="5"/>
  <c r="AS308" i="5"/>
  <c r="AR181" i="5"/>
  <c r="AQ181" i="5"/>
  <c r="AS181" i="5"/>
  <c r="AR516" i="5"/>
  <c r="AQ516" i="5"/>
  <c r="AS516" i="5"/>
  <c r="AQ136" i="5"/>
  <c r="AR136" i="5"/>
  <c r="AS136" i="5"/>
  <c r="AR275" i="5"/>
  <c r="AQ275" i="5"/>
  <c r="AS275" i="5"/>
  <c r="AR282" i="5"/>
  <c r="AQ282" i="5"/>
  <c r="AS282" i="5"/>
  <c r="AQ476" i="5"/>
  <c r="AR476" i="5"/>
  <c r="AS476" i="5"/>
  <c r="AQ224" i="5"/>
  <c r="AR224" i="5"/>
  <c r="AS224" i="5"/>
  <c r="AQ506" i="5"/>
  <c r="AR506" i="5"/>
  <c r="AS506" i="5"/>
  <c r="AQ543" i="5"/>
  <c r="AR543" i="5"/>
  <c r="AS543" i="5"/>
  <c r="AR68" i="5"/>
  <c r="AQ68" i="5"/>
  <c r="AS68" i="5"/>
  <c r="AQ304" i="5"/>
  <c r="AR304" i="5"/>
  <c r="AS304" i="5"/>
  <c r="AR272" i="5"/>
  <c r="AQ272" i="5"/>
  <c r="AS272" i="5"/>
  <c r="AU461" i="10"/>
  <c r="AT461" i="10"/>
  <c r="AV461" i="10"/>
  <c r="AU510" i="10"/>
  <c r="AT510" i="10"/>
  <c r="AV510" i="10"/>
  <c r="AU252" i="10"/>
  <c r="AT252" i="10"/>
  <c r="AV252" i="10"/>
  <c r="AT87" i="10"/>
  <c r="AU87" i="10"/>
  <c r="AV87" i="10"/>
  <c r="AT29" i="10"/>
  <c r="AU29" i="10"/>
  <c r="AV29" i="10"/>
  <c r="AT424" i="10"/>
  <c r="AU424" i="10"/>
  <c r="AV424" i="10"/>
  <c r="AT383" i="10"/>
  <c r="AU383" i="10"/>
  <c r="AV383" i="10"/>
  <c r="AT204" i="10"/>
  <c r="AU204" i="10"/>
  <c r="AV204" i="10"/>
  <c r="AT232" i="10"/>
  <c r="AU232" i="10"/>
  <c r="AV232" i="10"/>
  <c r="AQ232" i="5"/>
  <c r="AR232" i="5"/>
  <c r="AS232" i="5"/>
  <c r="AR69" i="5"/>
  <c r="AQ69" i="5"/>
  <c r="AS69" i="5"/>
  <c r="AR210" i="5"/>
  <c r="AQ210" i="5"/>
  <c r="AS210" i="5"/>
  <c r="AQ148" i="5"/>
  <c r="AR148" i="5"/>
  <c r="AS148" i="5"/>
  <c r="AR32" i="5"/>
  <c r="AQ32" i="5"/>
  <c r="AS32" i="5"/>
  <c r="AR225" i="5"/>
  <c r="AQ225" i="5"/>
  <c r="AS225" i="5"/>
  <c r="AQ209" i="5"/>
  <c r="AR209" i="5"/>
  <c r="AS209" i="5"/>
  <c r="AR440" i="5"/>
  <c r="AQ440" i="5"/>
  <c r="AS440" i="5"/>
  <c r="AR346" i="5"/>
  <c r="AQ346" i="5"/>
  <c r="AS346" i="5"/>
  <c r="AQ489" i="5"/>
  <c r="AR489" i="5"/>
  <c r="AS489" i="5"/>
  <c r="AQ472" i="5"/>
  <c r="AR472" i="5"/>
  <c r="AS472" i="5"/>
  <c r="AR327" i="5"/>
  <c r="AQ327" i="5"/>
  <c r="AS327" i="5"/>
  <c r="AQ520" i="5"/>
  <c r="AR520" i="5"/>
  <c r="AS520" i="5"/>
  <c r="Y12" i="10"/>
  <c r="X12" i="10"/>
  <c r="AR325" i="5"/>
  <c r="AQ325" i="5"/>
  <c r="AS325" i="5"/>
  <c r="AR40" i="5"/>
  <c r="AQ40" i="5"/>
  <c r="AS40" i="5"/>
  <c r="AQ87" i="5"/>
  <c r="AR87" i="5"/>
  <c r="AS87" i="5"/>
  <c r="AQ477" i="5"/>
  <c r="AR477" i="5"/>
  <c r="AS477" i="5"/>
  <c r="AT494" i="10"/>
  <c r="AU494" i="10"/>
  <c r="AV494" i="10"/>
  <c r="AT269" i="10"/>
  <c r="AU269" i="10"/>
  <c r="AV269" i="10"/>
  <c r="AT203" i="10"/>
  <c r="AU203" i="10"/>
  <c r="AV203" i="10"/>
  <c r="AT239" i="10"/>
  <c r="AU239" i="10"/>
  <c r="AV239" i="10"/>
  <c r="AU376" i="10"/>
  <c r="AT376" i="10"/>
  <c r="AV376" i="10"/>
  <c r="AT455" i="10"/>
  <c r="AU455" i="10"/>
  <c r="AV455" i="10"/>
  <c r="AU338" i="10"/>
  <c r="AT338" i="10"/>
  <c r="AV338" i="10"/>
  <c r="AU180" i="10"/>
  <c r="AT180" i="10"/>
  <c r="AV180" i="10"/>
  <c r="AU480" i="10"/>
  <c r="AT480" i="10"/>
  <c r="AV480" i="10"/>
  <c r="AU411" i="10"/>
  <c r="AT411" i="10"/>
  <c r="AV411" i="10"/>
  <c r="AU329" i="10"/>
  <c r="AT329" i="10"/>
  <c r="AV329" i="10"/>
  <c r="AU166" i="10"/>
  <c r="AT166" i="10"/>
  <c r="AV166" i="10"/>
  <c r="AU100" i="10"/>
  <c r="AT100" i="10"/>
  <c r="AV100" i="10"/>
  <c r="AU102" i="10"/>
  <c r="AT102" i="10"/>
  <c r="AV102" i="10"/>
  <c r="AT53" i="10"/>
  <c r="AU53" i="10"/>
  <c r="AV53" i="10"/>
  <c r="AT95" i="10"/>
  <c r="AU95" i="10"/>
  <c r="AV95" i="10"/>
  <c r="AR27" i="5"/>
  <c r="AQ27" i="5"/>
  <c r="AS27" i="5"/>
  <c r="AR159" i="5"/>
  <c r="AQ159" i="5"/>
  <c r="AS159" i="5"/>
  <c r="AQ446" i="5"/>
  <c r="AR446" i="5"/>
  <c r="AS446" i="5"/>
  <c r="AR507" i="5"/>
  <c r="AQ507" i="5"/>
  <c r="AS507" i="5"/>
  <c r="AQ383" i="5"/>
  <c r="AR383" i="5"/>
  <c r="AS383" i="5"/>
  <c r="AQ416" i="5"/>
  <c r="AR416" i="5"/>
  <c r="AS416" i="5"/>
  <c r="AR149" i="5"/>
  <c r="AQ149" i="5"/>
  <c r="AS149" i="5"/>
  <c r="AR360" i="5"/>
  <c r="AQ360" i="5"/>
  <c r="AS360" i="5"/>
  <c r="AT277" i="10"/>
  <c r="AU277" i="10"/>
  <c r="AV277" i="10"/>
  <c r="AR394" i="5"/>
  <c r="AQ394" i="5"/>
  <c r="AS394" i="5"/>
  <c r="AQ168" i="5"/>
  <c r="AR168" i="5"/>
  <c r="AS168" i="5"/>
  <c r="AT249" i="10"/>
  <c r="AU249" i="10"/>
  <c r="AV249" i="10"/>
  <c r="AX115" i="10"/>
  <c r="AW115" i="10"/>
  <c r="AU119" i="10"/>
  <c r="AT119" i="10"/>
  <c r="AV119" i="10"/>
  <c r="AQ358" i="5"/>
  <c r="AR358" i="5"/>
  <c r="AS358" i="5"/>
  <c r="AU294" i="10"/>
  <c r="AT294" i="10"/>
  <c r="AV294" i="10"/>
  <c r="AQ495" i="5"/>
  <c r="AR495" i="5"/>
  <c r="AS495" i="5"/>
  <c r="AR468" i="5"/>
  <c r="AQ468" i="5"/>
  <c r="AS468" i="5"/>
  <c r="AT199" i="10"/>
  <c r="AU199" i="10"/>
  <c r="AV199" i="10"/>
  <c r="AR194" i="5"/>
  <c r="AQ194" i="5"/>
  <c r="AS194" i="5"/>
  <c r="AQ458" i="5"/>
  <c r="AR458" i="5"/>
  <c r="AS458" i="5"/>
  <c r="AQ44" i="5"/>
  <c r="AR44" i="5"/>
  <c r="AS44" i="5"/>
  <c r="AU385" i="10"/>
  <c r="AT385" i="10"/>
  <c r="AV385" i="10"/>
  <c r="AU316" i="10"/>
  <c r="AT316" i="10"/>
  <c r="AV316" i="10"/>
  <c r="AU268" i="10"/>
  <c r="AT268" i="10"/>
  <c r="AV268" i="10"/>
  <c r="AT73" i="10"/>
  <c r="AU73" i="10"/>
  <c r="AV73" i="10"/>
  <c r="AR140" i="5"/>
  <c r="AQ140" i="5"/>
  <c r="AS140" i="5"/>
  <c r="AR155" i="5"/>
  <c r="AQ155" i="5"/>
  <c r="AS155" i="5"/>
  <c r="AQ24" i="5"/>
  <c r="AR24" i="5"/>
  <c r="AS24" i="5"/>
  <c r="AR216" i="5"/>
  <c r="AQ216" i="5"/>
  <c r="AS216" i="5"/>
  <c r="AQ393" i="5"/>
  <c r="AR393" i="5"/>
  <c r="AS393" i="5"/>
  <c r="AR287" i="5"/>
  <c r="AQ287" i="5"/>
  <c r="AS287" i="5"/>
  <c r="AR548" i="5"/>
  <c r="AQ548" i="5"/>
  <c r="AS548" i="5"/>
  <c r="AR539" i="5"/>
  <c r="AQ539" i="5"/>
  <c r="AS539" i="5"/>
  <c r="AR418" i="5"/>
  <c r="AQ418" i="5"/>
  <c r="AS418" i="5"/>
  <c r="AR509" i="5"/>
  <c r="AQ509" i="5"/>
  <c r="AS509" i="5"/>
  <c r="AQ218" i="5"/>
  <c r="AR218" i="5"/>
  <c r="AS218" i="5"/>
  <c r="AR530" i="5"/>
  <c r="AQ530" i="5"/>
  <c r="AS530" i="5"/>
  <c r="AQ389" i="5"/>
  <c r="AR389" i="5"/>
  <c r="AS389" i="5"/>
  <c r="AU341" i="10"/>
  <c r="AT341" i="10"/>
  <c r="AV341" i="10"/>
  <c r="AU485" i="10"/>
  <c r="AT485" i="10"/>
  <c r="AV485" i="10"/>
  <c r="AU450" i="10"/>
  <c r="AT450" i="10"/>
  <c r="AV450" i="10"/>
  <c r="AT394" i="10"/>
  <c r="AU394" i="10"/>
  <c r="AV394" i="10"/>
  <c r="AU320" i="10"/>
  <c r="AT320" i="10"/>
  <c r="AV320" i="10"/>
  <c r="AU372" i="10"/>
  <c r="AT372" i="10"/>
  <c r="AV372" i="10"/>
  <c r="AT272" i="10"/>
  <c r="AU272" i="10"/>
  <c r="AV272" i="10"/>
  <c r="AU169" i="10"/>
  <c r="AT169" i="10"/>
  <c r="AV169" i="10"/>
  <c r="AU27" i="10"/>
  <c r="AT27" i="10"/>
  <c r="AV27" i="10"/>
  <c r="AU189" i="10"/>
  <c r="AT189" i="10"/>
  <c r="AV189" i="10"/>
  <c r="AQ185" i="5"/>
  <c r="AR185" i="5"/>
  <c r="AS185" i="5"/>
  <c r="AQ318" i="5"/>
  <c r="AR318" i="5"/>
  <c r="AS318" i="5"/>
  <c r="AQ166" i="5"/>
  <c r="AR166" i="5"/>
  <c r="AS166" i="5"/>
  <c r="AQ350" i="5"/>
  <c r="AR350" i="5"/>
  <c r="AS350" i="5"/>
  <c r="AQ554" i="5"/>
  <c r="AR554" i="5"/>
  <c r="AS554" i="5"/>
  <c r="AQ267" i="5"/>
  <c r="AR267" i="5"/>
  <c r="AS267" i="5"/>
  <c r="AQ461" i="5"/>
  <c r="AR461" i="5"/>
  <c r="AS461" i="5"/>
  <c r="AT508" i="10"/>
  <c r="AU508" i="10"/>
  <c r="AV508" i="10"/>
  <c r="AU527" i="10"/>
  <c r="AT527" i="10"/>
  <c r="AV527" i="10"/>
  <c r="AU80" i="10"/>
  <c r="AT80" i="10"/>
  <c r="AV80" i="10"/>
  <c r="AU82" i="10"/>
  <c r="AT82" i="10"/>
  <c r="AV82" i="10"/>
  <c r="AT89" i="10"/>
  <c r="AU89" i="10"/>
  <c r="AV89" i="10"/>
  <c r="AU395" i="10"/>
  <c r="AT395" i="10"/>
  <c r="AV395" i="10"/>
  <c r="AU313" i="10"/>
  <c r="AT313" i="10"/>
  <c r="AV313" i="10"/>
  <c r="AU182" i="10"/>
  <c r="AT182" i="10"/>
  <c r="AV182" i="10"/>
  <c r="AT412" i="10"/>
  <c r="AU412" i="10"/>
  <c r="AV412" i="10"/>
  <c r="AR80" i="5"/>
  <c r="AQ80" i="5"/>
  <c r="AS80" i="5"/>
  <c r="AR283" i="5"/>
  <c r="AQ283" i="5"/>
  <c r="AS283" i="5"/>
  <c r="AR86" i="5"/>
  <c r="AQ86" i="5"/>
  <c r="AS86" i="5"/>
  <c r="AQ220" i="5"/>
  <c r="AR220" i="5"/>
  <c r="AS220" i="5"/>
  <c r="AR501" i="5"/>
  <c r="AQ501" i="5"/>
  <c r="AS501" i="5"/>
  <c r="AR375" i="5"/>
  <c r="AQ375" i="5"/>
  <c r="AS375" i="5"/>
  <c r="AQ163" i="5"/>
  <c r="AR163" i="5"/>
  <c r="AS163" i="5"/>
  <c r="AQ294" i="5"/>
  <c r="AR294" i="5"/>
  <c r="AS294" i="5"/>
  <c r="AQ95" i="5"/>
  <c r="AR95" i="5"/>
  <c r="AS95" i="5"/>
  <c r="AR427" i="5"/>
  <c r="AQ427" i="5"/>
  <c r="AS427" i="5"/>
  <c r="AQ9" i="5"/>
  <c r="AR9" i="5"/>
  <c r="AS9" i="5"/>
  <c r="AR117" i="5"/>
  <c r="AQ117" i="5"/>
  <c r="AS117" i="5"/>
  <c r="AT492" i="10"/>
  <c r="AU492" i="10"/>
  <c r="AV492" i="10"/>
  <c r="AU507" i="10"/>
  <c r="AT507" i="10"/>
  <c r="AV507" i="10"/>
  <c r="AU284" i="10"/>
  <c r="AT284" i="10"/>
  <c r="AV284" i="10"/>
  <c r="AU181" i="10"/>
  <c r="AT181" i="10"/>
  <c r="AV181" i="10"/>
  <c r="AT56" i="10"/>
  <c r="AU56" i="10"/>
  <c r="AV56" i="10"/>
  <c r="AT410" i="10"/>
  <c r="AU410" i="10"/>
  <c r="AV410" i="10"/>
  <c r="AU336" i="10"/>
  <c r="AT336" i="10"/>
  <c r="AV336" i="10"/>
  <c r="AT236" i="10"/>
  <c r="AU236" i="10"/>
  <c r="AV236" i="10"/>
  <c r="AU328" i="10"/>
  <c r="AT328" i="10"/>
  <c r="AV328" i="10"/>
  <c r="S12" i="5"/>
  <c r="R12" i="5"/>
  <c r="AQ116" i="5"/>
  <c r="AR116" i="5"/>
  <c r="AS116" i="5"/>
  <c r="AR382" i="5"/>
  <c r="AQ382" i="5"/>
  <c r="AS382" i="5"/>
  <c r="AQ388" i="5"/>
  <c r="AR388" i="5"/>
  <c r="AS388" i="5"/>
  <c r="AQ176" i="5"/>
  <c r="AR176" i="5"/>
  <c r="AS176" i="5"/>
  <c r="AR179" i="5"/>
  <c r="AQ179" i="5"/>
  <c r="AS179" i="5"/>
  <c r="AR330" i="5"/>
  <c r="AQ330" i="5"/>
  <c r="AS330" i="5"/>
  <c r="AR532" i="5"/>
  <c r="AQ532" i="5"/>
  <c r="AS532" i="5"/>
  <c r="AQ93" i="5"/>
  <c r="AR93" i="5"/>
  <c r="AS93" i="5"/>
  <c r="AR470" i="5"/>
  <c r="AQ470" i="5"/>
  <c r="AS470" i="5"/>
  <c r="AQ478" i="5"/>
  <c r="AR478" i="5"/>
  <c r="AS478" i="5"/>
  <c r="AR391" i="5"/>
  <c r="AQ391" i="5"/>
  <c r="AS391" i="5"/>
  <c r="AR78" i="5"/>
  <c r="AQ78" i="5"/>
  <c r="AS78" i="5"/>
  <c r="AQ119" i="5"/>
  <c r="AR119" i="5"/>
  <c r="AS119" i="5"/>
  <c r="AQ247" i="5"/>
  <c r="AR247" i="5"/>
  <c r="AS247" i="5"/>
  <c r="AU554" i="10"/>
  <c r="AT554" i="10"/>
  <c r="AV554" i="10"/>
  <c r="AU444" i="10"/>
  <c r="AT444" i="10"/>
  <c r="AV444" i="10"/>
  <c r="AU185" i="10"/>
  <c r="AT185" i="10"/>
  <c r="AV185" i="10"/>
  <c r="AU62" i="10"/>
  <c r="AT62" i="10"/>
  <c r="AV62" i="10"/>
  <c r="AT414" i="10"/>
  <c r="AU414" i="10"/>
  <c r="AV414" i="10"/>
  <c r="AU340" i="10"/>
  <c r="AT340" i="10"/>
  <c r="AV340" i="10"/>
  <c r="AT208" i="10"/>
  <c r="AU208" i="10"/>
  <c r="AV208" i="10"/>
  <c r="AU88" i="10"/>
  <c r="AT88" i="10"/>
  <c r="AV88" i="10"/>
  <c r="AT200" i="10"/>
  <c r="AU200" i="10"/>
  <c r="AV200" i="10"/>
  <c r="AQ94" i="5"/>
  <c r="AR94" i="5"/>
  <c r="AS94" i="5"/>
  <c r="AQ289" i="5"/>
  <c r="AR289" i="5"/>
  <c r="AS289" i="5"/>
  <c r="AQ471" i="5"/>
  <c r="AR471" i="5"/>
  <c r="AS471" i="5"/>
  <c r="AR268" i="5"/>
  <c r="AQ268" i="5"/>
  <c r="AS268" i="5"/>
  <c r="AR392" i="5"/>
  <c r="AQ392" i="5"/>
  <c r="AS392" i="5"/>
  <c r="AQ353" i="5"/>
  <c r="AR353" i="5"/>
  <c r="AS353" i="5"/>
  <c r="AQ464" i="5"/>
  <c r="AR464" i="5"/>
  <c r="AS464" i="5"/>
  <c r="AQ12" i="10"/>
  <c r="AR12" i="10"/>
  <c r="AR426" i="5"/>
  <c r="AQ426" i="5"/>
  <c r="AS426" i="5"/>
  <c r="AR491" i="5"/>
  <c r="AQ491" i="5"/>
  <c r="AS491" i="5"/>
  <c r="AR99" i="5"/>
  <c r="AQ99" i="5"/>
  <c r="AS99" i="5"/>
  <c r="AQ528" i="5"/>
  <c r="AR528" i="5"/>
  <c r="AS528" i="5"/>
  <c r="AT542" i="10"/>
  <c r="AU542" i="10"/>
  <c r="AV542" i="10"/>
  <c r="AU397" i="10"/>
  <c r="AT397" i="10"/>
  <c r="AV397" i="10"/>
  <c r="AU237" i="10"/>
  <c r="AT237" i="10"/>
  <c r="AV237" i="10"/>
  <c r="AU131" i="10"/>
  <c r="AT131" i="10"/>
  <c r="AV131" i="10"/>
  <c r="AU35" i="10"/>
  <c r="AT35" i="10"/>
  <c r="AV35" i="10"/>
  <c r="AU515" i="10"/>
  <c r="AT515" i="10"/>
  <c r="AV515" i="10"/>
  <c r="AU342" i="10"/>
  <c r="AT342" i="10"/>
  <c r="AV342" i="10"/>
  <c r="AT339" i="10"/>
  <c r="AU339" i="10"/>
  <c r="AV339" i="10"/>
  <c r="AU148" i="10"/>
  <c r="AT148" i="10"/>
  <c r="AV148" i="10"/>
  <c r="AA13" i="5"/>
  <c r="AB13" i="5"/>
  <c r="AU548" i="10"/>
  <c r="AT548" i="10"/>
  <c r="AV548" i="10"/>
  <c r="AT374" i="10"/>
  <c r="AU374" i="10"/>
  <c r="AV374" i="10"/>
  <c r="AU202" i="10"/>
  <c r="AT202" i="10"/>
  <c r="AV202" i="10"/>
  <c r="AU136" i="10"/>
  <c r="AT136" i="10"/>
  <c r="AV136" i="10"/>
  <c r="AU138" i="10"/>
  <c r="AT138" i="10"/>
  <c r="AV138" i="10"/>
  <c r="AU57" i="10"/>
  <c r="AT57" i="10"/>
  <c r="AV57" i="10"/>
  <c r="AU389" i="10"/>
  <c r="AT389" i="10"/>
  <c r="AV389" i="10"/>
  <c r="AT63" i="10"/>
  <c r="AU63" i="10"/>
  <c r="AV63" i="10"/>
  <c r="AQ45" i="5"/>
  <c r="AR45" i="5"/>
  <c r="AS45" i="5"/>
  <c r="AQ29" i="5"/>
  <c r="AR29" i="5"/>
  <c r="AS29" i="5"/>
  <c r="AQ77" i="5"/>
  <c r="AR77" i="5"/>
  <c r="AS77" i="5"/>
  <c r="AR367" i="5"/>
  <c r="AQ367" i="5"/>
  <c r="AS367" i="5"/>
  <c r="AR485" i="5"/>
  <c r="AQ485" i="5"/>
  <c r="AS485" i="5"/>
  <c r="AQ317" i="5"/>
  <c r="AR317" i="5"/>
  <c r="AS317" i="5"/>
  <c r="AR407" i="5"/>
  <c r="AQ407" i="5"/>
  <c r="AS407" i="5"/>
  <c r="AQ64" i="5"/>
  <c r="AR64" i="5"/>
  <c r="AS64" i="5"/>
  <c r="AR302" i="5"/>
  <c r="AQ302" i="5"/>
  <c r="AS302" i="5"/>
  <c r="AR494" i="5"/>
  <c r="AQ494" i="5"/>
  <c r="AS494" i="5"/>
  <c r="AQ305" i="5"/>
  <c r="AR305" i="5"/>
  <c r="AS305" i="5"/>
  <c r="AR552" i="5"/>
  <c r="AQ552" i="5"/>
  <c r="AS552" i="5"/>
  <c r="AT109" i="10"/>
  <c r="AU109" i="10"/>
  <c r="AV109" i="10"/>
  <c r="AR428" i="5"/>
  <c r="AQ428" i="5"/>
  <c r="AS428" i="5"/>
  <c r="AT176" i="10"/>
  <c r="AU176" i="10"/>
  <c r="AV176" i="10"/>
  <c r="AQ343" i="5"/>
  <c r="AR343" i="5"/>
  <c r="AS343" i="5"/>
  <c r="AR296" i="5"/>
  <c r="AQ296" i="5"/>
  <c r="AS296" i="5"/>
  <c r="AU213" i="10"/>
  <c r="AT213" i="10"/>
  <c r="AV213" i="10"/>
  <c r="AQ59" i="5"/>
  <c r="AR59" i="5"/>
  <c r="AS59" i="5"/>
  <c r="AU326" i="10"/>
  <c r="AT326" i="10"/>
  <c r="AV326" i="10"/>
  <c r="AQ187" i="5"/>
  <c r="AR187" i="5"/>
  <c r="AS187" i="5"/>
  <c r="AT261" i="10"/>
  <c r="AU261" i="10"/>
  <c r="AV261" i="10"/>
  <c r="AQ445" i="5"/>
  <c r="AR445" i="5"/>
  <c r="AS445" i="5"/>
  <c r="AR228" i="5"/>
  <c r="AQ228" i="5"/>
  <c r="AS228" i="5"/>
  <c r="AU209" i="10"/>
  <c r="AT209" i="10"/>
  <c r="AV209" i="10"/>
  <c r="AQ161" i="5"/>
  <c r="AR161" i="5"/>
  <c r="AS161" i="5"/>
  <c r="AQ58" i="5"/>
  <c r="AR58" i="5"/>
  <c r="AS58" i="5"/>
  <c r="AT549" i="10"/>
  <c r="AU549" i="10"/>
  <c r="AV549" i="10"/>
  <c r="AT390" i="10"/>
  <c r="AU390" i="10"/>
  <c r="AV390" i="10"/>
  <c r="AU368" i="10"/>
  <c r="AT368" i="10"/>
  <c r="AV368" i="10"/>
  <c r="AU165" i="10"/>
  <c r="AT165" i="10"/>
  <c r="AV165" i="10"/>
  <c r="AU479" i="10"/>
  <c r="AT479" i="10"/>
  <c r="AV479" i="10"/>
  <c r="AT426" i="10"/>
  <c r="AU426" i="10"/>
  <c r="AV426" i="10"/>
  <c r="AU352" i="10"/>
  <c r="AT352" i="10"/>
  <c r="AV352" i="10"/>
  <c r="AT220" i="10"/>
  <c r="AU220" i="10"/>
  <c r="AV220" i="10"/>
  <c r="AU70" i="10"/>
  <c r="AT70" i="10"/>
  <c r="AV70" i="10"/>
  <c r="AU71" i="10"/>
  <c r="AT71" i="10"/>
  <c r="AV71" i="10"/>
  <c r="AT77" i="10"/>
  <c r="AU77" i="10"/>
  <c r="AV77" i="10"/>
  <c r="AT66" i="10"/>
  <c r="AU66" i="10"/>
  <c r="AV66" i="10"/>
  <c r="AQ221" i="5"/>
  <c r="AR221" i="5"/>
  <c r="AS221" i="5"/>
  <c r="AQ197" i="5"/>
  <c r="AR197" i="5"/>
  <c r="AS197" i="5"/>
  <c r="AQ111" i="5"/>
  <c r="AR111" i="5"/>
  <c r="AS111" i="5"/>
  <c r="AQ435" i="5"/>
  <c r="AR435" i="5"/>
  <c r="AS435" i="5"/>
  <c r="AW478" i="10"/>
  <c r="AX478" i="10"/>
  <c r="AU221" i="10"/>
  <c r="AT221" i="10"/>
  <c r="AV221" i="10"/>
  <c r="AX184" i="10"/>
  <c r="AW184" i="10"/>
  <c r="AT545" i="10"/>
  <c r="AU545" i="10"/>
  <c r="AV545" i="10"/>
  <c r="AU356" i="10"/>
  <c r="AT356" i="10"/>
  <c r="AV356" i="10"/>
  <c r="AT224" i="10"/>
  <c r="AU224" i="10"/>
  <c r="AV224" i="10"/>
  <c r="AU72" i="10"/>
  <c r="AT72" i="10"/>
  <c r="AV72" i="10"/>
  <c r="AU74" i="10"/>
  <c r="AT74" i="10"/>
  <c r="AV74" i="10"/>
  <c r="AT81" i="10"/>
  <c r="AU81" i="10"/>
  <c r="AV81" i="10"/>
  <c r="AU419" i="10"/>
  <c r="AT419" i="10"/>
  <c r="AV419" i="10"/>
  <c r="AU305" i="10"/>
  <c r="AT305" i="10"/>
  <c r="AV305" i="10"/>
  <c r="AQ61" i="5"/>
  <c r="AR61" i="5"/>
  <c r="AS61" i="5"/>
  <c r="AR380" i="5"/>
  <c r="AQ380" i="5"/>
  <c r="AS380" i="5"/>
  <c r="AR559" i="5"/>
  <c r="AQ559" i="5"/>
  <c r="AS559" i="5"/>
  <c r="AQ425" i="5"/>
  <c r="AR425" i="5"/>
  <c r="AS425" i="5"/>
  <c r="AR54" i="5"/>
  <c r="AQ54" i="5"/>
  <c r="AS54" i="5"/>
  <c r="AT541" i="10"/>
  <c r="AU541" i="10"/>
  <c r="AV541" i="10"/>
  <c r="AT259" i="10"/>
  <c r="AU259" i="10"/>
  <c r="AV259" i="10"/>
  <c r="AQ433" i="5"/>
  <c r="AR433" i="5"/>
  <c r="AS433" i="5"/>
  <c r="AU413" i="10"/>
  <c r="AT413" i="10"/>
  <c r="AV413" i="10"/>
  <c r="AU442" i="10"/>
  <c r="AT442" i="10"/>
  <c r="AV442" i="10"/>
  <c r="AU118" i="10"/>
  <c r="AT118" i="10"/>
  <c r="AV118" i="10"/>
  <c r="AU28" i="10"/>
  <c r="AT28" i="10"/>
  <c r="AV28" i="10"/>
  <c r="AT433" i="10"/>
  <c r="AU433" i="10"/>
  <c r="AV433" i="10"/>
  <c r="AU349" i="10"/>
  <c r="AT349" i="10"/>
  <c r="AV349" i="10"/>
  <c r="AU186" i="10"/>
  <c r="AT186" i="10"/>
  <c r="AV186" i="10"/>
  <c r="AU152" i="10"/>
  <c r="AT152" i="10"/>
  <c r="AV152" i="10"/>
  <c r="AT366" i="10"/>
  <c r="AU366" i="10"/>
  <c r="AV366" i="10"/>
  <c r="AR332" i="5"/>
  <c r="AQ332" i="5"/>
  <c r="AS332" i="5"/>
  <c r="AR142" i="5"/>
  <c r="AQ142" i="5"/>
  <c r="AS142" i="5"/>
  <c r="AR336" i="5"/>
  <c r="AQ336" i="5"/>
  <c r="AS336" i="5"/>
  <c r="AQ279" i="5"/>
  <c r="AR279" i="5"/>
  <c r="AS279" i="5"/>
  <c r="AQ150" i="5"/>
  <c r="AR150" i="5"/>
  <c r="AS150" i="5"/>
  <c r="AR326" i="5"/>
  <c r="AQ326" i="5"/>
  <c r="AS326" i="5"/>
  <c r="AR215" i="5"/>
  <c r="AQ215" i="5"/>
  <c r="AS215" i="5"/>
  <c r="AR453" i="5"/>
  <c r="AQ453" i="5"/>
  <c r="AS453" i="5"/>
  <c r="AR362" i="5"/>
  <c r="AQ362" i="5"/>
  <c r="AS362" i="5"/>
  <c r="AR381" i="5"/>
  <c r="AQ381" i="5"/>
  <c r="AS381" i="5"/>
  <c r="AR503" i="5"/>
  <c r="AQ503" i="5"/>
  <c r="AS503" i="5"/>
  <c r="AR504" i="5"/>
  <c r="AQ504" i="5"/>
  <c r="AS504" i="5"/>
  <c r="AQ31" i="5"/>
  <c r="AR31" i="5"/>
  <c r="AS31" i="5"/>
  <c r="AR376" i="5"/>
  <c r="AQ376" i="5"/>
  <c r="AS376" i="5"/>
  <c r="AR441" i="5"/>
  <c r="AQ441" i="5"/>
  <c r="AS441" i="5"/>
  <c r="AQ206" i="5"/>
  <c r="AR206" i="5"/>
  <c r="AS206" i="5"/>
  <c r="AQ467" i="5"/>
  <c r="AR467" i="5"/>
  <c r="AS467" i="5"/>
  <c r="AQ355" i="5"/>
  <c r="AR355" i="5"/>
  <c r="AS355" i="5"/>
  <c r="AU381" i="10"/>
  <c r="AT381" i="10"/>
  <c r="AV381" i="10"/>
  <c r="AU449" i="10"/>
  <c r="AT449" i="10"/>
  <c r="AV449" i="10"/>
  <c r="AU86" i="10"/>
  <c r="AT86" i="10"/>
  <c r="AV86" i="10"/>
  <c r="AT93" i="10"/>
  <c r="AU93" i="10"/>
  <c r="AV93" i="10"/>
  <c r="AU399" i="10"/>
  <c r="AT399" i="10"/>
  <c r="AV399" i="10"/>
  <c r="AU317" i="10"/>
  <c r="AT317" i="10"/>
  <c r="AV317" i="10"/>
  <c r="AT240" i="10"/>
  <c r="AU240" i="10"/>
  <c r="AV240" i="10"/>
  <c r="AU120" i="10"/>
  <c r="AT120" i="10"/>
  <c r="AV120" i="10"/>
  <c r="AT375" i="10"/>
  <c r="AU375" i="10"/>
  <c r="AV375" i="10"/>
  <c r="Y12" i="5"/>
  <c r="X12" i="5"/>
  <c r="AQ37" i="5"/>
  <c r="AR37" i="5"/>
  <c r="AS37" i="5"/>
  <c r="AR429" i="5"/>
  <c r="AQ429" i="5"/>
  <c r="AS429" i="5"/>
  <c r="AR114" i="5"/>
  <c r="AQ114" i="5"/>
  <c r="AS114" i="5"/>
  <c r="AR233" i="5"/>
  <c r="AQ233" i="5"/>
  <c r="AS233" i="5"/>
  <c r="AR451" i="5"/>
  <c r="AQ451" i="5"/>
  <c r="AS451" i="5"/>
  <c r="AR164" i="5"/>
  <c r="AQ164" i="5"/>
  <c r="AS164" i="5"/>
  <c r="AT488" i="10"/>
  <c r="AU488" i="10"/>
  <c r="AV488" i="10"/>
  <c r="AU499" i="10"/>
  <c r="AT499" i="10"/>
  <c r="AV499" i="10"/>
  <c r="AT97" i="10"/>
  <c r="AU97" i="10"/>
  <c r="AV97" i="10"/>
  <c r="AU403" i="10"/>
  <c r="AT403" i="10"/>
  <c r="AV403" i="10"/>
  <c r="AU321" i="10"/>
  <c r="AT321" i="10"/>
  <c r="AV321" i="10"/>
  <c r="AU244" i="10"/>
  <c r="AT244" i="10"/>
  <c r="AV244" i="10"/>
  <c r="AU92" i="10"/>
  <c r="AT92" i="10"/>
  <c r="AV92" i="10"/>
  <c r="AU126" i="10"/>
  <c r="AT126" i="10"/>
  <c r="AV126" i="10"/>
  <c r="AU288" i="10"/>
  <c r="AT288" i="10"/>
  <c r="AV288" i="10"/>
  <c r="AR171" i="5"/>
  <c r="AQ171" i="5"/>
  <c r="AS171" i="5"/>
  <c r="AR292" i="5"/>
  <c r="AQ292" i="5"/>
  <c r="AS292" i="5"/>
  <c r="AR139" i="5"/>
  <c r="AQ139" i="5"/>
  <c r="AS139" i="5"/>
  <c r="AQ85" i="5"/>
  <c r="AR85" i="5"/>
  <c r="AS85" i="5"/>
  <c r="AR196" i="5"/>
  <c r="AQ196" i="5"/>
  <c r="AS196" i="5"/>
  <c r="AR199" i="5"/>
  <c r="AQ199" i="5"/>
  <c r="AS199" i="5"/>
  <c r="AQ398" i="5"/>
  <c r="AR398" i="5"/>
  <c r="AS398" i="5"/>
  <c r="AQ200" i="5"/>
  <c r="AR200" i="5"/>
  <c r="AS200" i="5"/>
  <c r="AI12" i="10"/>
  <c r="AH12" i="10"/>
  <c r="AR135" i="5"/>
  <c r="AQ135" i="5"/>
  <c r="AS135" i="5"/>
  <c r="AQ511" i="5"/>
  <c r="AR511" i="5"/>
  <c r="AS511" i="5"/>
  <c r="AW387" i="10"/>
  <c r="AX387" i="10"/>
  <c r="AR129" i="5"/>
  <c r="AQ129" i="5"/>
  <c r="AS129" i="5"/>
  <c r="AU490" i="10"/>
  <c r="AT490" i="10"/>
  <c r="AV490" i="10"/>
  <c r="AU519" i="10"/>
  <c r="AT519" i="10"/>
  <c r="AV519" i="10"/>
  <c r="AT167" i="10"/>
  <c r="AU167" i="10"/>
  <c r="AV167" i="10"/>
  <c r="AU58" i="10"/>
  <c r="AT58" i="10"/>
  <c r="AV58" i="10"/>
  <c r="AT550" i="10"/>
  <c r="AU550" i="10"/>
  <c r="AV550" i="10"/>
  <c r="AT392" i="10"/>
  <c r="AU392" i="10"/>
  <c r="AV392" i="10"/>
  <c r="AT343" i="10"/>
  <c r="AU343" i="10"/>
  <c r="AV343" i="10"/>
  <c r="AU363" i="10"/>
  <c r="AT363" i="10"/>
  <c r="AV363" i="10"/>
  <c r="AU116" i="10"/>
  <c r="AT116" i="10"/>
  <c r="AV116" i="10"/>
  <c r="S13" i="5"/>
  <c r="R13" i="5"/>
  <c r="AU7" i="10"/>
  <c r="AT7" i="10"/>
  <c r="AV7" i="10"/>
  <c r="AU477" i="10"/>
  <c r="AT477" i="10"/>
  <c r="AV477" i="10"/>
  <c r="AU238" i="10"/>
  <c r="AT238" i="10"/>
  <c r="AV238" i="10"/>
  <c r="AT172" i="10"/>
  <c r="AU172" i="10"/>
  <c r="AV172" i="10"/>
  <c r="AT205" i="10"/>
  <c r="AU205" i="10"/>
  <c r="AV205" i="10"/>
  <c r="AU133" i="10"/>
  <c r="AT133" i="10"/>
  <c r="AV133" i="10"/>
  <c r="AU405" i="10"/>
  <c r="AT405" i="10"/>
  <c r="AV405" i="10"/>
  <c r="AU306" i="10"/>
  <c r="AT306" i="10"/>
  <c r="AV306" i="10"/>
  <c r="AU107" i="10"/>
  <c r="AT107" i="10"/>
  <c r="AV107" i="10"/>
  <c r="AQ236" i="5"/>
  <c r="AR236" i="5"/>
  <c r="AS236" i="5"/>
  <c r="AR96" i="5"/>
  <c r="AQ96" i="5"/>
  <c r="AS96" i="5"/>
  <c r="AQ70" i="5"/>
  <c r="AR70" i="5"/>
  <c r="AS70" i="5"/>
  <c r="AQ167" i="5"/>
  <c r="AR167" i="5"/>
  <c r="AS167" i="5"/>
  <c r="AR321" i="5"/>
  <c r="AQ321" i="5"/>
  <c r="AS321" i="5"/>
  <c r="AR523" i="5"/>
  <c r="AQ523" i="5"/>
  <c r="AS523" i="5"/>
  <c r="AQ153" i="5"/>
  <c r="AR153" i="5"/>
  <c r="AS153" i="5"/>
  <c r="AR121" i="5"/>
  <c r="AQ121" i="5"/>
  <c r="AS121" i="5"/>
  <c r="AR260" i="5"/>
  <c r="AQ260" i="5"/>
  <c r="AS260" i="5"/>
  <c r="AQ525" i="5"/>
  <c r="AR525" i="5"/>
  <c r="AS525" i="5"/>
  <c r="AQ465" i="5"/>
  <c r="AR465" i="5"/>
  <c r="AS465" i="5"/>
  <c r="AQ237" i="5"/>
  <c r="AR237" i="5"/>
  <c r="AS237" i="5"/>
  <c r="AT440" i="10"/>
  <c r="AU440" i="10"/>
  <c r="AV440" i="10"/>
  <c r="AR106" i="5"/>
  <c r="AQ106" i="5"/>
  <c r="AS106" i="5"/>
  <c r="AR92" i="5"/>
  <c r="AQ92" i="5"/>
  <c r="AS92" i="5"/>
  <c r="AU526" i="10"/>
  <c r="AT526" i="10"/>
  <c r="AV526" i="10"/>
  <c r="AU278" i="10"/>
  <c r="AT278" i="10"/>
  <c r="AV278" i="10"/>
  <c r="AQ252" i="5"/>
  <c r="AR252" i="5"/>
  <c r="AS252" i="5"/>
  <c r="AX114" i="10"/>
  <c r="AW114" i="10"/>
  <c r="AU282" i="10"/>
  <c r="AT282" i="10"/>
  <c r="AV282" i="10"/>
  <c r="AU225" i="10"/>
  <c r="AT225" i="10"/>
  <c r="AV225" i="10"/>
  <c r="AU445" i="10"/>
  <c r="AT445" i="10"/>
  <c r="AV445" i="10"/>
  <c r="AQ23" i="5"/>
  <c r="AR23" i="5"/>
  <c r="AS23" i="5"/>
  <c r="AT235" i="10"/>
  <c r="AU235" i="10"/>
  <c r="AV235" i="10"/>
  <c r="AU436" i="10"/>
  <c r="AT436" i="10"/>
  <c r="AV436" i="10"/>
  <c r="AT543" i="10"/>
  <c r="AU543" i="10"/>
  <c r="AV543" i="10"/>
  <c r="AU333" i="10"/>
  <c r="AT333" i="10"/>
  <c r="AV333" i="10"/>
  <c r="AU170" i="10"/>
  <c r="AT170" i="10"/>
  <c r="AV170" i="10"/>
  <c r="AU104" i="10"/>
  <c r="AT104" i="10"/>
  <c r="AV104" i="10"/>
  <c r="AU106" i="10"/>
  <c r="AT106" i="10"/>
  <c r="AV106" i="10"/>
  <c r="AU59" i="10"/>
  <c r="AT59" i="10"/>
  <c r="AV59" i="10"/>
  <c r="AT451" i="10"/>
  <c r="AU451" i="10"/>
  <c r="AV451" i="10"/>
  <c r="AT55" i="10"/>
  <c r="AU55" i="10"/>
  <c r="AV55" i="10"/>
  <c r="AR49" i="5"/>
  <c r="AQ49" i="5"/>
  <c r="AS49" i="5"/>
  <c r="AQ81" i="5"/>
  <c r="AR81" i="5"/>
  <c r="AS81" i="5"/>
  <c r="AQ91" i="5"/>
  <c r="AR91" i="5"/>
  <c r="AS91" i="5"/>
  <c r="AR538" i="5"/>
  <c r="AQ538" i="5"/>
  <c r="AS538" i="5"/>
  <c r="AQ352" i="5"/>
  <c r="AR352" i="5"/>
  <c r="AS352" i="5"/>
  <c r="AR110" i="5"/>
  <c r="AQ110" i="5"/>
  <c r="AS110" i="5"/>
  <c r="AR457" i="5"/>
  <c r="AQ457" i="5"/>
  <c r="AS457" i="5"/>
  <c r="AR419" i="5"/>
  <c r="AQ419" i="5"/>
  <c r="AS419" i="5"/>
  <c r="AX47" i="10"/>
  <c r="AW47" i="10"/>
  <c r="AR306" i="5"/>
  <c r="AQ306" i="5"/>
  <c r="AS306" i="5"/>
  <c r="AR366" i="5"/>
  <c r="AQ366" i="5"/>
  <c r="AS366" i="5"/>
  <c r="AS12" i="10"/>
  <c r="AU475" i="10"/>
  <c r="AT475" i="10"/>
  <c r="AV475" i="10"/>
  <c r="AT174" i="10"/>
  <c r="AU174" i="10"/>
  <c r="AV174" i="10"/>
  <c r="AU108" i="10"/>
  <c r="AT108" i="10"/>
  <c r="AV108" i="10"/>
  <c r="AU110" i="10"/>
  <c r="AT110" i="10"/>
  <c r="AV110" i="10"/>
  <c r="AT30" i="10"/>
  <c r="AU30" i="10"/>
  <c r="AV30" i="10"/>
  <c r="AU423" i="10"/>
  <c r="AT423" i="10"/>
  <c r="AV423" i="10"/>
  <c r="AT382" i="10"/>
  <c r="AU382" i="10"/>
  <c r="AV382" i="10"/>
  <c r="AT275" i="10"/>
  <c r="AU275" i="10"/>
  <c r="AV275" i="10"/>
  <c r="AR277" i="5"/>
  <c r="AQ277" i="5"/>
  <c r="AS277" i="5"/>
  <c r="AQ34" i="5"/>
  <c r="AR34" i="5"/>
  <c r="AS34" i="5"/>
  <c r="AR240" i="5"/>
  <c r="AQ240" i="5"/>
  <c r="AS240" i="5"/>
  <c r="AR97" i="5"/>
  <c r="AQ97" i="5"/>
  <c r="AS97" i="5"/>
  <c r="AR208" i="5"/>
  <c r="AQ208" i="5"/>
  <c r="AS208" i="5"/>
  <c r="AR339" i="5"/>
  <c r="AQ339" i="5"/>
  <c r="AS339" i="5"/>
  <c r="AQ324" i="5"/>
  <c r="AR324" i="5"/>
  <c r="AS324" i="5"/>
  <c r="AR396" i="5"/>
  <c r="AQ396" i="5"/>
  <c r="AS396" i="5"/>
  <c r="AR154" i="5"/>
  <c r="AQ154" i="5"/>
  <c r="AS154" i="5"/>
  <c r="AQ385" i="5"/>
  <c r="AR385" i="5"/>
  <c r="AS385" i="5"/>
  <c r="AQ230" i="5"/>
  <c r="AR230" i="5"/>
  <c r="AS230" i="5"/>
  <c r="AR191" i="5"/>
  <c r="AQ191" i="5"/>
  <c r="AS191" i="5"/>
  <c r="AR480" i="5"/>
  <c r="AQ480" i="5"/>
  <c r="AS480" i="5"/>
  <c r="AR278" i="5"/>
  <c r="AQ278" i="5"/>
  <c r="AS278" i="5"/>
  <c r="AQ466" i="5"/>
  <c r="AR466" i="5"/>
  <c r="AS466" i="5"/>
  <c r="AT10" i="10"/>
  <c r="AU10" i="10"/>
  <c r="AV10" i="10"/>
  <c r="AW471" i="10"/>
  <c r="AX471" i="10"/>
  <c r="AT323" i="10"/>
  <c r="AU323" i="10"/>
  <c r="AV323" i="10"/>
  <c r="AU173" i="10"/>
  <c r="AT173" i="10"/>
  <c r="AV173" i="10"/>
  <c r="AQ349" i="5"/>
  <c r="AR349" i="5"/>
  <c r="AS349" i="5"/>
  <c r="AR241" i="5"/>
  <c r="AQ241" i="5"/>
  <c r="AS241" i="5"/>
  <c r="AR189" i="5"/>
  <c r="AQ189" i="5"/>
  <c r="AS189" i="5"/>
  <c r="AV13" i="10"/>
  <c r="AD13" i="10"/>
  <c r="AE13" i="10"/>
  <c r="AU513" i="10"/>
  <c r="AT513" i="10"/>
  <c r="AV513" i="10"/>
  <c r="AU534" i="10"/>
  <c r="AT534" i="10"/>
  <c r="AV534" i="10"/>
  <c r="AT113" i="10"/>
  <c r="AU113" i="10"/>
  <c r="AV113" i="10"/>
  <c r="AU468" i="10"/>
  <c r="AT468" i="10"/>
  <c r="AV468" i="10"/>
  <c r="AU254" i="10"/>
  <c r="AT254" i="10"/>
  <c r="AV254" i="10"/>
  <c r="AU222" i="10"/>
  <c r="AT222" i="10"/>
  <c r="AV222" i="10"/>
  <c r="AU156" i="10"/>
  <c r="AT156" i="10"/>
  <c r="AV156" i="10"/>
  <c r="AT223" i="10"/>
  <c r="AU223" i="10"/>
  <c r="AV223" i="10"/>
  <c r="AT335" i="10"/>
  <c r="AU335" i="10"/>
  <c r="AV335" i="10"/>
  <c r="AQ137" i="5"/>
  <c r="AR137" i="5"/>
  <c r="AS137" i="5"/>
  <c r="AQ184" i="5"/>
  <c r="AR184" i="5"/>
  <c r="AS184" i="5"/>
  <c r="AQ335" i="5"/>
  <c r="AR335" i="5"/>
  <c r="AS335" i="5"/>
  <c r="AR515" i="5"/>
  <c r="AQ515" i="5"/>
  <c r="AS515" i="5"/>
  <c r="AQ529" i="5"/>
  <c r="AR529" i="5"/>
  <c r="AS529" i="5"/>
  <c r="AQ444" i="5"/>
  <c r="AR444" i="5"/>
  <c r="AS444" i="5"/>
  <c r="AQ322" i="5"/>
  <c r="AR322" i="5"/>
  <c r="AS322" i="5"/>
  <c r="AR213" i="5"/>
  <c r="AQ213" i="5"/>
  <c r="AS213" i="5"/>
  <c r="AQ397" i="5"/>
  <c r="AR397" i="5"/>
  <c r="AS397" i="5"/>
  <c r="AR475" i="5"/>
  <c r="AQ475" i="5"/>
  <c r="AS475" i="5"/>
  <c r="AU505" i="10"/>
  <c r="AT505" i="10"/>
  <c r="AV505" i="10"/>
  <c r="AU530" i="10"/>
  <c r="AT530" i="10"/>
  <c r="AV530" i="10"/>
  <c r="AU45" i="10"/>
  <c r="AT45" i="10"/>
  <c r="AV45" i="10"/>
  <c r="AT437" i="10"/>
  <c r="AU437" i="10"/>
  <c r="AV437" i="10"/>
  <c r="AU353" i="10"/>
  <c r="AT353" i="10"/>
  <c r="AV353" i="10"/>
  <c r="AU190" i="10"/>
  <c r="AT190" i="10"/>
  <c r="AV190" i="10"/>
  <c r="AU124" i="10"/>
  <c r="AT124" i="10"/>
  <c r="AV124" i="10"/>
  <c r="AU158" i="10"/>
  <c r="AT158" i="10"/>
  <c r="AV158" i="10"/>
  <c r="AU360" i="10"/>
  <c r="AT360" i="10"/>
  <c r="AV360" i="10"/>
  <c r="AP12" i="5"/>
  <c r="AI12" i="5"/>
  <c r="AH12" i="5"/>
  <c r="AQ192" i="5"/>
  <c r="AR192" i="5"/>
  <c r="AS192" i="5"/>
  <c r="AR207" i="5"/>
  <c r="AQ207" i="5"/>
  <c r="AS207" i="5"/>
  <c r="AR33" i="5"/>
  <c r="AQ33" i="5"/>
  <c r="AS33" i="5"/>
  <c r="AR344" i="5"/>
  <c r="AQ344" i="5"/>
  <c r="AS344" i="5"/>
  <c r="AQ338" i="5"/>
  <c r="AR338" i="5"/>
  <c r="AS338" i="5"/>
  <c r="AQ513" i="5"/>
  <c r="AR513" i="5"/>
  <c r="AS513" i="5"/>
  <c r="AR47" i="5"/>
  <c r="AQ47" i="5"/>
  <c r="AS47" i="5"/>
  <c r="AQ436" i="5"/>
  <c r="AR436" i="5"/>
  <c r="AS436" i="5"/>
  <c r="AQ270" i="5"/>
  <c r="AR270" i="5"/>
  <c r="AS270" i="5"/>
  <c r="AR422" i="5"/>
  <c r="AQ422" i="5"/>
  <c r="AS422" i="5"/>
  <c r="AQ337" i="5"/>
  <c r="AR337" i="5"/>
  <c r="AS337" i="5"/>
  <c r="AQ202" i="5"/>
  <c r="AR202" i="5"/>
  <c r="AS202" i="5"/>
  <c r="AQ39" i="5"/>
  <c r="AR39" i="5"/>
  <c r="AS39" i="5"/>
  <c r="AQ505" i="5"/>
  <c r="AR505" i="5"/>
  <c r="AS505" i="5"/>
  <c r="AR474" i="5"/>
  <c r="AQ474" i="5"/>
  <c r="AS474" i="5"/>
  <c r="AQ390" i="5"/>
  <c r="AR390" i="5"/>
  <c r="AS390" i="5"/>
  <c r="AR160" i="5"/>
  <c r="AQ160" i="5"/>
  <c r="AS160" i="5"/>
  <c r="AR52" i="5"/>
  <c r="AQ52" i="5"/>
  <c r="AS52" i="5"/>
  <c r="AU377" i="10"/>
  <c r="AT377" i="10"/>
  <c r="AV377" i="10"/>
  <c r="AU441" i="10"/>
  <c r="AT441" i="10"/>
  <c r="AV441" i="10"/>
  <c r="AT439" i="10"/>
  <c r="AU439" i="10"/>
  <c r="AV439" i="10"/>
  <c r="AU357" i="10"/>
  <c r="AT357" i="10"/>
  <c r="AV357" i="10"/>
  <c r="AU194" i="10"/>
  <c r="AT194" i="10"/>
  <c r="AV194" i="10"/>
  <c r="AU128" i="10"/>
  <c r="AT128" i="10"/>
  <c r="AV128" i="10"/>
  <c r="AU130" i="10"/>
  <c r="AT130" i="10"/>
  <c r="AV130" i="10"/>
  <c r="AT121" i="10"/>
  <c r="AU121" i="10"/>
  <c r="AV121" i="10"/>
  <c r="AQ439" i="5"/>
  <c r="AR439" i="5"/>
  <c r="AS439" i="5"/>
  <c r="AQ19" i="5"/>
  <c r="AR19" i="5"/>
  <c r="AS19" i="5"/>
  <c r="AQ251" i="5"/>
  <c r="AR251" i="5"/>
  <c r="AS251" i="5"/>
  <c r="AR130" i="5"/>
  <c r="AQ130" i="5"/>
  <c r="AS130" i="5"/>
  <c r="AR412" i="5"/>
  <c r="AQ412" i="5"/>
  <c r="AS412" i="5"/>
  <c r="AQ377" i="5"/>
  <c r="AR377" i="5"/>
  <c r="AS377" i="5"/>
  <c r="AQ535" i="5"/>
  <c r="AR535" i="5"/>
  <c r="AS535" i="5"/>
  <c r="AQ10" i="5"/>
  <c r="AR10" i="5"/>
  <c r="AS10" i="5"/>
  <c r="V12" i="10"/>
  <c r="U12" i="10"/>
  <c r="AC12" i="10"/>
  <c r="AR319" i="5"/>
  <c r="AQ319" i="5"/>
  <c r="AS319" i="5"/>
  <c r="AQ311" i="5"/>
  <c r="AR311" i="5"/>
  <c r="AS311" i="5"/>
  <c r="AT557" i="10"/>
  <c r="AU557" i="10"/>
  <c r="AV557" i="10"/>
  <c r="AU425" i="10"/>
  <c r="AT425" i="10"/>
  <c r="AV425" i="10"/>
  <c r="AT91" i="10"/>
  <c r="AU91" i="10"/>
  <c r="AV91" i="10"/>
  <c r="AT36" i="10"/>
  <c r="AU36" i="10"/>
  <c r="AV36" i="10"/>
  <c r="AT428" i="10"/>
  <c r="AU428" i="10"/>
  <c r="AV428" i="10"/>
  <c r="AU308" i="10"/>
  <c r="AT308" i="10"/>
  <c r="AV308" i="10"/>
  <c r="AU364" i="10"/>
  <c r="AT364" i="10"/>
  <c r="AV364" i="10"/>
  <c r="AU292" i="10"/>
  <c r="AT292" i="10"/>
  <c r="AV292" i="10"/>
  <c r="AT84" i="10"/>
  <c r="AU84" i="10"/>
  <c r="AV84" i="10"/>
  <c r="Y13" i="5"/>
  <c r="X13" i="5"/>
  <c r="AU528" i="10"/>
  <c r="AT528" i="10"/>
  <c r="AV528" i="10"/>
  <c r="AU559" i="10"/>
  <c r="AT559" i="10"/>
  <c r="AV559" i="10"/>
  <c r="AU207" i="10"/>
  <c r="AT207" i="10"/>
  <c r="AV207" i="10"/>
  <c r="AT243" i="10"/>
  <c r="AU243" i="10"/>
  <c r="AV243" i="10"/>
  <c r="AT46" i="10"/>
  <c r="AU46" i="10"/>
  <c r="AV46" i="10"/>
  <c r="AT504" i="10"/>
  <c r="AU504" i="10"/>
  <c r="AV504" i="10"/>
  <c r="AU310" i="10"/>
  <c r="AT310" i="10"/>
  <c r="AV310" i="10"/>
  <c r="AU307" i="10"/>
  <c r="AT307" i="10"/>
  <c r="AV307" i="10"/>
  <c r="AT219" i="10"/>
  <c r="AU219" i="10"/>
  <c r="AV219" i="10"/>
  <c r="AQ263" i="5"/>
  <c r="AR263" i="5"/>
  <c r="AS263" i="5"/>
  <c r="AR508" i="5"/>
  <c r="AQ508" i="5"/>
  <c r="AS508" i="5"/>
  <c r="AQ271" i="5"/>
  <c r="AR271" i="5"/>
  <c r="AS271" i="5"/>
  <c r="AQ408" i="5"/>
  <c r="AR408" i="5"/>
  <c r="AS408" i="5"/>
  <c r="AQ354" i="5"/>
  <c r="AR354" i="5"/>
  <c r="AS354" i="5"/>
  <c r="AX484" i="10"/>
  <c r="AW484" i="10"/>
  <c r="AU322" i="10"/>
  <c r="AT322" i="10"/>
  <c r="AV322" i="10"/>
  <c r="AX250" i="10"/>
  <c r="AW250" i="10"/>
  <c r="AR152" i="5"/>
  <c r="AQ152" i="5"/>
  <c r="AS152" i="5"/>
  <c r="AR284" i="5"/>
  <c r="AQ284" i="5"/>
  <c r="AS284" i="5"/>
  <c r="AX188" i="10" l="1"/>
  <c r="AW20" i="10"/>
  <c r="AX503" i="10"/>
  <c r="AW253" i="10"/>
  <c r="AW446" i="10"/>
  <c r="AW523" i="10"/>
  <c r="AW415" i="10"/>
  <c r="AW359" i="10"/>
  <c r="AX533" i="10"/>
  <c r="AX218" i="10"/>
  <c r="AW39" i="10"/>
  <c r="AW111" i="10"/>
  <c r="AW286" i="10"/>
  <c r="AX497" i="10"/>
  <c r="AX560" i="10"/>
  <c r="AX276" i="10"/>
  <c r="AW358" i="10"/>
  <c r="AW289" i="10"/>
  <c r="AW150" i="10"/>
  <c r="AX391" i="10"/>
  <c r="AX112" i="10"/>
  <c r="AX464" i="10"/>
  <c r="AW33" i="10"/>
  <c r="AT377" i="5"/>
  <c r="AU377" i="5"/>
  <c r="AW526" i="10"/>
  <c r="AX526" i="10"/>
  <c r="AW58" i="10"/>
  <c r="AX58" i="10"/>
  <c r="AU429" i="5"/>
  <c r="AT429" i="5"/>
  <c r="AT336" i="5"/>
  <c r="AU336" i="5"/>
  <c r="AW479" i="10"/>
  <c r="AX479" i="10"/>
  <c r="AX237" i="10"/>
  <c r="AW237" i="10"/>
  <c r="AX507" i="10"/>
  <c r="AW507" i="10"/>
  <c r="AW268" i="10"/>
  <c r="AX268" i="10"/>
  <c r="AU232" i="5"/>
  <c r="AT232" i="5"/>
  <c r="AU26" i="5"/>
  <c r="AT26" i="5"/>
  <c r="AT493" i="5"/>
  <c r="AU493" i="5"/>
  <c r="AW369" i="10"/>
  <c r="AX369" i="10"/>
  <c r="AU75" i="5"/>
  <c r="AT75" i="5"/>
  <c r="AW469" i="10"/>
  <c r="AX469" i="10"/>
  <c r="AW481" i="10"/>
  <c r="AX481" i="10"/>
  <c r="AU354" i="5"/>
  <c r="AT354" i="5"/>
  <c r="AW121" i="10"/>
  <c r="AX121" i="10"/>
  <c r="AT508" i="5"/>
  <c r="AU508" i="5"/>
  <c r="AT412" i="5"/>
  <c r="AU412" i="5"/>
  <c r="AX307" i="10"/>
  <c r="AW307" i="10"/>
  <c r="AW364" i="10"/>
  <c r="AX364" i="10"/>
  <c r="AU319" i="5"/>
  <c r="AT319" i="5"/>
  <c r="AT19" i="5"/>
  <c r="AU19" i="5"/>
  <c r="AX441" i="10"/>
  <c r="AW441" i="10"/>
  <c r="AU202" i="5"/>
  <c r="AT202" i="5"/>
  <c r="AU344" i="5"/>
  <c r="AT344" i="5"/>
  <c r="AX190" i="10"/>
  <c r="AW190" i="10"/>
  <c r="AT213" i="5"/>
  <c r="AU213" i="5"/>
  <c r="AW335" i="10"/>
  <c r="AX335" i="10"/>
  <c r="AW513" i="10"/>
  <c r="AX513" i="10"/>
  <c r="AU480" i="5"/>
  <c r="AT480" i="5"/>
  <c r="AT208" i="5"/>
  <c r="AU208" i="5"/>
  <c r="AX30" i="10"/>
  <c r="AW30" i="10"/>
  <c r="AU366" i="5"/>
  <c r="AT366" i="5"/>
  <c r="AU110" i="5"/>
  <c r="AT110" i="5"/>
  <c r="AW59" i="10"/>
  <c r="AX59" i="10"/>
  <c r="AT23" i="5"/>
  <c r="AU23" i="5"/>
  <c r="AT121" i="5"/>
  <c r="AU121" i="5"/>
  <c r="AX107" i="10"/>
  <c r="AW107" i="10"/>
  <c r="AX7" i="10"/>
  <c r="AW7" i="10"/>
  <c r="AX363" i="10"/>
  <c r="AW363" i="10"/>
  <c r="AU129" i="5"/>
  <c r="AT129" i="5"/>
  <c r="AT135" i="5"/>
  <c r="AU135" i="5"/>
  <c r="AU398" i="5"/>
  <c r="AT398" i="5"/>
  <c r="AX126" i="10"/>
  <c r="AW126" i="10"/>
  <c r="AU164" i="5"/>
  <c r="AT164" i="5"/>
  <c r="AX399" i="10"/>
  <c r="AW399" i="10"/>
  <c r="AT441" i="5"/>
  <c r="AU441" i="5"/>
  <c r="AU215" i="5"/>
  <c r="AT215" i="5"/>
  <c r="AW152" i="10"/>
  <c r="AX152" i="10"/>
  <c r="AU433" i="5"/>
  <c r="AT433" i="5"/>
  <c r="AX541" i="10"/>
  <c r="AW541" i="10"/>
  <c r="AX81" i="10"/>
  <c r="AW81" i="10"/>
  <c r="AW70" i="10"/>
  <c r="AX70" i="10"/>
  <c r="AX549" i="10"/>
  <c r="AW549" i="10"/>
  <c r="AX213" i="10"/>
  <c r="AW213" i="10"/>
  <c r="AU64" i="5"/>
  <c r="AT64" i="5"/>
  <c r="AX63" i="10"/>
  <c r="AW63" i="10"/>
  <c r="AX342" i="10"/>
  <c r="AW342" i="10"/>
  <c r="AT99" i="5"/>
  <c r="AU99" i="5"/>
  <c r="AW200" i="10"/>
  <c r="AX200" i="10"/>
  <c r="AX554" i="10"/>
  <c r="AW554" i="10"/>
  <c r="AT532" i="5"/>
  <c r="AU532" i="5"/>
  <c r="AX410" i="10"/>
  <c r="AW410" i="10"/>
  <c r="AU427" i="5"/>
  <c r="AT427" i="5"/>
  <c r="AT283" i="5"/>
  <c r="AU283" i="5"/>
  <c r="AX80" i="10"/>
  <c r="AW80" i="10"/>
  <c r="AU267" i="5"/>
  <c r="AT267" i="5"/>
  <c r="AX169" i="10"/>
  <c r="AW169" i="10"/>
  <c r="AT218" i="5"/>
  <c r="AU218" i="5"/>
  <c r="AT24" i="5"/>
  <c r="AU24" i="5"/>
  <c r="AU458" i="5"/>
  <c r="AT458" i="5"/>
  <c r="AU394" i="5"/>
  <c r="AT394" i="5"/>
  <c r="AU416" i="5"/>
  <c r="AT416" i="5"/>
  <c r="AW102" i="10"/>
  <c r="AX102" i="10"/>
  <c r="AW455" i="10"/>
  <c r="AX455" i="10"/>
  <c r="AU40" i="5"/>
  <c r="AT40" i="5"/>
  <c r="AT520" i="5"/>
  <c r="AU520" i="5"/>
  <c r="AU32" i="5"/>
  <c r="AT32" i="5"/>
  <c r="AX424" i="10"/>
  <c r="AW424" i="10"/>
  <c r="AT68" i="5"/>
  <c r="AU68" i="5"/>
  <c r="AT516" i="5"/>
  <c r="AU516" i="5"/>
  <c r="AW83" i="10"/>
  <c r="AX83" i="10"/>
  <c r="AT481" i="5"/>
  <c r="AU481" i="5"/>
  <c r="AT414" i="5"/>
  <c r="AU414" i="5"/>
  <c r="AW49" i="10"/>
  <c r="AX49" i="10"/>
  <c r="AT348" i="5"/>
  <c r="AU348" i="5"/>
  <c r="AU178" i="5"/>
  <c r="AT178" i="5"/>
  <c r="AX355" i="10"/>
  <c r="AW355" i="10"/>
  <c r="AT103" i="5"/>
  <c r="AU103" i="5"/>
  <c r="AX99" i="10"/>
  <c r="AW99" i="10"/>
  <c r="AT424" i="5"/>
  <c r="AU424" i="5"/>
  <c r="AW42" i="10"/>
  <c r="AX42" i="10"/>
  <c r="AU22" i="5"/>
  <c r="AT22" i="5"/>
  <c r="AW69" i="10"/>
  <c r="AX69" i="10"/>
  <c r="AX201" i="10"/>
  <c r="AW201" i="10"/>
  <c r="AT448" i="5"/>
  <c r="AU448" i="5"/>
  <c r="AT84" i="5"/>
  <c r="AU84" i="5"/>
  <c r="AW388" i="10"/>
  <c r="AX388" i="10"/>
  <c r="AT555" i="5"/>
  <c r="AU555" i="5"/>
  <c r="AX416" i="10"/>
  <c r="AW416" i="10"/>
  <c r="AT492" i="5"/>
  <c r="AU492" i="5"/>
  <c r="AU542" i="5"/>
  <c r="AT542" i="5"/>
  <c r="AW371" i="10"/>
  <c r="AX371" i="10"/>
  <c r="AT51" i="5"/>
  <c r="AU51" i="5"/>
  <c r="AW354" i="10"/>
  <c r="AX354" i="10"/>
  <c r="AU521" i="5"/>
  <c r="AT521" i="5"/>
  <c r="AU131" i="5"/>
  <c r="AT131" i="5"/>
  <c r="AX23" i="10"/>
  <c r="AW23" i="10"/>
  <c r="AU359" i="5"/>
  <c r="AT359" i="5"/>
  <c r="AT259" i="5"/>
  <c r="AU259" i="5"/>
  <c r="AU303" i="5"/>
  <c r="AT303" i="5"/>
  <c r="AW434" i="10"/>
  <c r="AX434" i="10"/>
  <c r="AX132" i="10"/>
  <c r="AW132" i="10"/>
  <c r="AU63" i="5"/>
  <c r="AT63" i="5"/>
  <c r="AX127" i="10"/>
  <c r="AW127" i="10"/>
  <c r="AU518" i="5"/>
  <c r="AT518" i="5"/>
  <c r="AT98" i="5"/>
  <c r="AU98" i="5"/>
  <c r="AW431" i="10"/>
  <c r="AX431" i="10"/>
  <c r="AU400" i="5"/>
  <c r="AT400" i="5"/>
  <c r="AX41" i="10"/>
  <c r="AW41" i="10"/>
  <c r="AT540" i="5"/>
  <c r="AU540" i="5"/>
  <c r="AU104" i="5"/>
  <c r="AT104" i="5"/>
  <c r="AW553" i="10"/>
  <c r="AX553" i="10"/>
  <c r="AT328" i="5"/>
  <c r="AU328" i="5"/>
  <c r="AW473" i="10"/>
  <c r="AX473" i="10"/>
  <c r="AT177" i="5"/>
  <c r="AU177" i="5"/>
  <c r="AX536" i="10"/>
  <c r="AW536" i="10"/>
  <c r="AT447" i="5"/>
  <c r="AU447" i="5"/>
  <c r="AX273" i="10"/>
  <c r="AW273" i="10"/>
  <c r="AX472" i="10"/>
  <c r="AW472" i="10"/>
  <c r="AT299" i="5"/>
  <c r="AU299" i="5"/>
  <c r="AX509" i="10"/>
  <c r="AW509" i="10"/>
  <c r="AQ13" i="5"/>
  <c r="AR13" i="5"/>
  <c r="AW296" i="10"/>
  <c r="AX296" i="10"/>
  <c r="AT307" i="5"/>
  <c r="AU307" i="5"/>
  <c r="AU341" i="5"/>
  <c r="AT341" i="5"/>
  <c r="AX262" i="10"/>
  <c r="AW262" i="10"/>
  <c r="AU212" i="5"/>
  <c r="AT212" i="5"/>
  <c r="AT314" i="5"/>
  <c r="AU314" i="5"/>
  <c r="AX153" i="10"/>
  <c r="AW153" i="10"/>
  <c r="AU66" i="5"/>
  <c r="AT66" i="5"/>
  <c r="AU378" i="5"/>
  <c r="AT378" i="5"/>
  <c r="AX192" i="10"/>
  <c r="AW192" i="10"/>
  <c r="AT156" i="5"/>
  <c r="AU156" i="5"/>
  <c r="AW144" i="10"/>
  <c r="AX144" i="10"/>
  <c r="AU517" i="5"/>
  <c r="AT517" i="5"/>
  <c r="AW456" i="10"/>
  <c r="AX456" i="10"/>
  <c r="AT143" i="5"/>
  <c r="AU143" i="5"/>
  <c r="AX91" i="10"/>
  <c r="AW91" i="10"/>
  <c r="AT515" i="5"/>
  <c r="AU515" i="5"/>
  <c r="AT154" i="5"/>
  <c r="AU154" i="5"/>
  <c r="AX205" i="10"/>
  <c r="AW205" i="10"/>
  <c r="AT221" i="5"/>
  <c r="AU221" i="5"/>
  <c r="AU428" i="5"/>
  <c r="AT428" i="5"/>
  <c r="AU268" i="5"/>
  <c r="AT268" i="5"/>
  <c r="AU123" i="5"/>
  <c r="AT123" i="5"/>
  <c r="AU219" i="5"/>
  <c r="AT219" i="5"/>
  <c r="AT262" i="5"/>
  <c r="AU262" i="5"/>
  <c r="AT74" i="5"/>
  <c r="AU74" i="5"/>
  <c r="AX65" i="10"/>
  <c r="AW65" i="10"/>
  <c r="AW251" i="10"/>
  <c r="AX251" i="10"/>
  <c r="AU290" i="5"/>
  <c r="AT290" i="5"/>
  <c r="AT284" i="5"/>
  <c r="AU284" i="5"/>
  <c r="AU160" i="5"/>
  <c r="AT160" i="5"/>
  <c r="AT529" i="5"/>
  <c r="AU529" i="5"/>
  <c r="AU241" i="5"/>
  <c r="AT241" i="5"/>
  <c r="AW170" i="10"/>
  <c r="AX170" i="10"/>
  <c r="AW282" i="10"/>
  <c r="AX282" i="10"/>
  <c r="AW278" i="10"/>
  <c r="AX278" i="10"/>
  <c r="AT321" i="5"/>
  <c r="AU321" i="5"/>
  <c r="AX133" i="10"/>
  <c r="AW133" i="10"/>
  <c r="AX550" i="10"/>
  <c r="AW550" i="10"/>
  <c r="AU85" i="5"/>
  <c r="AT85" i="5"/>
  <c r="AW321" i="10"/>
  <c r="AX321" i="10"/>
  <c r="AT114" i="5"/>
  <c r="AU114" i="5"/>
  <c r="AW449" i="10"/>
  <c r="AX449" i="10"/>
  <c r="AT504" i="5"/>
  <c r="AU504" i="5"/>
  <c r="AU279" i="5"/>
  <c r="AT279" i="5"/>
  <c r="AX433" i="10"/>
  <c r="AW433" i="10"/>
  <c r="AT559" i="5"/>
  <c r="AU559" i="5"/>
  <c r="AX224" i="10"/>
  <c r="AW224" i="10"/>
  <c r="AT197" i="5"/>
  <c r="AU197" i="5"/>
  <c r="AW426" i="10"/>
  <c r="AX426" i="10"/>
  <c r="AW209" i="10"/>
  <c r="AX209" i="10"/>
  <c r="AT445" i="5"/>
  <c r="AU445" i="5"/>
  <c r="AX176" i="10"/>
  <c r="AW176" i="10"/>
  <c r="AX109" i="10"/>
  <c r="AW109" i="10"/>
  <c r="AT485" i="5"/>
  <c r="AU485" i="5"/>
  <c r="AW138" i="10"/>
  <c r="AX138" i="10"/>
  <c r="AX131" i="10"/>
  <c r="AW131" i="10"/>
  <c r="AT392" i="5"/>
  <c r="AU392" i="5"/>
  <c r="AX340" i="10"/>
  <c r="AW340" i="10"/>
  <c r="AT78" i="5"/>
  <c r="AU78" i="5"/>
  <c r="AT176" i="5"/>
  <c r="AU176" i="5"/>
  <c r="AX284" i="10"/>
  <c r="AW284" i="10"/>
  <c r="AT163" i="5"/>
  <c r="AU163" i="5"/>
  <c r="AW182" i="10"/>
  <c r="AX182" i="10"/>
  <c r="AT166" i="5"/>
  <c r="AU166" i="5"/>
  <c r="AW320" i="10"/>
  <c r="AX320" i="10"/>
  <c r="AT539" i="5"/>
  <c r="AU539" i="5"/>
  <c r="AX73" i="10"/>
  <c r="AW73" i="10"/>
  <c r="AT468" i="5"/>
  <c r="AU468" i="5"/>
  <c r="AU149" i="5"/>
  <c r="AT149" i="5"/>
  <c r="AU446" i="5"/>
  <c r="AT446" i="5"/>
  <c r="AW329" i="10"/>
  <c r="AX329" i="10"/>
  <c r="AX203" i="10"/>
  <c r="AW203" i="10"/>
  <c r="AU489" i="5"/>
  <c r="AT489" i="5"/>
  <c r="AT69" i="5"/>
  <c r="AU69" i="5"/>
  <c r="AW252" i="10"/>
  <c r="AX252" i="10"/>
  <c r="AT224" i="5"/>
  <c r="AU224" i="5"/>
  <c r="AT162" i="5"/>
  <c r="AU162" i="5"/>
  <c r="AW448" i="10"/>
  <c r="AX448" i="10"/>
  <c r="AT527" i="5"/>
  <c r="AU527" i="5"/>
  <c r="AU203" i="5"/>
  <c r="AT203" i="5"/>
  <c r="AX196" i="10"/>
  <c r="AW196" i="10"/>
  <c r="AT534" i="5"/>
  <c r="AU534" i="5"/>
  <c r="AT186" i="5"/>
  <c r="AU186" i="5"/>
  <c r="AX516" i="10"/>
  <c r="AW516" i="10"/>
  <c r="AT342" i="5"/>
  <c r="AU342" i="5"/>
  <c r="AW351" i="10"/>
  <c r="AX351" i="10"/>
  <c r="AW265" i="10"/>
  <c r="AX265" i="10"/>
  <c r="AW215" i="10"/>
  <c r="AX215" i="10"/>
  <c r="AW137" i="10"/>
  <c r="AX137" i="10"/>
  <c r="AU546" i="5"/>
  <c r="AT546" i="5"/>
  <c r="AW348" i="10"/>
  <c r="AX348" i="10"/>
  <c r="AX266" i="10"/>
  <c r="AW266" i="10"/>
  <c r="AT536" i="5"/>
  <c r="AU536" i="5"/>
  <c r="AX163" i="10"/>
  <c r="AW163" i="10"/>
  <c r="AT502" i="5"/>
  <c r="AU502" i="5"/>
  <c r="AW159" i="10"/>
  <c r="AX159" i="10"/>
  <c r="AU46" i="5"/>
  <c r="AT46" i="5"/>
  <c r="AX402" i="10"/>
  <c r="AW402" i="10"/>
  <c r="AU28" i="5"/>
  <c r="AT28" i="5"/>
  <c r="AT83" i="5"/>
  <c r="AU83" i="5"/>
  <c r="AW462" i="10"/>
  <c r="AX462" i="10"/>
  <c r="AU510" i="5"/>
  <c r="AT510" i="5"/>
  <c r="AX175" i="10"/>
  <c r="AW175" i="10"/>
  <c r="AU499" i="5"/>
  <c r="AT499" i="5"/>
  <c r="AT557" i="5"/>
  <c r="AU557" i="5"/>
  <c r="AT544" i="5"/>
  <c r="AU544" i="5"/>
  <c r="AX50" i="10"/>
  <c r="AW50" i="10"/>
  <c r="AW486" i="10"/>
  <c r="AX486" i="10"/>
  <c r="AW443" i="10"/>
  <c r="AX443" i="10"/>
  <c r="AU431" i="5"/>
  <c r="AT431" i="5"/>
  <c r="AX496" i="10"/>
  <c r="AW496" i="10"/>
  <c r="AU409" i="5"/>
  <c r="AT409" i="5"/>
  <c r="AX22" i="10"/>
  <c r="AW22" i="10"/>
  <c r="AT180" i="5"/>
  <c r="AU180" i="5"/>
  <c r="AU227" i="5"/>
  <c r="AT227" i="5"/>
  <c r="AX327" i="10"/>
  <c r="AW327" i="10"/>
  <c r="AT297" i="5"/>
  <c r="AU297" i="5"/>
  <c r="AW217" i="10"/>
  <c r="AX217" i="10"/>
  <c r="AT222" i="5"/>
  <c r="AU222" i="5"/>
  <c r="AT553" i="5"/>
  <c r="AU553" i="5"/>
  <c r="AW281" i="10"/>
  <c r="AX281" i="10"/>
  <c r="AT558" i="5"/>
  <c r="AU558" i="5"/>
  <c r="AW122" i="10"/>
  <c r="AX122" i="10"/>
  <c r="AX535" i="10"/>
  <c r="AW535" i="10"/>
  <c r="AX98" i="10"/>
  <c r="AW98" i="10"/>
  <c r="AU242" i="5"/>
  <c r="AT242" i="5"/>
  <c r="AT36" i="5"/>
  <c r="AU36" i="5"/>
  <c r="AW544" i="10"/>
  <c r="AX544" i="10"/>
  <c r="AT43" i="5"/>
  <c r="AU43" i="5"/>
  <c r="AT487" i="5"/>
  <c r="AU487" i="5"/>
  <c r="AU101" i="5"/>
  <c r="AT101" i="5"/>
  <c r="AX491" i="10"/>
  <c r="AW491" i="10"/>
  <c r="AW418" i="10"/>
  <c r="AX418" i="10"/>
  <c r="AU107" i="5"/>
  <c r="AT107" i="5"/>
  <c r="AT38" i="5"/>
  <c r="AU38" i="5"/>
  <c r="AW241" i="10"/>
  <c r="AX241" i="10"/>
  <c r="AU560" i="5"/>
  <c r="AT560" i="5"/>
  <c r="AT463" i="5"/>
  <c r="AU463" i="5"/>
  <c r="AX226" i="10"/>
  <c r="AW226" i="10"/>
  <c r="AT351" i="5"/>
  <c r="AU351" i="5"/>
  <c r="AT484" i="5"/>
  <c r="AU484" i="5"/>
  <c r="AW474" i="10"/>
  <c r="AX474" i="10"/>
  <c r="AU411" i="5"/>
  <c r="AT411" i="5"/>
  <c r="AX245" i="10"/>
  <c r="AW245" i="10"/>
  <c r="AU460" i="5"/>
  <c r="AT460" i="5"/>
  <c r="AT79" i="5"/>
  <c r="AU79" i="5"/>
  <c r="AX140" i="10"/>
  <c r="AW140" i="10"/>
  <c r="AU264" i="5"/>
  <c r="AT264" i="5"/>
  <c r="AT124" i="5"/>
  <c r="AU124" i="5"/>
  <c r="AT436" i="5"/>
  <c r="AU436" i="5"/>
  <c r="AT277" i="5"/>
  <c r="AU277" i="5"/>
  <c r="AT237" i="5"/>
  <c r="AU237" i="5"/>
  <c r="AT503" i="5"/>
  <c r="AU503" i="5"/>
  <c r="AU552" i="5"/>
  <c r="AT552" i="5"/>
  <c r="AW414" i="10"/>
  <c r="AX414" i="10"/>
  <c r="AT495" i="5"/>
  <c r="AU495" i="5"/>
  <c r="AW269" i="10"/>
  <c r="AX269" i="10"/>
  <c r="AW384" i="10"/>
  <c r="AX384" i="10"/>
  <c r="AW453" i="10"/>
  <c r="AX453" i="10"/>
  <c r="AX400" i="10"/>
  <c r="AW400" i="10"/>
  <c r="AU204" i="5"/>
  <c r="AT204" i="5"/>
  <c r="AT387" i="5"/>
  <c r="AU387" i="5"/>
  <c r="AX504" i="10"/>
  <c r="AW504" i="10"/>
  <c r="AX322" i="10"/>
  <c r="AW322" i="10"/>
  <c r="AX46" i="10"/>
  <c r="AW46" i="10"/>
  <c r="AT535" i="5"/>
  <c r="AU535" i="5"/>
  <c r="AU192" i="5"/>
  <c r="AT192" i="5"/>
  <c r="AT385" i="5"/>
  <c r="AU385" i="5"/>
  <c r="AW174" i="10"/>
  <c r="AX174" i="10"/>
  <c r="AX84" i="10"/>
  <c r="AW84" i="10"/>
  <c r="AX357" i="10"/>
  <c r="AW357" i="10"/>
  <c r="AU513" i="5"/>
  <c r="AT513" i="5"/>
  <c r="AW158" i="10"/>
  <c r="AX158" i="10"/>
  <c r="AT475" i="5"/>
  <c r="AU475" i="5"/>
  <c r="AU184" i="5"/>
  <c r="AT184" i="5"/>
  <c r="AX113" i="10"/>
  <c r="AW113" i="10"/>
  <c r="AW323" i="10"/>
  <c r="AX323" i="10"/>
  <c r="AT466" i="5"/>
  <c r="AU466" i="5"/>
  <c r="AT324" i="5"/>
  <c r="AU324" i="5"/>
  <c r="AX382" i="10"/>
  <c r="AW382" i="10"/>
  <c r="AU419" i="5"/>
  <c r="AT419" i="5"/>
  <c r="AX55" i="10"/>
  <c r="AW55" i="10"/>
  <c r="AW436" i="10"/>
  <c r="AX436" i="10"/>
  <c r="AT106" i="5"/>
  <c r="AU106" i="5"/>
  <c r="AT525" i="5"/>
  <c r="AU525" i="5"/>
  <c r="AU96" i="5"/>
  <c r="AT96" i="5"/>
  <c r="AX238" i="10"/>
  <c r="AW238" i="10"/>
  <c r="AX519" i="10"/>
  <c r="AW519" i="10"/>
  <c r="AU171" i="5"/>
  <c r="AT171" i="5"/>
  <c r="AW499" i="10"/>
  <c r="AX499" i="10"/>
  <c r="AW240" i="10"/>
  <c r="AX240" i="10"/>
  <c r="AU467" i="5"/>
  <c r="AT467" i="5"/>
  <c r="AT362" i="5"/>
  <c r="AU362" i="5"/>
  <c r="AU332" i="5"/>
  <c r="AT332" i="5"/>
  <c r="AW442" i="10"/>
  <c r="AX442" i="10"/>
  <c r="AX305" i="10"/>
  <c r="AW305" i="10"/>
  <c r="AX77" i="10"/>
  <c r="AW77" i="10"/>
  <c r="AW368" i="10"/>
  <c r="AX368" i="10"/>
  <c r="AW326" i="10"/>
  <c r="AX326" i="10"/>
  <c r="AU494" i="5"/>
  <c r="AT494" i="5"/>
  <c r="AU29" i="5"/>
  <c r="AT29" i="5"/>
  <c r="AX374" i="10"/>
  <c r="AW374" i="10"/>
  <c r="AW148" i="10"/>
  <c r="AX148" i="10"/>
  <c r="AW542" i="10"/>
  <c r="AX542" i="10"/>
  <c r="AU289" i="5"/>
  <c r="AT289" i="5"/>
  <c r="AW185" i="10"/>
  <c r="AX185" i="10"/>
  <c r="AT470" i="5"/>
  <c r="AU470" i="5"/>
  <c r="AU116" i="5"/>
  <c r="AT116" i="5"/>
  <c r="AW236" i="10"/>
  <c r="AX236" i="10"/>
  <c r="AU117" i="5"/>
  <c r="AT117" i="5"/>
  <c r="AU220" i="5"/>
  <c r="AT220" i="5"/>
  <c r="AW89" i="10"/>
  <c r="AX89" i="10"/>
  <c r="AW189" i="10"/>
  <c r="AX189" i="10"/>
  <c r="AW485" i="10"/>
  <c r="AX485" i="10"/>
  <c r="AU389" i="5"/>
  <c r="AT389" i="5"/>
  <c r="AU393" i="5"/>
  <c r="AT393" i="5"/>
  <c r="AW385" i="10"/>
  <c r="AX385" i="10"/>
  <c r="AT358" i="5"/>
  <c r="AU358" i="5"/>
  <c r="AX249" i="10"/>
  <c r="AW249" i="10"/>
  <c r="AX95" i="10"/>
  <c r="AW95" i="10"/>
  <c r="AW180" i="10"/>
  <c r="AX180" i="10"/>
  <c r="AT477" i="5"/>
  <c r="AU477" i="5"/>
  <c r="AT209" i="5"/>
  <c r="AU209" i="5"/>
  <c r="AW204" i="10"/>
  <c r="AX204" i="10"/>
  <c r="AU272" i="5"/>
  <c r="AT272" i="5"/>
  <c r="AT275" i="5"/>
  <c r="AU275" i="5"/>
  <c r="AX420" i="10"/>
  <c r="AW420" i="10"/>
  <c r="AU454" i="5"/>
  <c r="AT454" i="5"/>
  <c r="AT512" i="5"/>
  <c r="AU512" i="5"/>
  <c r="AW309" i="10"/>
  <c r="AX309" i="10"/>
  <c r="AU333" i="5"/>
  <c r="AT333" i="5"/>
  <c r="AT174" i="5"/>
  <c r="AU174" i="5"/>
  <c r="AX183" i="10"/>
  <c r="AW183" i="10"/>
  <c r="AT201" i="5"/>
  <c r="AU201" i="5"/>
  <c r="AU401" i="5"/>
  <c r="AT401" i="5"/>
  <c r="AT127" i="5"/>
  <c r="AU127" i="5"/>
  <c r="AW493" i="10"/>
  <c r="AX493" i="10"/>
  <c r="AW195" i="10"/>
  <c r="AX195" i="10"/>
  <c r="AT169" i="5"/>
  <c r="AU169" i="5"/>
  <c r="AX546" i="10"/>
  <c r="AW546" i="10"/>
  <c r="AX489" i="10"/>
  <c r="AW489" i="10"/>
  <c r="AU486" i="5"/>
  <c r="AT486" i="5"/>
  <c r="AX178" i="10"/>
  <c r="AW178" i="10"/>
  <c r="AW547" i="10"/>
  <c r="AX547" i="10"/>
  <c r="AU356" i="5"/>
  <c r="AT356" i="5"/>
  <c r="AW514" i="10"/>
  <c r="AX514" i="10"/>
  <c r="AU371" i="5"/>
  <c r="AT371" i="5"/>
  <c r="AX191" i="10"/>
  <c r="AW191" i="10"/>
  <c r="AU88" i="5"/>
  <c r="AT88" i="5"/>
  <c r="AW255" i="10"/>
  <c r="AX255" i="10"/>
  <c r="AU151" i="5"/>
  <c r="AT151" i="5"/>
  <c r="AX350" i="10"/>
  <c r="AW350" i="10"/>
  <c r="AU239" i="5"/>
  <c r="AT239" i="5"/>
  <c r="AT90" i="5"/>
  <c r="AU90" i="5"/>
  <c r="AT231" i="5"/>
  <c r="AU231" i="5"/>
  <c r="AW367" i="10"/>
  <c r="AX367" i="10"/>
  <c r="AW54" i="10"/>
  <c r="AX54" i="10"/>
  <c r="AT112" i="5"/>
  <c r="AU112" i="5"/>
  <c r="AT459" i="5"/>
  <c r="AU459" i="5"/>
  <c r="AW502" i="10"/>
  <c r="AX502" i="10"/>
  <c r="AU82" i="5"/>
  <c r="AT82" i="5"/>
  <c r="AU286" i="5"/>
  <c r="AT286" i="5"/>
  <c r="AW297" i="10"/>
  <c r="AX297" i="10"/>
  <c r="AT312" i="5"/>
  <c r="AU312" i="5"/>
  <c r="AW378" i="10"/>
  <c r="AX378" i="10"/>
  <c r="AX408" i="10"/>
  <c r="AW408" i="10"/>
  <c r="AT100" i="5"/>
  <c r="AU100" i="5"/>
  <c r="AX501" i="10"/>
  <c r="AW501" i="10"/>
  <c r="AU449" i="5"/>
  <c r="AT449" i="5"/>
  <c r="AW61" i="10"/>
  <c r="AX61" i="10"/>
  <c r="AT250" i="5"/>
  <c r="AU250" i="5"/>
  <c r="AW347" i="10"/>
  <c r="AX347" i="10"/>
  <c r="AW407" i="10"/>
  <c r="AX407" i="10"/>
  <c r="AT198" i="5"/>
  <c r="AU198" i="5"/>
  <c r="AT432" i="5"/>
  <c r="AU432" i="5"/>
  <c r="AU141" i="5"/>
  <c r="AT141" i="5"/>
  <c r="AT50" i="5"/>
  <c r="AU50" i="5"/>
  <c r="AX311" i="10"/>
  <c r="AW311" i="10"/>
  <c r="AX90" i="10"/>
  <c r="AW90" i="10"/>
  <c r="AW457" i="10"/>
  <c r="AX457" i="10"/>
  <c r="AU413" i="5"/>
  <c r="AT413" i="5"/>
  <c r="AW164" i="10"/>
  <c r="AX164" i="10"/>
  <c r="AT301" i="5"/>
  <c r="AU301" i="5"/>
  <c r="AT479" i="5"/>
  <c r="AU479" i="5"/>
  <c r="AX470" i="10"/>
  <c r="AW470" i="10"/>
  <c r="AU522" i="5"/>
  <c r="AT522" i="5"/>
  <c r="AX37" i="10"/>
  <c r="AW37" i="10"/>
  <c r="AT541" i="5"/>
  <c r="AU541" i="5"/>
  <c r="AW427" i="10"/>
  <c r="AX427" i="10"/>
  <c r="AU173" i="5"/>
  <c r="AT173" i="5"/>
  <c r="AX105" i="10"/>
  <c r="AW105" i="10"/>
  <c r="AU67" i="5"/>
  <c r="AT67" i="5"/>
  <c r="AU315" i="5"/>
  <c r="AT315" i="5"/>
  <c r="AW31" i="10"/>
  <c r="AX31" i="10"/>
  <c r="AW11" i="10"/>
  <c r="AX11" i="10"/>
  <c r="AT406" i="5"/>
  <c r="AU406" i="5"/>
  <c r="AT132" i="5"/>
  <c r="AU132" i="5"/>
  <c r="AT271" i="5"/>
  <c r="AU271" i="5"/>
  <c r="AU390" i="5"/>
  <c r="AT390" i="5"/>
  <c r="AT349" i="5"/>
  <c r="AU349" i="5"/>
  <c r="AW475" i="10"/>
  <c r="AX475" i="10"/>
  <c r="AU167" i="5"/>
  <c r="AT167" i="5"/>
  <c r="AW381" i="10"/>
  <c r="AX381" i="10"/>
  <c r="AX356" i="10"/>
  <c r="AW356" i="10"/>
  <c r="AX261" i="10"/>
  <c r="AW261" i="10"/>
  <c r="AX136" i="10"/>
  <c r="AW136" i="10"/>
  <c r="AU318" i="5"/>
  <c r="AT318" i="5"/>
  <c r="AT476" i="5"/>
  <c r="AU476" i="5"/>
  <c r="AU373" i="5"/>
  <c r="AT373" i="5"/>
  <c r="AX24" i="10"/>
  <c r="AW24" i="10"/>
  <c r="AT55" i="5"/>
  <c r="AU55" i="5"/>
  <c r="AX373" i="10"/>
  <c r="AW373" i="10"/>
  <c r="AW362" i="10"/>
  <c r="AX362" i="10"/>
  <c r="AU408" i="5"/>
  <c r="AT408" i="5"/>
  <c r="AX36" i="10"/>
  <c r="AW36" i="10"/>
  <c r="AW130" i="10"/>
  <c r="AX130" i="10"/>
  <c r="AT270" i="5"/>
  <c r="AU270" i="5"/>
  <c r="AX45" i="10"/>
  <c r="AW45" i="10"/>
  <c r="AW222" i="10"/>
  <c r="AX222" i="10"/>
  <c r="AT34" i="5"/>
  <c r="AU34" i="5"/>
  <c r="AT91" i="5"/>
  <c r="AU91" i="5"/>
  <c r="AT263" i="5"/>
  <c r="AU263" i="5"/>
  <c r="AX559" i="10"/>
  <c r="AW559" i="10"/>
  <c r="AX557" i="10"/>
  <c r="AW557" i="10"/>
  <c r="AU130" i="5"/>
  <c r="AT130" i="5"/>
  <c r="AT505" i="5"/>
  <c r="AU505" i="5"/>
  <c r="AW310" i="10"/>
  <c r="AX310" i="10"/>
  <c r="AW308" i="10"/>
  <c r="AX308" i="10"/>
  <c r="AV12" i="10"/>
  <c r="AD12" i="10"/>
  <c r="AE12" i="10"/>
  <c r="AT439" i="5"/>
  <c r="AU439" i="5"/>
  <c r="AX377" i="10"/>
  <c r="AW377" i="10"/>
  <c r="AT337" i="5"/>
  <c r="AU337" i="5"/>
  <c r="AT33" i="5"/>
  <c r="AU33" i="5"/>
  <c r="AX353" i="10"/>
  <c r="AW353" i="10"/>
  <c r="AT322" i="5"/>
  <c r="AU322" i="5"/>
  <c r="AX223" i="10"/>
  <c r="AW223" i="10"/>
  <c r="AU191" i="5"/>
  <c r="AT191" i="5"/>
  <c r="AU97" i="5"/>
  <c r="AT97" i="5"/>
  <c r="AX110" i="10"/>
  <c r="AW110" i="10"/>
  <c r="AU306" i="5"/>
  <c r="AT306" i="5"/>
  <c r="AU352" i="5"/>
  <c r="AT352" i="5"/>
  <c r="AW106" i="10"/>
  <c r="AX106" i="10"/>
  <c r="AX445" i="10"/>
  <c r="AW445" i="10"/>
  <c r="AU153" i="5"/>
  <c r="AT153" i="5"/>
  <c r="AX306" i="10"/>
  <c r="AW306" i="10"/>
  <c r="AW343" i="10"/>
  <c r="AX343" i="10"/>
  <c r="AT199" i="5"/>
  <c r="AU199" i="5"/>
  <c r="AW92" i="10"/>
  <c r="AX92" i="10"/>
  <c r="AT451" i="5"/>
  <c r="AU451" i="5"/>
  <c r="AX93" i="10"/>
  <c r="AW93" i="10"/>
  <c r="AU376" i="5"/>
  <c r="AT376" i="5"/>
  <c r="AT326" i="5"/>
  <c r="AU326" i="5"/>
  <c r="AW186" i="10"/>
  <c r="AX186" i="10"/>
  <c r="AX259" i="10"/>
  <c r="AW259" i="10"/>
  <c r="AU54" i="5"/>
  <c r="AT54" i="5"/>
  <c r="AW74" i="10"/>
  <c r="AX74" i="10"/>
  <c r="AU435" i="5"/>
  <c r="AT435" i="5"/>
  <c r="AX220" i="10"/>
  <c r="AW220" i="10"/>
  <c r="AT58" i="5"/>
  <c r="AU58" i="5"/>
  <c r="AT296" i="5"/>
  <c r="AU296" i="5"/>
  <c r="AT407" i="5"/>
  <c r="AU407" i="5"/>
  <c r="AX389" i="10"/>
  <c r="AW389" i="10"/>
  <c r="AX515" i="10"/>
  <c r="AW515" i="10"/>
  <c r="AT491" i="5"/>
  <c r="AU491" i="5"/>
  <c r="AU464" i="5"/>
  <c r="AT464" i="5"/>
  <c r="AX88" i="10"/>
  <c r="AW88" i="10"/>
  <c r="AT247" i="5"/>
  <c r="AU247" i="5"/>
  <c r="AT330" i="5"/>
  <c r="AU330" i="5"/>
  <c r="AW56" i="10"/>
  <c r="AX56" i="10"/>
  <c r="AT95" i="5"/>
  <c r="AU95" i="5"/>
  <c r="AT80" i="5"/>
  <c r="AU80" i="5"/>
  <c r="AX527" i="10"/>
  <c r="AW527" i="10"/>
  <c r="AU554" i="5"/>
  <c r="AT554" i="5"/>
  <c r="AW272" i="10"/>
  <c r="AX272" i="10"/>
  <c r="AT509" i="5"/>
  <c r="AU509" i="5"/>
  <c r="AU155" i="5"/>
  <c r="AT155" i="5"/>
  <c r="AU194" i="5"/>
  <c r="AT194" i="5"/>
  <c r="AX277" i="10"/>
  <c r="AW277" i="10"/>
  <c r="AU383" i="5"/>
  <c r="AT383" i="5"/>
  <c r="AX100" i="10"/>
  <c r="AW100" i="10"/>
  <c r="AW376" i="10"/>
  <c r="AX376" i="10"/>
  <c r="AU325" i="5"/>
  <c r="AT325" i="5"/>
  <c r="AT327" i="5"/>
  <c r="AU327" i="5"/>
  <c r="AT148" i="5"/>
  <c r="AU148" i="5"/>
  <c r="AW29" i="10"/>
  <c r="AX29" i="10"/>
  <c r="AU543" i="5"/>
  <c r="AT543" i="5"/>
  <c r="AU181" i="5"/>
  <c r="AT181" i="5"/>
  <c r="AX248" i="10"/>
  <c r="AW248" i="10"/>
  <c r="AU193" i="5"/>
  <c r="AT193" i="5"/>
  <c r="AT165" i="5"/>
  <c r="AU165" i="5"/>
  <c r="AW177" i="10"/>
  <c r="AX177" i="10"/>
  <c r="AX214" i="10"/>
  <c r="AW214" i="10"/>
  <c r="AT410" i="5"/>
  <c r="AU410" i="5"/>
  <c r="AT30" i="5"/>
  <c r="AU30" i="5"/>
  <c r="AX404" i="10"/>
  <c r="AW404" i="10"/>
  <c r="AU379" i="5"/>
  <c r="AT379" i="5"/>
  <c r="AX179" i="10"/>
  <c r="AW179" i="10"/>
  <c r="AU537" i="5"/>
  <c r="AT537" i="5"/>
  <c r="AT345" i="5"/>
  <c r="AU345" i="5"/>
  <c r="AU157" i="5"/>
  <c r="AT157" i="5"/>
  <c r="AX68" i="10"/>
  <c r="AW68" i="10"/>
  <c r="AW168" i="10"/>
  <c r="AX168" i="10"/>
  <c r="AU234" i="5"/>
  <c r="AT234" i="5"/>
  <c r="AW538" i="10"/>
  <c r="AX538" i="10"/>
  <c r="AT434" i="5"/>
  <c r="AU434" i="5"/>
  <c r="AX520" i="10"/>
  <c r="AW520" i="10"/>
  <c r="AU257" i="5"/>
  <c r="AT257" i="5"/>
  <c r="AT214" i="5"/>
  <c r="AU214" i="5"/>
  <c r="AW511" i="10"/>
  <c r="AX511" i="10"/>
  <c r="AU281" i="5"/>
  <c r="AT281" i="5"/>
  <c r="AX521" i="10"/>
  <c r="AW521" i="10"/>
  <c r="AT316" i="5"/>
  <c r="AU316" i="5"/>
  <c r="AU288" i="5"/>
  <c r="AT288" i="5"/>
  <c r="AX551" i="10"/>
  <c r="AW551" i="10"/>
  <c r="AS12" i="5"/>
  <c r="AE12" i="5"/>
  <c r="AD12" i="5"/>
  <c r="AT145" i="5"/>
  <c r="AU145" i="5"/>
  <c r="AW51" i="10"/>
  <c r="AX51" i="10"/>
  <c r="AW198" i="10"/>
  <c r="AX198" i="10"/>
  <c r="AT384" i="5"/>
  <c r="AU384" i="5"/>
  <c r="AX233" i="10"/>
  <c r="AW233" i="10"/>
  <c r="AU109" i="5"/>
  <c r="AT109" i="5"/>
  <c r="AT118" i="5"/>
  <c r="AU118" i="5"/>
  <c r="AX242" i="10"/>
  <c r="AW242" i="10"/>
  <c r="AU497" i="5"/>
  <c r="AT497" i="5"/>
  <c r="AU147" i="5"/>
  <c r="AT147" i="5"/>
  <c r="AW155" i="10"/>
  <c r="AX155" i="10"/>
  <c r="AT370" i="5"/>
  <c r="AU370" i="5"/>
  <c r="AX458" i="10"/>
  <c r="AW458" i="10"/>
  <c r="AW522" i="10"/>
  <c r="AX522" i="10"/>
  <c r="AX187" i="10"/>
  <c r="AW187" i="10"/>
  <c r="AW149" i="10"/>
  <c r="AX149" i="10"/>
  <c r="AX466" i="10"/>
  <c r="AW466" i="10"/>
  <c r="AT11" i="5"/>
  <c r="AU11" i="5"/>
  <c r="AT253" i="5"/>
  <c r="AU253" i="5"/>
  <c r="AW60" i="10"/>
  <c r="AX60" i="10"/>
  <c r="AT269" i="5"/>
  <c r="AU269" i="5"/>
  <c r="AW500" i="10"/>
  <c r="AX500" i="10"/>
  <c r="AU357" i="5"/>
  <c r="AT357" i="5"/>
  <c r="AT533" i="5"/>
  <c r="AU533" i="5"/>
  <c r="AU108" i="5"/>
  <c r="AT108" i="5"/>
  <c r="AX38" i="10"/>
  <c r="AW38" i="10"/>
  <c r="AX212" i="10"/>
  <c r="AW212" i="10"/>
  <c r="AU195" i="5"/>
  <c r="AT195" i="5"/>
  <c r="AU415" i="5"/>
  <c r="AT415" i="5"/>
  <c r="AW365" i="10"/>
  <c r="AX365" i="10"/>
  <c r="AU89" i="5"/>
  <c r="AT89" i="5"/>
  <c r="AT76" i="5"/>
  <c r="AU76" i="5"/>
  <c r="AX162" i="10"/>
  <c r="AW162" i="10"/>
  <c r="AT128" i="5"/>
  <c r="AU128" i="5"/>
  <c r="AU20" i="5"/>
  <c r="AT20" i="5"/>
  <c r="AX257" i="10"/>
  <c r="AW257" i="10"/>
  <c r="AU57" i="5"/>
  <c r="AT57" i="5"/>
  <c r="AX539" i="10"/>
  <c r="AW539" i="10"/>
  <c r="AT368" i="5"/>
  <c r="AU368" i="5"/>
  <c r="AW101" i="10"/>
  <c r="AX101" i="10"/>
  <c r="AW157" i="10"/>
  <c r="AX157" i="10"/>
  <c r="AT340" i="5"/>
  <c r="AU340" i="5"/>
  <c r="AX260" i="10"/>
  <c r="AW260" i="10"/>
  <c r="AW96" i="10"/>
  <c r="AX96" i="10"/>
  <c r="AW161" i="10"/>
  <c r="AX161" i="10"/>
  <c r="AW293" i="10"/>
  <c r="AX293" i="10"/>
  <c r="AT265" i="5"/>
  <c r="AU265" i="5"/>
  <c r="AU65" i="5"/>
  <c r="AT65" i="5"/>
  <c r="AW154" i="10"/>
  <c r="AX154" i="10"/>
  <c r="AX463" i="10"/>
  <c r="AW463" i="10"/>
  <c r="AX64" i="10"/>
  <c r="AW64" i="10"/>
  <c r="AU514" i="5"/>
  <c r="AT514" i="5"/>
  <c r="AX125" i="10"/>
  <c r="AW125" i="10"/>
  <c r="AU255" i="5"/>
  <c r="AT255" i="5"/>
  <c r="AU430" i="5"/>
  <c r="AT430" i="5"/>
  <c r="AW258" i="10"/>
  <c r="AX258" i="10"/>
  <c r="AT105" i="5"/>
  <c r="AU105" i="5"/>
  <c r="AU190" i="5"/>
  <c r="AT190" i="5"/>
  <c r="AX467" i="10"/>
  <c r="AW467" i="10"/>
  <c r="AU473" i="5"/>
  <c r="AT473" i="5"/>
  <c r="AW246" i="10"/>
  <c r="AX246" i="10"/>
  <c r="AU443" i="5"/>
  <c r="AT443" i="5"/>
  <c r="AT254" i="5"/>
  <c r="AU254" i="5"/>
  <c r="AW206" i="10"/>
  <c r="AX206" i="10"/>
  <c r="AX270" i="10"/>
  <c r="AW270" i="10"/>
  <c r="AW141" i="10"/>
  <c r="AX141" i="10"/>
  <c r="AU152" i="5"/>
  <c r="AT152" i="5"/>
  <c r="AX333" i="10"/>
  <c r="AW333" i="10"/>
  <c r="AT139" i="5"/>
  <c r="AU139" i="5"/>
  <c r="AX28" i="10"/>
  <c r="AW28" i="10"/>
  <c r="AW221" i="10"/>
  <c r="AX221" i="10"/>
  <c r="AU367" i="5"/>
  <c r="AT367" i="5"/>
  <c r="AU388" i="5"/>
  <c r="AT388" i="5"/>
  <c r="AT346" i="5"/>
  <c r="AU346" i="5"/>
  <c r="AW558" i="10"/>
  <c r="AX558" i="10"/>
  <c r="AX422" i="10"/>
  <c r="AW422" i="10"/>
  <c r="AW271" i="10"/>
  <c r="AX271" i="10"/>
  <c r="AW193" i="10"/>
  <c r="AX193" i="10"/>
  <c r="AW210" i="10"/>
  <c r="AX210" i="10"/>
  <c r="AT138" i="5"/>
  <c r="AU138" i="5"/>
  <c r="AU243" i="5"/>
  <c r="AT243" i="5"/>
  <c r="AX123" i="10"/>
  <c r="AW123" i="10"/>
  <c r="AT320" i="5"/>
  <c r="AU320" i="5"/>
  <c r="AW285" i="10"/>
  <c r="AX285" i="10"/>
  <c r="AT309" i="5"/>
  <c r="AU309" i="5"/>
  <c r="AU365" i="5"/>
  <c r="AT365" i="5"/>
  <c r="AW314" i="10"/>
  <c r="AX314" i="10"/>
  <c r="AX219" i="10"/>
  <c r="AW219" i="10"/>
  <c r="AX528" i="10"/>
  <c r="AW528" i="10"/>
  <c r="AX292" i="10"/>
  <c r="AW292" i="10"/>
  <c r="AU311" i="5"/>
  <c r="AT311" i="5"/>
  <c r="AU251" i="5"/>
  <c r="AT251" i="5"/>
  <c r="AX439" i="10"/>
  <c r="AW439" i="10"/>
  <c r="AT39" i="5"/>
  <c r="AU39" i="5"/>
  <c r="AU338" i="5"/>
  <c r="AT338" i="5"/>
  <c r="AX124" i="10"/>
  <c r="AW124" i="10"/>
  <c r="AT397" i="5"/>
  <c r="AU397" i="5"/>
  <c r="AU137" i="5"/>
  <c r="AT137" i="5"/>
  <c r="AW534" i="10"/>
  <c r="AX534" i="10"/>
  <c r="AX13" i="10"/>
  <c r="AW13" i="10"/>
  <c r="AT278" i="5"/>
  <c r="AU278" i="5"/>
  <c r="AU339" i="5"/>
  <c r="AT339" i="5"/>
  <c r="AW423" i="10"/>
  <c r="AX423" i="10"/>
  <c r="AT457" i="5"/>
  <c r="AU457" i="5"/>
  <c r="AX451" i="10"/>
  <c r="AW451" i="10"/>
  <c r="AW235" i="10"/>
  <c r="AX235" i="10"/>
  <c r="AU260" i="5"/>
  <c r="AT260" i="5"/>
  <c r="AU236" i="5"/>
  <c r="AT236" i="5"/>
  <c r="AX477" i="10"/>
  <c r="AW477" i="10"/>
  <c r="AW116" i="10"/>
  <c r="AX116" i="10"/>
  <c r="AX490" i="10"/>
  <c r="AW490" i="10"/>
  <c r="AT511" i="5"/>
  <c r="AU511" i="5"/>
  <c r="AU200" i="5"/>
  <c r="AT200" i="5"/>
  <c r="AW288" i="10"/>
  <c r="AX288" i="10"/>
  <c r="AX488" i="10"/>
  <c r="AW488" i="10"/>
  <c r="AX317" i="10"/>
  <c r="AW317" i="10"/>
  <c r="AT206" i="5"/>
  <c r="AU206" i="5"/>
  <c r="AU453" i="5"/>
  <c r="AT453" i="5"/>
  <c r="AX366" i="10"/>
  <c r="AW366" i="10"/>
  <c r="AW413" i="10"/>
  <c r="AX413" i="10"/>
  <c r="AX419" i="10"/>
  <c r="AW419" i="10"/>
  <c r="AW71" i="10"/>
  <c r="AX71" i="10"/>
  <c r="AX390" i="10"/>
  <c r="AW390" i="10"/>
  <c r="AT59" i="5"/>
  <c r="AU59" i="5"/>
  <c r="AT302" i="5"/>
  <c r="AU302" i="5"/>
  <c r="AT45" i="5"/>
  <c r="AU45" i="5"/>
  <c r="AW548" i="10"/>
  <c r="AX548" i="10"/>
  <c r="AX339" i="10"/>
  <c r="AW339" i="10"/>
  <c r="AT528" i="5"/>
  <c r="AU528" i="5"/>
  <c r="AT94" i="5"/>
  <c r="AU94" i="5"/>
  <c r="AW444" i="10"/>
  <c r="AX444" i="10"/>
  <c r="AT93" i="5"/>
  <c r="AU93" i="5"/>
  <c r="AX336" i="10"/>
  <c r="AW336" i="10"/>
  <c r="AU9" i="5"/>
  <c r="AT9" i="5"/>
  <c r="AU86" i="5"/>
  <c r="AT86" i="5"/>
  <c r="AX82" i="10"/>
  <c r="AW82" i="10"/>
  <c r="AT461" i="5"/>
  <c r="AU461" i="5"/>
  <c r="AW27" i="10"/>
  <c r="AX27" i="10"/>
  <c r="AW341" i="10"/>
  <c r="AX341" i="10"/>
  <c r="AT530" i="5"/>
  <c r="AU530" i="5"/>
  <c r="AT216" i="5"/>
  <c r="AU216" i="5"/>
  <c r="AT44" i="5"/>
  <c r="AU44" i="5"/>
  <c r="AW119" i="10"/>
  <c r="AX119" i="10"/>
  <c r="AT168" i="5"/>
  <c r="AU168" i="5"/>
  <c r="AW53" i="10"/>
  <c r="AX53" i="10"/>
  <c r="AW338" i="10"/>
  <c r="AX338" i="10"/>
  <c r="AU87" i="5"/>
  <c r="AT87" i="5"/>
  <c r="AT225" i="5"/>
  <c r="AU225" i="5"/>
  <c r="AW383" i="10"/>
  <c r="AX383" i="10"/>
  <c r="AT304" i="5"/>
  <c r="AU304" i="5"/>
  <c r="AU136" i="5"/>
  <c r="AT136" i="5"/>
  <c r="AW26" i="10"/>
  <c r="AX26" i="10"/>
  <c r="AU273" i="5"/>
  <c r="AT273" i="5"/>
  <c r="AT249" i="5"/>
  <c r="AU249" i="5"/>
  <c r="AW406" i="10"/>
  <c r="AX406" i="10"/>
  <c r="AT347" i="5"/>
  <c r="AU347" i="5"/>
  <c r="AT120" i="5"/>
  <c r="AU120" i="5"/>
  <c r="AW291" i="10"/>
  <c r="AX291" i="10"/>
  <c r="AU386" i="5"/>
  <c r="AT386" i="5"/>
  <c r="AX302" i="10"/>
  <c r="AW302" i="10"/>
  <c r="AX459" i="10"/>
  <c r="AW459" i="10"/>
  <c r="AU310" i="5"/>
  <c r="AT310" i="5"/>
  <c r="AW44" i="10"/>
  <c r="AX44" i="10"/>
  <c r="AX129" i="10"/>
  <c r="AW129" i="10"/>
  <c r="AU183" i="5"/>
  <c r="AT183" i="5"/>
  <c r="AU361" i="5"/>
  <c r="AT361" i="5"/>
  <c r="AX379" i="10"/>
  <c r="AW379" i="10"/>
  <c r="AT404" i="5"/>
  <c r="AU404" i="5"/>
  <c r="AX337" i="10"/>
  <c r="AW337" i="10"/>
  <c r="AW8" i="10"/>
  <c r="AX8" i="10"/>
  <c r="AT488" i="5"/>
  <c r="AU488" i="5"/>
  <c r="AW299" i="10"/>
  <c r="AX299" i="10"/>
  <c r="AU450" i="5"/>
  <c r="AT450" i="5"/>
  <c r="AX319" i="10"/>
  <c r="AW319" i="10"/>
  <c r="AT462" i="5"/>
  <c r="AU462" i="5"/>
  <c r="AU144" i="5"/>
  <c r="AT144" i="5"/>
  <c r="AX506" i="10"/>
  <c r="AW506" i="10"/>
  <c r="AW487" i="10"/>
  <c r="AX487" i="10"/>
  <c r="AX34" i="10"/>
  <c r="AW34" i="10"/>
  <c r="AT238" i="5"/>
  <c r="AU238" i="5"/>
  <c r="AW312" i="10"/>
  <c r="AX312" i="10"/>
  <c r="AW134" i="10"/>
  <c r="AX134" i="10"/>
  <c r="AT329" i="5"/>
  <c r="AU329" i="5"/>
  <c r="AX25" i="10"/>
  <c r="AW25" i="10"/>
  <c r="AT53" i="5"/>
  <c r="AU53" i="5"/>
  <c r="AU417" i="5"/>
  <c r="AT417" i="5"/>
  <c r="AW330" i="10"/>
  <c r="AX330" i="10"/>
  <c r="AU8" i="5"/>
  <c r="AT8" i="5"/>
  <c r="AX555" i="10"/>
  <c r="AW555" i="10"/>
  <c r="AT490" i="5"/>
  <c r="AU490" i="5"/>
  <c r="AU323" i="5"/>
  <c r="AT323" i="5"/>
  <c r="AX32" i="10"/>
  <c r="AW32" i="10"/>
  <c r="AU293" i="5"/>
  <c r="AT293" i="5"/>
  <c r="AX103" i="10"/>
  <c r="AW103" i="10"/>
  <c r="AU547" i="5"/>
  <c r="AT547" i="5"/>
  <c r="AX396" i="10"/>
  <c r="AW396" i="10"/>
  <c r="AX556" i="10"/>
  <c r="AW556" i="10"/>
  <c r="AU72" i="5"/>
  <c r="AT72" i="5"/>
  <c r="AW435" i="10"/>
  <c r="AX435" i="10"/>
  <c r="AT146" i="5"/>
  <c r="AU146" i="5"/>
  <c r="AX346" i="10"/>
  <c r="AW346" i="10"/>
  <c r="AX94" i="10"/>
  <c r="AW94" i="10"/>
  <c r="AU526" i="5"/>
  <c r="AT526" i="5"/>
  <c r="AT420" i="5"/>
  <c r="AU420" i="5"/>
  <c r="AW230" i="10"/>
  <c r="AX230" i="10"/>
  <c r="AT276" i="5"/>
  <c r="AU276" i="5"/>
  <c r="AT188" i="5"/>
  <c r="AU188" i="5"/>
  <c r="AW409" i="10"/>
  <c r="AX409" i="10"/>
  <c r="AU102" i="5"/>
  <c r="AT102" i="5"/>
  <c r="AX227" i="10"/>
  <c r="AW227" i="10"/>
  <c r="AU452" i="5"/>
  <c r="AT452" i="5"/>
  <c r="AX146" i="10"/>
  <c r="AW146" i="10"/>
  <c r="AT122" i="5"/>
  <c r="AU122" i="5"/>
  <c r="AX274" i="10"/>
  <c r="AW274" i="10"/>
  <c r="AX298" i="10"/>
  <c r="AW298" i="10"/>
  <c r="AX211" i="10"/>
  <c r="AW211" i="10"/>
  <c r="AW243" i="10"/>
  <c r="AX243" i="10"/>
  <c r="AW530" i="10"/>
  <c r="AX530" i="10"/>
  <c r="AW403" i="10"/>
  <c r="AX403" i="10"/>
  <c r="AU375" i="5"/>
  <c r="AT375" i="5"/>
  <c r="AW394" i="10"/>
  <c r="AX394" i="10"/>
  <c r="AW411" i="10"/>
  <c r="AX411" i="10"/>
  <c r="AT300" i="5"/>
  <c r="AU300" i="5"/>
  <c r="AU245" i="5"/>
  <c r="AT245" i="5"/>
  <c r="AT372" i="5"/>
  <c r="AU372" i="5"/>
  <c r="AU498" i="5"/>
  <c r="AT498" i="5"/>
  <c r="AU455" i="5"/>
  <c r="AT455" i="5"/>
  <c r="AW428" i="10"/>
  <c r="AX428" i="10"/>
  <c r="AU52" i="5"/>
  <c r="AT52" i="5"/>
  <c r="AT422" i="5"/>
  <c r="AU422" i="5"/>
  <c r="AU207" i="5"/>
  <c r="AT207" i="5"/>
  <c r="AR12" i="5"/>
  <c r="AQ12" i="5"/>
  <c r="AX437" i="10"/>
  <c r="AW437" i="10"/>
  <c r="AT444" i="5"/>
  <c r="AU444" i="5"/>
  <c r="AW156" i="10"/>
  <c r="AX156" i="10"/>
  <c r="AT189" i="5"/>
  <c r="AU189" i="5"/>
  <c r="AT230" i="5"/>
  <c r="AU230" i="5"/>
  <c r="AU240" i="5"/>
  <c r="AT240" i="5"/>
  <c r="AX108" i="10"/>
  <c r="AW108" i="10"/>
  <c r="AU538" i="5"/>
  <c r="AT538" i="5"/>
  <c r="AX104" i="10"/>
  <c r="AW104" i="10"/>
  <c r="AX225" i="10"/>
  <c r="AW225" i="10"/>
  <c r="AT252" i="5"/>
  <c r="AU252" i="5"/>
  <c r="AU523" i="5"/>
  <c r="AT523" i="5"/>
  <c r="AX405" i="10"/>
  <c r="AW405" i="10"/>
  <c r="AX392" i="10"/>
  <c r="AW392" i="10"/>
  <c r="AU196" i="5"/>
  <c r="AT196" i="5"/>
  <c r="AW244" i="10"/>
  <c r="AX244" i="10"/>
  <c r="AT233" i="5"/>
  <c r="AU233" i="5"/>
  <c r="AW86" i="10"/>
  <c r="AX86" i="10"/>
  <c r="AT31" i="5"/>
  <c r="AU31" i="5"/>
  <c r="AU150" i="5"/>
  <c r="AT150" i="5"/>
  <c r="AW349" i="10"/>
  <c r="AX349" i="10"/>
  <c r="AT425" i="5"/>
  <c r="AU425" i="5"/>
  <c r="AW72" i="10"/>
  <c r="AX72" i="10"/>
  <c r="AU111" i="5"/>
  <c r="AT111" i="5"/>
  <c r="AW352" i="10"/>
  <c r="AX352" i="10"/>
  <c r="AT161" i="5"/>
  <c r="AU161" i="5"/>
  <c r="AT228" i="5"/>
  <c r="AU228" i="5"/>
  <c r="AU343" i="5"/>
  <c r="AT343" i="5"/>
  <c r="AU317" i="5"/>
  <c r="AT317" i="5"/>
  <c r="AX57" i="10"/>
  <c r="AW57" i="10"/>
  <c r="AX35" i="10"/>
  <c r="AW35" i="10"/>
  <c r="AT426" i="5"/>
  <c r="AU426" i="5"/>
  <c r="AU353" i="5"/>
  <c r="AT353" i="5"/>
  <c r="AW208" i="10"/>
  <c r="AX208" i="10"/>
  <c r="AU119" i="5"/>
  <c r="AT119" i="5"/>
  <c r="AT179" i="5"/>
  <c r="AU179" i="5"/>
  <c r="AX181" i="10"/>
  <c r="AW181" i="10"/>
  <c r="AT294" i="5"/>
  <c r="AU294" i="5"/>
  <c r="AX412" i="10"/>
  <c r="AW412" i="10"/>
  <c r="AX508" i="10"/>
  <c r="AW508" i="10"/>
  <c r="AT350" i="5"/>
  <c r="AU350" i="5"/>
  <c r="AX372" i="10"/>
  <c r="AW372" i="10"/>
  <c r="AT418" i="5"/>
  <c r="AU418" i="5"/>
  <c r="AT140" i="5"/>
  <c r="AU140" i="5"/>
  <c r="AX199" i="10"/>
  <c r="AW199" i="10"/>
  <c r="AT360" i="5"/>
  <c r="AU360" i="5"/>
  <c r="AT507" i="5"/>
  <c r="AU507" i="5"/>
  <c r="AX166" i="10"/>
  <c r="AW166" i="10"/>
  <c r="AX239" i="10"/>
  <c r="AW239" i="10"/>
  <c r="AU472" i="5"/>
  <c r="AT472" i="5"/>
  <c r="AU210" i="5"/>
  <c r="AT210" i="5"/>
  <c r="AX87" i="10"/>
  <c r="AW87" i="10"/>
  <c r="AU506" i="5"/>
  <c r="AT506" i="5"/>
  <c r="AT308" i="5"/>
  <c r="AU308" i="5"/>
  <c r="AX303" i="10"/>
  <c r="AW303" i="10"/>
  <c r="AT211" i="5"/>
  <c r="AU211" i="5"/>
  <c r="AT113" i="5"/>
  <c r="AU113" i="5"/>
  <c r="AW280" i="10"/>
  <c r="AX280" i="10"/>
  <c r="AX151" i="10"/>
  <c r="AW151" i="10"/>
  <c r="AT71" i="5"/>
  <c r="AU71" i="5"/>
  <c r="AT182" i="5"/>
  <c r="AU182" i="5"/>
  <c r="AX540" i="10"/>
  <c r="AW540" i="10"/>
  <c r="AT35" i="5"/>
  <c r="AU35" i="5"/>
  <c r="AW287" i="10"/>
  <c r="AX287" i="10"/>
  <c r="AU56" i="5"/>
  <c r="AT56" i="5"/>
  <c r="AU274" i="5"/>
  <c r="AT274" i="5"/>
  <c r="AU248" i="5"/>
  <c r="AT248" i="5"/>
  <c r="AU399" i="5"/>
  <c r="AT399" i="5"/>
  <c r="AX216" i="10"/>
  <c r="AW216" i="10"/>
  <c r="AW234" i="10"/>
  <c r="AX234" i="10"/>
  <c r="AU246" i="5"/>
  <c r="AT246" i="5"/>
  <c r="AW48" i="10"/>
  <c r="AX48" i="10"/>
  <c r="AT545" i="5"/>
  <c r="AU545" i="5"/>
  <c r="AW43" i="10"/>
  <c r="AX43" i="10"/>
  <c r="AT291" i="5"/>
  <c r="AU291" i="5"/>
  <c r="AW430" i="10"/>
  <c r="AX430" i="10"/>
  <c r="AT331" i="5"/>
  <c r="AU331" i="5"/>
  <c r="AU374" i="5"/>
  <c r="AT374" i="5"/>
  <c r="AX465" i="10"/>
  <c r="AW465" i="10"/>
  <c r="AT519" i="5"/>
  <c r="AU519" i="5"/>
  <c r="AX117" i="10"/>
  <c r="AW117" i="10"/>
  <c r="AW524" i="10"/>
  <c r="AX524" i="10"/>
  <c r="AX231" i="10"/>
  <c r="AW231" i="10"/>
  <c r="AT421" i="5"/>
  <c r="AU421" i="5"/>
  <c r="AW512" i="10"/>
  <c r="AX512" i="10"/>
  <c r="AX370" i="10"/>
  <c r="AW370" i="10"/>
  <c r="AU364" i="5"/>
  <c r="AT364" i="5"/>
  <c r="AX301" i="10"/>
  <c r="AW301" i="10"/>
  <c r="AU125" i="5"/>
  <c r="AT125" i="5"/>
  <c r="AT266" i="5"/>
  <c r="AU266" i="5"/>
  <c r="AX531" i="10"/>
  <c r="AW531" i="10"/>
  <c r="AT226" i="5"/>
  <c r="AU226" i="5"/>
  <c r="AU41" i="5"/>
  <c r="AT41" i="5"/>
  <c r="AX263" i="10"/>
  <c r="AW263" i="10"/>
  <c r="AU442" i="5"/>
  <c r="AT442" i="5"/>
  <c r="AX143" i="10"/>
  <c r="AW143" i="10"/>
  <c r="AT531" i="5"/>
  <c r="AU531" i="5"/>
  <c r="AT403" i="5"/>
  <c r="AU403" i="5"/>
  <c r="AX247" i="10"/>
  <c r="AW247" i="10"/>
  <c r="AX19" i="10"/>
  <c r="AW19" i="10"/>
  <c r="AU175" i="5"/>
  <c r="AT175" i="5"/>
  <c r="AU244" i="5"/>
  <c r="AT244" i="5"/>
  <c r="AW393" i="10"/>
  <c r="AX393" i="10"/>
  <c r="AW52" i="10"/>
  <c r="AX52" i="10"/>
  <c r="AU42" i="5"/>
  <c r="AT42" i="5"/>
  <c r="AU438" i="5"/>
  <c r="AT438" i="5"/>
  <c r="AW421" i="10"/>
  <c r="AX421" i="10"/>
  <c r="AX295" i="10"/>
  <c r="AW295" i="10"/>
  <c r="AT395" i="5"/>
  <c r="AU395" i="5"/>
  <c r="AU235" i="5"/>
  <c r="AT235" i="5"/>
  <c r="AW135" i="10"/>
  <c r="AX135" i="10"/>
  <c r="AW344" i="10"/>
  <c r="AX344" i="10"/>
  <c r="AU550" i="5"/>
  <c r="AT550" i="5"/>
  <c r="AT469" i="5"/>
  <c r="AU469" i="5"/>
  <c r="AT158" i="5"/>
  <c r="AU158" i="5"/>
  <c r="AW498" i="10"/>
  <c r="AX498" i="10"/>
  <c r="AT172" i="5"/>
  <c r="AU172" i="5"/>
  <c r="AW160" i="10"/>
  <c r="AX160" i="10"/>
  <c r="AU500" i="5"/>
  <c r="AT500" i="5"/>
  <c r="AT483" i="5"/>
  <c r="AU483" i="5"/>
  <c r="AX290" i="10"/>
  <c r="AW290" i="10"/>
  <c r="AX256" i="10"/>
  <c r="AW256" i="10"/>
  <c r="AX495" i="10"/>
  <c r="AW495" i="10"/>
  <c r="AU60" i="5"/>
  <c r="AT60" i="5"/>
  <c r="AW142" i="10"/>
  <c r="AX142" i="10"/>
  <c r="AT62" i="5"/>
  <c r="AU62" i="5"/>
  <c r="AW128" i="10"/>
  <c r="AX128" i="10"/>
  <c r="AX254" i="10"/>
  <c r="AW254" i="10"/>
  <c r="AT81" i="5"/>
  <c r="AU81" i="5"/>
  <c r="AX375" i="10"/>
  <c r="AW375" i="10"/>
  <c r="AU380" i="5"/>
  <c r="AT380" i="5"/>
  <c r="AT391" i="5"/>
  <c r="AU391" i="5"/>
  <c r="AX313" i="10"/>
  <c r="AW313" i="10"/>
  <c r="AT548" i="5"/>
  <c r="AU548" i="5"/>
  <c r="AT159" i="5"/>
  <c r="AU159" i="5"/>
  <c r="AX510" i="10"/>
  <c r="AW510" i="10"/>
  <c r="AX21" i="10"/>
  <c r="AW21" i="10"/>
  <c r="AW267" i="10"/>
  <c r="AX267" i="10"/>
  <c r="AD13" i="5"/>
  <c r="AE13" i="5"/>
  <c r="AS13" i="5"/>
  <c r="AT10" i="5"/>
  <c r="AU10" i="5"/>
  <c r="AX207" i="10"/>
  <c r="AW207" i="10"/>
  <c r="AW425" i="10"/>
  <c r="AX425" i="10"/>
  <c r="AW194" i="10"/>
  <c r="AX194" i="10"/>
  <c r="AU474" i="5"/>
  <c r="AT474" i="5"/>
  <c r="AT47" i="5"/>
  <c r="AU47" i="5"/>
  <c r="AX360" i="10"/>
  <c r="AW360" i="10"/>
  <c r="AW505" i="10"/>
  <c r="AX505" i="10"/>
  <c r="AT335" i="5"/>
  <c r="AU335" i="5"/>
  <c r="AW468" i="10"/>
  <c r="AX468" i="10"/>
  <c r="AW173" i="10"/>
  <c r="AX173" i="10"/>
  <c r="AW10" i="10"/>
  <c r="AX10" i="10"/>
  <c r="AT396" i="5"/>
  <c r="AU396" i="5"/>
  <c r="AW275" i="10"/>
  <c r="AX275" i="10"/>
  <c r="AU12" i="10"/>
  <c r="AT12" i="10"/>
  <c r="AT49" i="5"/>
  <c r="AU49" i="5"/>
  <c r="AX543" i="10"/>
  <c r="AW543" i="10"/>
  <c r="AT92" i="5"/>
  <c r="AU92" i="5"/>
  <c r="AW440" i="10"/>
  <c r="AX440" i="10"/>
  <c r="AT465" i="5"/>
  <c r="AU465" i="5"/>
  <c r="AT70" i="5"/>
  <c r="AU70" i="5"/>
  <c r="AW172" i="10"/>
  <c r="AX172" i="10"/>
  <c r="AX167" i="10"/>
  <c r="AW167" i="10"/>
  <c r="AU292" i="5"/>
  <c r="AT292" i="5"/>
  <c r="AW97" i="10"/>
  <c r="AX97" i="10"/>
  <c r="AU37" i="5"/>
  <c r="AT37" i="5"/>
  <c r="AW120" i="10"/>
  <c r="AX120" i="10"/>
  <c r="AT355" i="5"/>
  <c r="AU355" i="5"/>
  <c r="AU381" i="5"/>
  <c r="AT381" i="5"/>
  <c r="AT142" i="5"/>
  <c r="AU142" i="5"/>
  <c r="AW118" i="10"/>
  <c r="AX118" i="10"/>
  <c r="AU61" i="5"/>
  <c r="AT61" i="5"/>
  <c r="AW545" i="10"/>
  <c r="AX545" i="10"/>
  <c r="AX66" i="10"/>
  <c r="AW66" i="10"/>
  <c r="AW165" i="10"/>
  <c r="AX165" i="10"/>
  <c r="AT187" i="5"/>
  <c r="AU187" i="5"/>
  <c r="AU305" i="5"/>
  <c r="AT305" i="5"/>
  <c r="AT77" i="5"/>
  <c r="AU77" i="5"/>
  <c r="AW202" i="10"/>
  <c r="AX202" i="10"/>
  <c r="AX397" i="10"/>
  <c r="AW397" i="10"/>
  <c r="AT471" i="5"/>
  <c r="AU471" i="5"/>
  <c r="AW62" i="10"/>
  <c r="AX62" i="10"/>
  <c r="AU478" i="5"/>
  <c r="AT478" i="5"/>
  <c r="AU382" i="5"/>
  <c r="AT382" i="5"/>
  <c r="AW328" i="10"/>
  <c r="AX328" i="10"/>
  <c r="AX492" i="10"/>
  <c r="AW492" i="10"/>
  <c r="AU501" i="5"/>
  <c r="AT501" i="5"/>
  <c r="AW395" i="10"/>
  <c r="AX395" i="10"/>
  <c r="AU185" i="5"/>
  <c r="AT185" i="5"/>
  <c r="AX450" i="10"/>
  <c r="AW450" i="10"/>
  <c r="AT287" i="5"/>
  <c r="AU287" i="5"/>
  <c r="AX316" i="10"/>
  <c r="AW316" i="10"/>
  <c r="AX294" i="10"/>
  <c r="AW294" i="10"/>
  <c r="AU27" i="5"/>
  <c r="AT27" i="5"/>
  <c r="AX480" i="10"/>
  <c r="AW480" i="10"/>
  <c r="AW494" i="10"/>
  <c r="AX494" i="10"/>
  <c r="AT440" i="5"/>
  <c r="AU440" i="5"/>
  <c r="AX232" i="10"/>
  <c r="AW232" i="10"/>
  <c r="AX461" i="10"/>
  <c r="AW461" i="10"/>
  <c r="AU282" i="5"/>
  <c r="AT282" i="5"/>
  <c r="AU258" i="5"/>
  <c r="AT258" i="5"/>
  <c r="AX332" i="10"/>
  <c r="AW332" i="10"/>
  <c r="AT73" i="5"/>
  <c r="AU73" i="5"/>
  <c r="AT551" i="5"/>
  <c r="AU551" i="5"/>
  <c r="AX398" i="10"/>
  <c r="AW398" i="10"/>
  <c r="AW9" i="10"/>
  <c r="AX9" i="10"/>
  <c r="AU482" i="5"/>
  <c r="AT482" i="5"/>
  <c r="AW67" i="10"/>
  <c r="AX67" i="10"/>
  <c r="AU25" i="5"/>
  <c r="AT25" i="5"/>
  <c r="AW532" i="10"/>
  <c r="AX532" i="10"/>
  <c r="AT285" i="5"/>
  <c r="AU285" i="5"/>
  <c r="AX552" i="10"/>
  <c r="AW552" i="10"/>
  <c r="AT334" i="5"/>
  <c r="AU334" i="5"/>
  <c r="AT170" i="5"/>
  <c r="AU170" i="5"/>
  <c r="AW417" i="10"/>
  <c r="AX417" i="10"/>
  <c r="AX139" i="10"/>
  <c r="AW139" i="10"/>
  <c r="AU524" i="5"/>
  <c r="AT524" i="5"/>
  <c r="AT7" i="5"/>
  <c r="AU7" i="5"/>
  <c r="AX429" i="10"/>
  <c r="AW429" i="10"/>
  <c r="AT423" i="5"/>
  <c r="AU423" i="5"/>
  <c r="AX331" i="10"/>
  <c r="AW331" i="10"/>
  <c r="AT496" i="5"/>
  <c r="AU496" i="5"/>
  <c r="AX79" i="10"/>
  <c r="AW79" i="10"/>
  <c r="AU217" i="5"/>
  <c r="AT217" i="5"/>
  <c r="AX147" i="10"/>
  <c r="AW147" i="10"/>
  <c r="AT205" i="5"/>
  <c r="AU205" i="5"/>
  <c r="AX315" i="10"/>
  <c r="AW315" i="10"/>
  <c r="AT115" i="5"/>
  <c r="AU115" i="5"/>
  <c r="AW482" i="10"/>
  <c r="AX482" i="10"/>
  <c r="AU363" i="5"/>
  <c r="AT363" i="5"/>
  <c r="AX264" i="10"/>
  <c r="AW264" i="10"/>
  <c r="AW171" i="10"/>
  <c r="AX171" i="10"/>
  <c r="AU298" i="5"/>
  <c r="AT298" i="5"/>
  <c r="AT126" i="5"/>
  <c r="AU126" i="5"/>
  <c r="AX386" i="10"/>
  <c r="AW386" i="10"/>
  <c r="AT133" i="5"/>
  <c r="AU133" i="5"/>
  <c r="AU549" i="5"/>
  <c r="AT549" i="5"/>
  <c r="AX229" i="10"/>
  <c r="AW229" i="10"/>
  <c r="AT313" i="5"/>
  <c r="AU313" i="5"/>
  <c r="AT223" i="5"/>
  <c r="AU223" i="5"/>
  <c r="AX452" i="10"/>
  <c r="AW452" i="10"/>
  <c r="AU261" i="5"/>
  <c r="AT261" i="5"/>
  <c r="AX318" i="10"/>
  <c r="AW318" i="10"/>
  <c r="AT456" i="5"/>
  <c r="AU456" i="5"/>
  <c r="AX483" i="10"/>
  <c r="AW483" i="10"/>
  <c r="AU256" i="5"/>
  <c r="AT256" i="5"/>
  <c r="AW283" i="10"/>
  <c r="AX283" i="10"/>
  <c r="AX304" i="10"/>
  <c r="AW304" i="10"/>
  <c r="AX401" i="10"/>
  <c r="AW401" i="10"/>
  <c r="AW517" i="10"/>
  <c r="AX517" i="10"/>
  <c r="AT556" i="5"/>
  <c r="AU556" i="5"/>
  <c r="AU280" i="5"/>
  <c r="AT280" i="5"/>
  <c r="AX279" i="10"/>
  <c r="AW279" i="10"/>
  <c r="AX529" i="10"/>
  <c r="AW529" i="10"/>
  <c r="AU405" i="5"/>
  <c r="AT405" i="5"/>
  <c r="AX197" i="10"/>
  <c r="AW197" i="10"/>
  <c r="AU229" i="5"/>
  <c r="AT229" i="5"/>
  <c r="AU295" i="5"/>
  <c r="AT295" i="5"/>
  <c r="AW361" i="10"/>
  <c r="AX361" i="10"/>
  <c r="AT402" i="5"/>
  <c r="AU402" i="5"/>
  <c r="AU134" i="5"/>
  <c r="AT134" i="5"/>
  <c r="AX438" i="10"/>
  <c r="AW438" i="10"/>
  <c r="AW345" i="10"/>
  <c r="AX345" i="10"/>
  <c r="AT437" i="5"/>
  <c r="AU437" i="5"/>
  <c r="AX460" i="10"/>
  <c r="AW460" i="10"/>
  <c r="AU369" i="5"/>
  <c r="AT369" i="5"/>
  <c r="AU21" i="5"/>
  <c r="AT21" i="5"/>
  <c r="AU48" i="5"/>
  <c r="AT48" i="5"/>
  <c r="AX476" i="10"/>
  <c r="AW476" i="10"/>
  <c r="AW325" i="10"/>
  <c r="AX325" i="10"/>
  <c r="AX447" i="10"/>
  <c r="AW447" i="10"/>
  <c r="AU13" i="5" l="1"/>
  <c r="AT13" i="5"/>
  <c r="AT12" i="5"/>
  <c r="AU12" i="5"/>
  <c r="AW12" i="10"/>
  <c r="AX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A3" authorId="0" shapeId="0" xr:uid="{00000000-0006-0000-0000-000001000000}">
      <text>
        <r>
          <rPr>
            <b/>
            <sz val="11"/>
            <color indexed="10"/>
            <rFont val="Tahoma"/>
            <family val="2"/>
          </rPr>
          <t>Welcome to the LM5155/56 Design Tool</t>
        </r>
        <r>
          <rPr>
            <sz val="9"/>
            <color indexed="81"/>
            <rFont val="Tahoma"/>
            <family val="2"/>
          </rPr>
          <t xml:space="preserve">
This stand-alone tool facilitates and assists the power supply engineer with design of a DC-DC boost converter based on the LM5155/56 controller. As such, the user can expeditiously arrive at an optimized design by virtue of the following:
- Select components
- Optimize compensation values and pole/zero placement in terms of control loop stability using crossover frquency as a performance metric
- Inspect regulator efficiency and component power dissipation
- Analyze efficiency based on selected MOSFET, inductor and diode parameters
IMPORTANT: You must enable macros if Microsoft Excel asks as the file is being opened. U.S. English notation is used throughout. Make sure to input or select values in all of the yellow shaded cells even if a value already exists in that cell. Do not over write equations in cells, as this may result in calculation errors.
</t>
        </r>
      </text>
    </comment>
    <comment ref="H7" authorId="0" shapeId="0" xr:uid="{2E6E75BD-C0D2-45A5-BEB5-8AAEA45E9FD0}">
      <text>
        <r>
          <rPr>
            <b/>
            <sz val="9"/>
            <color indexed="81"/>
            <rFont val="Tahoma"/>
            <family val="2"/>
          </rPr>
          <t xml:space="preserve">Minimum Input Voltage:
</t>
        </r>
        <r>
          <rPr>
            <sz val="9"/>
            <color indexed="81"/>
            <rFont val="Tahoma"/>
            <family val="2"/>
          </rPr>
          <t>Enter the minimum operating input voltage.
The LM5155 BIAS pin voltage operating range is 3.5V to 45V.
The LM5156 BIAS pin voltage operating range is 3.5V to 60V.
If low voltage operation is required the BIAS pin can be supplied with V</t>
        </r>
        <r>
          <rPr>
            <vertAlign val="subscript"/>
            <sz val="9"/>
            <color indexed="81"/>
            <rFont val="Tahoma"/>
            <family val="2"/>
          </rPr>
          <t>OUT</t>
        </r>
        <r>
          <rPr>
            <sz val="9"/>
            <color indexed="81"/>
            <rFont val="Tahoma"/>
            <family val="2"/>
          </rPr>
          <t xml:space="preserve"> extending operation to 1.5V</t>
        </r>
        <r>
          <rPr>
            <b/>
            <sz val="9"/>
            <color indexed="81"/>
            <rFont val="Tahoma"/>
            <family val="2"/>
          </rPr>
          <t xml:space="preserve">
</t>
        </r>
        <r>
          <rPr>
            <b/>
            <sz val="9"/>
            <color indexed="52"/>
            <rFont val="Tahoma"/>
            <family val="2"/>
          </rPr>
          <t>The text in the cell is flagged orange if:</t>
        </r>
        <r>
          <rPr>
            <b/>
            <sz val="9"/>
            <color indexed="81"/>
            <rFont val="Tahoma"/>
            <family val="2"/>
          </rPr>
          <t xml:space="preserve">
</t>
        </r>
        <r>
          <rPr>
            <sz val="9"/>
            <color indexed="81"/>
            <rFont val="Tahoma"/>
            <family val="2"/>
          </rPr>
          <t>-The input voltage is above 45V</t>
        </r>
        <r>
          <rPr>
            <b/>
            <sz val="9"/>
            <color indexed="81"/>
            <rFont val="Tahoma"/>
            <family val="2"/>
          </rPr>
          <t xml:space="preserve">
</t>
        </r>
        <r>
          <rPr>
            <b/>
            <sz val="9"/>
            <color indexed="10"/>
            <rFont val="Tahoma"/>
            <family val="2"/>
          </rPr>
          <t>The text in the cell is flagged red if:</t>
        </r>
        <r>
          <rPr>
            <b/>
            <sz val="9"/>
            <color indexed="81"/>
            <rFont val="Tahoma"/>
            <family val="2"/>
          </rPr>
          <t xml:space="preserve">
</t>
        </r>
        <r>
          <rPr>
            <sz val="9"/>
            <color indexed="81"/>
            <rFont val="Tahoma"/>
            <family val="2"/>
          </rPr>
          <t>-The input voltage is above 60V
-The input voltage is below 1.5V</t>
        </r>
      </text>
    </comment>
    <comment ref="N7" authorId="0" shapeId="0" xr:uid="{00000000-0006-0000-0000-000004000000}">
      <text>
        <r>
          <rPr>
            <b/>
            <sz val="11"/>
            <color indexed="81"/>
            <rFont val="Tahoma"/>
            <family val="2"/>
          </rPr>
          <t>Output Voltage Load 1:</t>
        </r>
        <r>
          <rPr>
            <b/>
            <sz val="9"/>
            <color indexed="81"/>
            <rFont val="Tahoma"/>
            <family val="2"/>
          </rPr>
          <t xml:space="preserve">
</t>
        </r>
        <r>
          <rPr>
            <sz val="10"/>
            <color indexed="81"/>
            <rFont val="Tahoma"/>
            <family val="2"/>
          </rPr>
          <t xml:space="preserve">Selected the desired voltage of load 1.
</t>
        </r>
        <r>
          <rPr>
            <b/>
            <sz val="10"/>
            <color indexed="10"/>
            <rFont val="Tahoma"/>
            <family val="2"/>
          </rPr>
          <t>Load 1 voltage should be entered as the regulated load regardless of the feedback type</t>
        </r>
        <r>
          <rPr>
            <sz val="9"/>
            <color indexed="81"/>
            <rFont val="Tahoma"/>
            <family val="2"/>
          </rPr>
          <t xml:space="preserve">
</t>
        </r>
      </text>
    </comment>
    <comment ref="H8" authorId="0" shapeId="0" xr:uid="{A6C3AFD2-6488-45FB-8704-49B373F744E0}">
      <text>
        <r>
          <rPr>
            <b/>
            <sz val="9"/>
            <color indexed="81"/>
            <rFont val="Tahoma"/>
            <family val="2"/>
          </rPr>
          <t xml:space="preserve">Nominal Input Voltage:
</t>
        </r>
        <r>
          <rPr>
            <sz val="9"/>
            <color indexed="81"/>
            <rFont val="Tahoma"/>
            <family val="2"/>
          </rPr>
          <t>Enter the nominal operating input voltage.
The LM5155 input voltage operating range is 1.5V to 45V.</t>
        </r>
        <r>
          <rPr>
            <b/>
            <sz val="9"/>
            <color indexed="81"/>
            <rFont val="Tahoma"/>
            <family val="2"/>
          </rPr>
          <t xml:space="preserve">
</t>
        </r>
        <r>
          <rPr>
            <sz val="9"/>
            <color indexed="81"/>
            <rFont val="Tahoma"/>
            <family val="2"/>
          </rPr>
          <t xml:space="preserve">The LM5156 input voltage operating range is 1.5V to 60V.
</t>
        </r>
        <r>
          <rPr>
            <b/>
            <sz val="9"/>
            <color indexed="81"/>
            <rFont val="Tahoma"/>
            <family val="2"/>
          </rPr>
          <t xml:space="preserve">
</t>
        </r>
        <r>
          <rPr>
            <b/>
            <sz val="9"/>
            <color indexed="10"/>
            <rFont val="Tahoma"/>
            <family val="2"/>
          </rPr>
          <t>The text in the cell is flagged red if:</t>
        </r>
        <r>
          <rPr>
            <b/>
            <sz val="9"/>
            <color indexed="81"/>
            <rFont val="Tahoma"/>
            <family val="2"/>
          </rPr>
          <t xml:space="preserve">
</t>
        </r>
        <r>
          <rPr>
            <sz val="9"/>
            <color indexed="81"/>
            <rFont val="Tahoma"/>
            <family val="2"/>
          </rPr>
          <t>-The input voltage is above V</t>
        </r>
        <r>
          <rPr>
            <vertAlign val="subscript"/>
            <sz val="9"/>
            <color indexed="81"/>
            <rFont val="Tahoma"/>
            <family val="2"/>
          </rPr>
          <t>SUPPLY</t>
        </r>
        <r>
          <rPr>
            <sz val="9"/>
            <color indexed="81"/>
            <rFont val="Tahoma"/>
            <family val="2"/>
          </rPr>
          <t>(max)
-The input voltage is below V</t>
        </r>
        <r>
          <rPr>
            <vertAlign val="subscript"/>
            <sz val="9"/>
            <color indexed="81"/>
            <rFont val="Tahoma"/>
            <family val="2"/>
          </rPr>
          <t>SUPPLY</t>
        </r>
        <r>
          <rPr>
            <sz val="9"/>
            <color indexed="81"/>
            <rFont val="Tahoma"/>
            <family val="2"/>
          </rPr>
          <t>(min)</t>
        </r>
      </text>
    </comment>
    <comment ref="H9" authorId="0" shapeId="0" xr:uid="{56DD16C7-B95F-462F-94AB-5E68A4E70794}">
      <text>
        <r>
          <rPr>
            <b/>
            <sz val="9"/>
            <color indexed="81"/>
            <rFont val="Tahoma"/>
            <family val="2"/>
          </rPr>
          <t>Maximum Input Voltage:</t>
        </r>
        <r>
          <rPr>
            <sz val="9"/>
            <color indexed="81"/>
            <rFont val="Tahoma"/>
            <family val="2"/>
          </rPr>
          <t xml:space="preserve">
Enter the maximum operating input voltage.
The LM5155 input voltage operating range is 1.5V to 45V.
The LM5156 input voltage operating range is 1.5V to 60V.
</t>
        </r>
        <r>
          <rPr>
            <b/>
            <sz val="9"/>
            <color indexed="10"/>
            <rFont val="Tahoma"/>
            <family val="2"/>
          </rPr>
          <t xml:space="preserve">
</t>
        </r>
        <r>
          <rPr>
            <b/>
            <sz val="9"/>
            <color indexed="52"/>
            <rFont val="Tahoma"/>
            <family val="2"/>
          </rPr>
          <t>The text in the cell is flagged orange if:</t>
        </r>
        <r>
          <rPr>
            <b/>
            <sz val="9"/>
            <color indexed="10"/>
            <rFont val="Tahoma"/>
            <family val="2"/>
          </rPr>
          <t xml:space="preserve">
</t>
        </r>
        <r>
          <rPr>
            <sz val="9"/>
            <color indexed="81"/>
            <rFont val="Tahoma"/>
            <family val="2"/>
          </rPr>
          <t>-The input voltage is above 45V</t>
        </r>
        <r>
          <rPr>
            <b/>
            <sz val="9"/>
            <color indexed="10"/>
            <rFont val="Tahoma"/>
            <family val="2"/>
          </rPr>
          <t xml:space="preserve">
The text in the cell is flagged red if:</t>
        </r>
        <r>
          <rPr>
            <sz val="9"/>
            <color indexed="81"/>
            <rFont val="Tahoma"/>
            <family val="2"/>
          </rPr>
          <t xml:space="preserve">
-The input voltage is above 60V
-The input voltage is below 1.5V
</t>
        </r>
      </text>
    </comment>
    <comment ref="N10" authorId="0" shapeId="0" xr:uid="{00000000-0006-0000-0000-000007000000}">
      <text>
        <r>
          <rPr>
            <b/>
            <u/>
            <sz val="9"/>
            <color indexed="81"/>
            <rFont val="Tahoma"/>
            <family val="2"/>
          </rPr>
          <t>Load 1 Turns Ratio</t>
        </r>
        <r>
          <rPr>
            <sz val="9"/>
            <color indexed="81"/>
            <rFont val="Tahoma"/>
            <family val="2"/>
          </rPr>
          <t xml:space="preserve">
The turns ratio on the secondary winding of load 1. 
</t>
        </r>
        <r>
          <rPr>
            <b/>
            <sz val="9"/>
            <color indexed="10"/>
            <rFont val="Tahoma"/>
            <family val="2"/>
          </rPr>
          <t>The primary turns ratio (Np) is assumed to be 1</t>
        </r>
      </text>
    </comment>
    <comment ref="N11" authorId="0" shapeId="0" xr:uid="{00000000-0006-0000-0000-000008000000}">
      <text>
        <r>
          <rPr>
            <b/>
            <u/>
            <sz val="9"/>
            <color indexed="81"/>
            <rFont val="Tahoma"/>
            <family val="2"/>
          </rPr>
          <t>DC Resistance of Load 1 Winding</t>
        </r>
        <r>
          <rPr>
            <sz val="9"/>
            <color indexed="81"/>
            <rFont val="Tahoma"/>
            <family val="2"/>
          </rPr>
          <t xml:space="preserve">
Resistance of load 1 winding. For high current outputs this value should be minimized</t>
        </r>
      </text>
    </comment>
    <comment ref="H14" authorId="0" shapeId="0" xr:uid="{00000000-0006-0000-0000-000009000000}">
      <text>
        <r>
          <rPr>
            <b/>
            <u/>
            <sz val="11"/>
            <color indexed="81"/>
            <rFont val="Tahoma"/>
            <family val="2"/>
          </rPr>
          <t>Operating Frequency Set by RT</t>
        </r>
        <r>
          <rPr>
            <b/>
            <sz val="9"/>
            <color indexed="81"/>
            <rFont val="Tahoma"/>
            <family val="2"/>
          </rPr>
          <t xml:space="preserve">
</t>
        </r>
        <r>
          <rPr>
            <sz val="10"/>
            <color indexed="81"/>
            <rFont val="Tahoma"/>
            <family val="2"/>
          </rPr>
          <t>This cell defines the free running switching frequency</t>
        </r>
        <r>
          <rPr>
            <b/>
            <sz val="9"/>
            <color indexed="81"/>
            <rFont val="Tahoma"/>
            <family val="2"/>
          </rPr>
          <t xml:space="preserve">
Text turns red if:
</t>
        </r>
        <r>
          <rPr>
            <sz val="10"/>
            <color indexed="81"/>
            <rFont val="Tahoma"/>
            <family val="2"/>
          </rPr>
          <t xml:space="preserve">Frequency is set below: </t>
        </r>
        <r>
          <rPr>
            <sz val="10"/>
            <color indexed="10"/>
            <rFont val="Tahoma"/>
            <family val="2"/>
          </rPr>
          <t>50kHz</t>
        </r>
        <r>
          <rPr>
            <sz val="10"/>
            <color indexed="81"/>
            <rFont val="Tahoma"/>
            <family val="2"/>
          </rPr>
          <t xml:space="preserve">
Frequenyc is set above: </t>
        </r>
        <r>
          <rPr>
            <sz val="10"/>
            <color indexed="10"/>
            <rFont val="Tahoma"/>
            <family val="2"/>
          </rPr>
          <t>2.2MHz</t>
        </r>
        <r>
          <rPr>
            <sz val="9"/>
            <color indexed="81"/>
            <rFont val="Tahoma"/>
            <family val="2"/>
          </rPr>
          <t xml:space="preserve">
</t>
        </r>
      </text>
    </comment>
    <comment ref="H17" authorId="0" shapeId="0" xr:uid="{00000000-0006-0000-0000-00000A000000}">
      <text>
        <r>
          <rPr>
            <b/>
            <u/>
            <sz val="10"/>
            <color indexed="81"/>
            <rFont val="Tahoma"/>
            <family val="2"/>
          </rPr>
          <t xml:space="preserve">Maximum duty cycle </t>
        </r>
        <r>
          <rPr>
            <sz val="9"/>
            <color indexed="81"/>
            <rFont val="Tahoma"/>
            <family val="2"/>
          </rPr>
          <t xml:space="preserve">
</t>
        </r>
        <r>
          <rPr>
            <sz val="10"/>
            <color indexed="81"/>
            <rFont val="Tahoma"/>
            <family val="2"/>
          </rPr>
          <t>Desired maximum duty cycle of the regulator. If the duty cycle the is set less than 50% the need for external slope compensation is removed. 
Typically between 30% to 70% is  a good starting point.</t>
        </r>
        <r>
          <rPr>
            <sz val="9"/>
            <color indexed="81"/>
            <rFont val="Tahoma"/>
            <family val="2"/>
          </rPr>
          <t xml:space="preserve">
</t>
        </r>
      </text>
    </comment>
    <comment ref="H22" authorId="0" shapeId="0" xr:uid="{00000000-0006-0000-0000-00000B000000}">
      <text>
        <r>
          <rPr>
            <b/>
            <u/>
            <sz val="9"/>
            <color indexed="81"/>
            <rFont val="Tahoma"/>
            <family val="2"/>
          </rPr>
          <t>Primary winding current ripple ratio</t>
        </r>
        <r>
          <rPr>
            <b/>
            <sz val="9"/>
            <color indexed="81"/>
            <rFont val="Tahoma"/>
            <family val="2"/>
          </rPr>
          <t xml:space="preserve">
</t>
        </r>
        <r>
          <rPr>
            <sz val="9"/>
            <color indexed="81"/>
            <rFont val="Tahoma"/>
            <family val="2"/>
          </rPr>
          <t>The ratio between the ripple current vs the average current in the primary winding
30% to 70% ripple is a good starting point.</t>
        </r>
      </text>
    </comment>
    <comment ref="H24" authorId="0" shapeId="0" xr:uid="{00000000-0006-0000-0000-00000C000000}">
      <text>
        <r>
          <rPr>
            <b/>
            <sz val="9"/>
            <color indexed="81"/>
            <rFont val="Tahoma"/>
            <family val="2"/>
          </rPr>
          <t>Primary Winding Inductance</t>
        </r>
        <r>
          <rPr>
            <sz val="9"/>
            <color indexed="81"/>
            <rFont val="Tahoma"/>
            <family val="2"/>
          </rPr>
          <t xml:space="preserve">
Enter the primary winding magnetizing inductance here.
This cell will</t>
        </r>
      </text>
    </comment>
    <comment ref="H25" authorId="0" shapeId="0" xr:uid="{00000000-0006-0000-0000-00000D000000}">
      <text>
        <r>
          <rPr>
            <b/>
            <u/>
            <sz val="9"/>
            <color indexed="81"/>
            <rFont val="Tahoma"/>
            <family val="2"/>
          </rPr>
          <t>DC Resistance of Primary Winding</t>
        </r>
        <r>
          <rPr>
            <b/>
            <sz val="9"/>
            <color indexed="81"/>
            <rFont val="Tahoma"/>
            <family val="2"/>
          </rPr>
          <t xml:space="preserve">
</t>
        </r>
        <r>
          <rPr>
            <sz val="9"/>
            <color indexed="81"/>
            <rFont val="Tahoma"/>
            <family val="2"/>
          </rPr>
          <t xml:space="preserve">Resistance of Primary winding. For high power applications this value should be minimized
</t>
        </r>
      </text>
    </comment>
    <comment ref="H26" authorId="0" shapeId="0" xr:uid="{00000000-0006-0000-0000-00000E000000}">
      <text>
        <r>
          <rPr>
            <b/>
            <u/>
            <sz val="9"/>
            <color indexed="81"/>
            <rFont val="Tahoma"/>
            <family val="2"/>
          </rPr>
          <t>Primary Winding Peak Current:</t>
        </r>
        <r>
          <rPr>
            <b/>
            <sz val="9"/>
            <color indexed="81"/>
            <rFont val="Tahoma"/>
            <family val="2"/>
          </rPr>
          <t xml:space="preserve">
</t>
        </r>
        <r>
          <rPr>
            <sz val="9"/>
            <color indexed="81"/>
            <rFont val="Tahoma"/>
            <family val="2"/>
          </rPr>
          <t xml:space="preserve">Peak current in the primary winding at full output power.
</t>
        </r>
      </text>
    </comment>
    <comment ref="H30" authorId="0" shapeId="0" xr:uid="{00000000-0006-0000-0000-00000F000000}">
      <text>
        <r>
          <rPr>
            <b/>
            <u/>
            <sz val="9"/>
            <color indexed="81"/>
            <rFont val="Tahoma"/>
            <family val="2"/>
          </rPr>
          <t>Peak current Limit Margin</t>
        </r>
        <r>
          <rPr>
            <b/>
            <sz val="9"/>
            <color indexed="81"/>
            <rFont val="Tahoma"/>
            <family val="2"/>
          </rPr>
          <t xml:space="preserve">
</t>
        </r>
        <r>
          <rPr>
            <sz val="9"/>
            <color indexed="81"/>
            <rFont val="Tahoma"/>
            <family val="2"/>
          </rPr>
          <t xml:space="preserve">Percentage above the calculate maximum peak current in the primimary winding. This value sets the required peak current limit
</t>
        </r>
        <r>
          <rPr>
            <sz val="9"/>
            <color indexed="10"/>
            <rFont val="Tahoma"/>
            <family val="2"/>
          </rPr>
          <t>Typically this value should be above 20%, allowing for component tolerances and efficiency</t>
        </r>
        <r>
          <rPr>
            <sz val="9"/>
            <color indexed="81"/>
            <rFont val="Tahoma"/>
            <family val="2"/>
          </rPr>
          <t xml:space="preserve">
</t>
        </r>
      </text>
    </comment>
    <comment ref="H32" authorId="0" shapeId="0" xr:uid="{00000000-0006-0000-0000-000010000000}">
      <text>
        <r>
          <rPr>
            <b/>
            <u/>
            <sz val="9"/>
            <color indexed="81"/>
            <rFont val="Tahoma"/>
            <family val="2"/>
          </rPr>
          <t>Recommended Current Sense Resistor (R</t>
        </r>
        <r>
          <rPr>
            <b/>
            <u/>
            <vertAlign val="subscript"/>
            <sz val="9"/>
            <color indexed="81"/>
            <rFont val="Tahoma"/>
            <family val="2"/>
          </rPr>
          <t>S</t>
        </r>
        <r>
          <rPr>
            <b/>
            <u/>
            <sz val="9"/>
            <color indexed="81"/>
            <rFont val="Tahoma"/>
            <family val="2"/>
          </rPr>
          <t>)</t>
        </r>
        <r>
          <rPr>
            <sz val="9"/>
            <color indexed="81"/>
            <rFont val="Tahoma"/>
            <family val="2"/>
          </rPr>
          <t xml:space="preserve">
Use this resistor to sense current and set the peak overcurrent protection. As such, the calculation takes the required current limit setpoint and the primary winding ripple current amplitude to calculate R</t>
        </r>
        <r>
          <rPr>
            <vertAlign val="subscript"/>
            <sz val="9"/>
            <color indexed="81"/>
            <rFont val="Tahoma"/>
            <family val="2"/>
          </rPr>
          <t>S</t>
        </r>
        <r>
          <rPr>
            <sz val="9"/>
            <color indexed="81"/>
            <rFont val="Tahoma"/>
            <family val="2"/>
          </rPr>
          <t xml:space="preserve">.
The current limit threshold voltage is 100mV with ±10% tolerance.
</t>
        </r>
      </text>
    </comment>
    <comment ref="H33" authorId="0" shapeId="0" xr:uid="{00000000-0006-0000-0000-000011000000}">
      <text>
        <r>
          <rPr>
            <b/>
            <u/>
            <sz val="9"/>
            <color indexed="81"/>
            <rFont val="Tahoma"/>
            <family val="2"/>
          </rPr>
          <t>Recommended External Slope Compensation (R</t>
        </r>
        <r>
          <rPr>
            <b/>
            <u/>
            <vertAlign val="subscript"/>
            <sz val="9"/>
            <color indexed="81"/>
            <rFont val="Tahoma"/>
            <family val="2"/>
          </rPr>
          <t>SL</t>
        </r>
        <r>
          <rPr>
            <b/>
            <u/>
            <sz val="9"/>
            <color indexed="81"/>
            <rFont val="Tahoma"/>
            <family val="2"/>
          </rPr>
          <t>)</t>
        </r>
        <r>
          <rPr>
            <sz val="9"/>
            <color indexed="81"/>
            <rFont val="Tahoma"/>
            <family val="2"/>
          </rPr>
          <t xml:space="preserve">
External Slope compensation. This is only required when operting in CCM mode.</t>
        </r>
      </text>
    </comment>
    <comment ref="H36" authorId="0" shapeId="0" xr:uid="{00000000-0006-0000-0000-000012000000}">
      <text>
        <r>
          <rPr>
            <b/>
            <u/>
            <sz val="9"/>
            <color indexed="81"/>
            <rFont val="Tahoma"/>
            <family val="2"/>
          </rPr>
          <t>Transformer Primary Winding peak current limit</t>
        </r>
        <r>
          <rPr>
            <b/>
            <sz val="9"/>
            <color indexed="81"/>
            <rFont val="Tahoma"/>
            <family val="2"/>
          </rPr>
          <t xml:space="preserve">
</t>
        </r>
        <r>
          <rPr>
            <sz val="9"/>
            <color indexed="81"/>
            <rFont val="Tahoma"/>
            <family val="2"/>
          </rPr>
          <t>Maximum current in the inductor usually occurs at VIN(min). The result is corresponds to onset of current limit and is intended as a guide to transformer selection as it relates to saturation current</t>
        </r>
        <r>
          <rPr>
            <b/>
            <sz val="9"/>
            <color indexed="81"/>
            <rFont val="Tahoma"/>
            <family val="2"/>
          </rPr>
          <t>.</t>
        </r>
      </text>
    </comment>
    <comment ref="H40" authorId="0" shapeId="0" xr:uid="{00000000-0006-0000-0000-000013000000}">
      <text>
        <r>
          <rPr>
            <b/>
            <u/>
            <sz val="9"/>
            <color indexed="81"/>
            <rFont val="Tahoma"/>
            <family val="2"/>
          </rPr>
          <t>Load 1 Load Transient Voltage Ripple</t>
        </r>
        <r>
          <rPr>
            <sz val="9"/>
            <color indexed="81"/>
            <rFont val="Tahoma"/>
            <family val="2"/>
          </rPr>
          <t xml:space="preserve">
Desired output voltage transient for 50% load to 100% load step.
</t>
        </r>
      </text>
    </comment>
    <comment ref="H42" authorId="0" shapeId="0" xr:uid="{00000000-0006-0000-0000-000014000000}">
      <text>
        <r>
          <rPr>
            <b/>
            <u/>
            <sz val="9"/>
            <color indexed="81"/>
            <rFont val="Tahoma"/>
            <family val="2"/>
          </rPr>
          <t>Load 1 Output Capacitance:</t>
        </r>
        <r>
          <rPr>
            <b/>
            <sz val="9"/>
            <color indexed="81"/>
            <rFont val="Tahoma"/>
            <family val="2"/>
          </rPr>
          <t xml:space="preserve">
</t>
        </r>
        <r>
          <rPr>
            <sz val="9"/>
            <color indexed="81"/>
            <rFont val="Tahoma"/>
            <family val="2"/>
          </rPr>
          <t xml:space="preserve">Enter the output capacitance here based on the minimum calculated result. Make sure that the nominal capacitance is appropriately derated for applied voltage, particularly with ceramics.
</t>
        </r>
      </text>
    </comment>
    <comment ref="G47" authorId="0" shapeId="0" xr:uid="{00000000-0006-0000-0000-000015000000}">
      <text>
        <r>
          <rPr>
            <b/>
            <u/>
            <sz val="9"/>
            <color indexed="81"/>
            <rFont val="Tahoma"/>
            <family val="2"/>
          </rPr>
          <t>Soft-start Capacitor</t>
        </r>
        <r>
          <rPr>
            <sz val="9"/>
            <color indexed="81"/>
            <rFont val="Tahoma"/>
            <family val="2"/>
          </rPr>
          <t xml:space="preserve">
If the feedback is selected to be isolated a secondary side soft-start cirucuit should be implemented.</t>
        </r>
      </text>
    </comment>
    <comment ref="H52" authorId="0" shapeId="0" xr:uid="{00000000-0006-0000-0000-000016000000}">
      <text>
        <r>
          <rPr>
            <b/>
            <u/>
            <sz val="9"/>
            <color indexed="81"/>
            <rFont val="Tahoma"/>
            <family val="2"/>
          </rPr>
          <t>UVLO On Voltage</t>
        </r>
        <r>
          <rPr>
            <sz val="9"/>
            <color indexed="81"/>
            <rFont val="Tahoma"/>
            <family val="2"/>
          </rPr>
          <t xml:space="preserve">
Input voltage when LM5155 starts switching. Assuming the UVLO resistor divider is connected to the input rail. This value should be greater than the V</t>
        </r>
        <r>
          <rPr>
            <vertAlign val="subscript"/>
            <sz val="9"/>
            <color indexed="81"/>
            <rFont val="Tahoma"/>
            <family val="2"/>
          </rPr>
          <t xml:space="preserve">UVLO_OFF  </t>
        </r>
        <r>
          <rPr>
            <sz val="9"/>
            <color indexed="81"/>
            <rFont val="Tahoma"/>
            <family val="2"/>
          </rPr>
          <t>voltage
If more hystersis between V</t>
        </r>
        <r>
          <rPr>
            <vertAlign val="subscript"/>
            <sz val="9"/>
            <color indexed="81"/>
            <rFont val="Tahoma"/>
            <family val="2"/>
          </rPr>
          <t>UVLO_ON</t>
        </r>
        <r>
          <rPr>
            <sz val="9"/>
            <color indexed="81"/>
            <rFont val="Tahoma"/>
            <family val="2"/>
          </rPr>
          <t xml:space="preserve"> and V</t>
        </r>
        <r>
          <rPr>
            <vertAlign val="subscript"/>
            <sz val="9"/>
            <color indexed="81"/>
            <rFont val="Tahoma"/>
            <family val="2"/>
          </rPr>
          <t>UVLO_OFF</t>
        </r>
        <r>
          <rPr>
            <sz val="9"/>
            <color indexed="81"/>
            <rFont val="Tahoma"/>
            <family val="2"/>
          </rPr>
          <t xml:space="preserve"> see the datasheet.
</t>
        </r>
      </text>
    </comment>
    <comment ref="H53" authorId="0" shapeId="0" xr:uid="{00000000-0006-0000-0000-000017000000}">
      <text>
        <r>
          <rPr>
            <b/>
            <u/>
            <sz val="9"/>
            <color indexed="81"/>
            <rFont val="Tahoma"/>
            <family val="2"/>
          </rPr>
          <t xml:space="preserve">UVLO Off Voltage
</t>
        </r>
        <r>
          <rPr>
            <sz val="9"/>
            <color indexed="81"/>
            <rFont val="Tahoma"/>
            <family val="2"/>
          </rPr>
          <t xml:space="preserve">
Input voltage when LM5155 stops switching. Assuming the UVLO resistor divider is connected to the input rail. This value should be less than the V</t>
        </r>
        <r>
          <rPr>
            <vertAlign val="subscript"/>
            <sz val="9"/>
            <color indexed="81"/>
            <rFont val="Tahoma"/>
            <family val="2"/>
          </rPr>
          <t>UVLO_ON</t>
        </r>
        <r>
          <rPr>
            <sz val="9"/>
            <color indexed="81"/>
            <rFont val="Tahoma"/>
            <family val="2"/>
          </rPr>
          <t xml:space="preserve">  voltage.
If more hystersis between V</t>
        </r>
        <r>
          <rPr>
            <vertAlign val="subscript"/>
            <sz val="9"/>
            <color indexed="81"/>
            <rFont val="Tahoma"/>
            <family val="2"/>
          </rPr>
          <t>UVLO_ON</t>
        </r>
        <r>
          <rPr>
            <sz val="9"/>
            <color indexed="81"/>
            <rFont val="Tahoma"/>
            <family val="2"/>
          </rPr>
          <t xml:space="preserve"> and V</t>
        </r>
        <r>
          <rPr>
            <vertAlign val="subscript"/>
            <sz val="9"/>
            <color indexed="81"/>
            <rFont val="Tahoma"/>
            <family val="2"/>
          </rPr>
          <t>UVLO_OFF</t>
        </r>
        <r>
          <rPr>
            <sz val="9"/>
            <color indexed="81"/>
            <rFont val="Tahoma"/>
            <family val="2"/>
          </rPr>
          <t xml:space="preserve"> see the datasheet.</t>
        </r>
      </text>
    </comment>
    <comment ref="H62" authorId="0" shapeId="0" xr:uid="{00000000-0006-0000-0000-000018000000}">
      <text>
        <r>
          <rPr>
            <b/>
            <u/>
            <sz val="9"/>
            <color indexed="81"/>
            <rFont val="Tahoma"/>
            <family val="2"/>
          </rPr>
          <t xml:space="preserve">External Reference Voltage
</t>
        </r>
        <r>
          <rPr>
            <sz val="9"/>
            <color indexed="81"/>
            <rFont val="Tahoma"/>
            <family val="2"/>
          </rPr>
          <t xml:space="preserve">Isolated feedback requires the use of an external voltage reference on the secondary side. This is the voltage of the external shunt voltage reference. 
For low ouput voltages (&lt;5V) it is recommended to select a reference voltage of ~1.24V to help simplify the loop compensation design.
</t>
        </r>
      </text>
    </comment>
    <comment ref="H68" authorId="0" shapeId="0" xr:uid="{00000000-0006-0000-0000-000019000000}">
      <text>
        <r>
          <rPr>
            <b/>
            <u/>
            <sz val="10"/>
            <color indexed="81"/>
            <rFont val="Tahoma"/>
            <family val="2"/>
          </rPr>
          <t>Minimum Current Transfer Ratio</t>
        </r>
        <r>
          <rPr>
            <sz val="9"/>
            <color indexed="81"/>
            <rFont val="Tahoma"/>
            <family val="2"/>
          </rPr>
          <t xml:space="preserve">
</t>
        </r>
        <r>
          <rPr>
            <sz val="10"/>
            <color indexed="81"/>
            <rFont val="Tahoma"/>
            <family val="2"/>
          </rPr>
          <t xml:space="preserve">Minimum specified current transfer ratio (CTR) of the selected optocoupler. This is the gain of the optocoupler and is the ratio of the phototransistor collector current to the diode forward current.
As the minimum CTR and the maximum CTR become closer the easier the loop compensation becomes. </t>
        </r>
      </text>
    </comment>
    <comment ref="H69" authorId="0" shapeId="0" xr:uid="{00000000-0006-0000-0000-00001A000000}">
      <text>
        <r>
          <rPr>
            <b/>
            <sz val="9"/>
            <color indexed="81"/>
            <rFont val="Tahoma"/>
            <family val="2"/>
          </rPr>
          <t xml:space="preserve">Minimum Current Transfer Ratio
</t>
        </r>
        <r>
          <rPr>
            <sz val="9"/>
            <color indexed="81"/>
            <rFont val="Tahoma"/>
            <family val="2"/>
          </rPr>
          <t>Minimum specified current transfer ratio (CTR) of the selected optocoupler. This is the gain of the optocoupler and is the ratio of the phototransistor collector current to the diode forward current.
As the minimum CTR and the maximum CTR become closer the easier the loop compensation becomes.</t>
        </r>
        <r>
          <rPr>
            <b/>
            <sz val="9"/>
            <color indexed="81"/>
            <rFont val="Tahoma"/>
            <family val="2"/>
          </rPr>
          <t xml:space="preserve"> </t>
        </r>
        <r>
          <rPr>
            <sz val="9"/>
            <color indexed="81"/>
            <rFont val="Tahoma"/>
            <family val="2"/>
          </rPr>
          <t xml:space="preserve">
</t>
        </r>
      </text>
    </comment>
    <comment ref="H70" authorId="0" shapeId="0" xr:uid="{00000000-0006-0000-0000-00001B000000}">
      <text>
        <r>
          <rPr>
            <b/>
            <u/>
            <sz val="9"/>
            <color indexed="81"/>
            <rFont val="Tahoma"/>
            <family val="2"/>
          </rPr>
          <t>Optocoupler Diode Forward Voltage Drop</t>
        </r>
        <r>
          <rPr>
            <sz val="9"/>
            <color indexed="81"/>
            <rFont val="Tahoma"/>
            <family val="2"/>
          </rPr>
          <t xml:space="preserve">
Use the specified voltage diode voltage drop from the optocoupler datasheet. Typically this is specified with a couple milliamperes (mA) of forward current</t>
        </r>
      </text>
    </comment>
    <comment ref="H71" authorId="0" shapeId="0" xr:uid="{00000000-0006-0000-0000-00001C000000}">
      <text>
        <r>
          <rPr>
            <b/>
            <u/>
            <sz val="9"/>
            <color indexed="81"/>
            <rFont val="Tahoma"/>
            <family val="2"/>
          </rPr>
          <t xml:space="preserve">Phototransistor Collector Capacitance
</t>
        </r>
        <r>
          <rPr>
            <sz val="9"/>
            <color indexed="81"/>
            <rFont val="Tahoma"/>
            <family val="2"/>
          </rPr>
          <t>The capacitance of the phototransistor collector. This sets the high frequency pole in the error amplifier frequency response. This can be estimated by using the frequency response of the optocoupler from the datasheet and the pull-up resistor value.
C</t>
        </r>
        <r>
          <rPr>
            <vertAlign val="subscript"/>
            <sz val="9"/>
            <color indexed="81"/>
            <rFont val="Tahoma"/>
            <family val="2"/>
          </rPr>
          <t>OPTO</t>
        </r>
        <r>
          <rPr>
            <sz val="9"/>
            <color indexed="81"/>
            <rFont val="Tahoma"/>
            <family val="2"/>
          </rPr>
          <t xml:space="preserve"> = 1/(2</t>
        </r>
        <r>
          <rPr>
            <sz val="9"/>
            <color indexed="81"/>
            <rFont val="Calibri"/>
            <family val="2"/>
          </rPr>
          <t>π</t>
        </r>
        <r>
          <rPr>
            <sz val="9"/>
            <color indexed="81"/>
            <rFont val="Tahoma"/>
            <family val="2"/>
          </rPr>
          <t>*R</t>
        </r>
        <r>
          <rPr>
            <vertAlign val="subscript"/>
            <sz val="9"/>
            <color indexed="81"/>
            <rFont val="Tahoma"/>
            <family val="2"/>
          </rPr>
          <t>PULLUP</t>
        </r>
        <r>
          <rPr>
            <sz val="9"/>
            <color indexed="81"/>
            <rFont val="Tahoma"/>
            <family val="2"/>
          </rPr>
          <t>*f</t>
        </r>
        <r>
          <rPr>
            <vertAlign val="subscript"/>
            <sz val="9"/>
            <color indexed="81"/>
            <rFont val="Tahoma"/>
            <family val="2"/>
          </rPr>
          <t>CUTOFF</t>
        </r>
        <r>
          <rPr>
            <sz val="9"/>
            <color indexed="81"/>
            <rFont val="Tahoma"/>
            <family val="2"/>
          </rPr>
          <t>)
A capacitor can be added in parallel to the phototransistor to lower the pole frequency as needed.</t>
        </r>
      </text>
    </comment>
    <comment ref="H72" authorId="0" shapeId="0" xr:uid="{00000000-0006-0000-0000-00001D000000}">
      <text>
        <r>
          <rPr>
            <b/>
            <u/>
            <sz val="9"/>
            <color indexed="81"/>
            <rFont val="Tahoma"/>
            <family val="2"/>
          </rPr>
          <t xml:space="preserve">Phototransistor Saturation voltage
</t>
        </r>
        <r>
          <rPr>
            <sz val="9"/>
            <color indexed="81"/>
            <rFont val="Tahoma"/>
            <family val="2"/>
          </rPr>
          <t>Saturation voltage of the phototransistor as specified in the optocoupler datasheet.</t>
        </r>
      </text>
    </comment>
    <comment ref="H75" authorId="0" shapeId="0" xr:uid="{00000000-0006-0000-0000-00001E000000}">
      <text>
        <r>
          <rPr>
            <b/>
            <u/>
            <sz val="9"/>
            <color indexed="81"/>
            <rFont val="Tahoma"/>
            <family val="2"/>
          </rPr>
          <t>Pull up voltage (V</t>
        </r>
        <r>
          <rPr>
            <b/>
            <u/>
            <vertAlign val="subscript"/>
            <sz val="9"/>
            <color indexed="81"/>
            <rFont val="Tahoma"/>
            <family val="2"/>
          </rPr>
          <t>PULLUP</t>
        </r>
        <r>
          <rPr>
            <b/>
            <u/>
            <sz val="9"/>
            <color indexed="81"/>
            <rFont val="Tahoma"/>
            <family val="2"/>
          </rPr>
          <t>)</t>
        </r>
        <r>
          <rPr>
            <sz val="9"/>
            <color indexed="81"/>
            <rFont val="Tahoma"/>
            <family val="2"/>
          </rPr>
          <t xml:space="preserve">
This can be the VCC voltage of the LM5155/56 or can be supplied by an auxillary winding on the primary side. This value will affect the selection of the pull up resistor.</t>
        </r>
      </text>
    </comment>
    <comment ref="H77" authorId="0" shapeId="0" xr:uid="{00000000-0006-0000-0000-00001F000000}">
      <text>
        <r>
          <rPr>
            <b/>
            <u/>
            <sz val="9"/>
            <color indexed="81"/>
            <rFont val="Tahoma"/>
            <family val="2"/>
          </rPr>
          <t>Pullup Resistor Value</t>
        </r>
        <r>
          <rPr>
            <sz val="9"/>
            <color indexed="81"/>
            <rFont val="Tahoma"/>
            <family val="2"/>
          </rPr>
          <t xml:space="preserve">
Resistor between VPULLUP and the collector of the phototransistor of the  optocoupler. This resistor selection directly affects the mid-band gain of the error amplifier bandwidth</t>
        </r>
      </text>
    </comment>
    <comment ref="H79" authorId="0" shapeId="0" xr:uid="{00000000-0006-0000-0000-000020000000}">
      <text>
        <r>
          <rPr>
            <b/>
            <u/>
            <sz val="9"/>
            <color indexed="81"/>
            <rFont val="Tahoma"/>
            <family val="2"/>
          </rPr>
          <t>LED Resistor (R</t>
        </r>
        <r>
          <rPr>
            <b/>
            <u/>
            <vertAlign val="subscript"/>
            <sz val="9"/>
            <color indexed="81"/>
            <rFont val="Tahoma"/>
            <family val="2"/>
          </rPr>
          <t>LED</t>
        </r>
        <r>
          <rPr>
            <b/>
            <u/>
            <sz val="9"/>
            <color indexed="81"/>
            <rFont val="Tahoma"/>
            <family val="2"/>
          </rPr>
          <t>)</t>
        </r>
        <r>
          <rPr>
            <sz val="9"/>
            <color indexed="81"/>
            <rFont val="Tahoma"/>
            <family val="2"/>
          </rPr>
          <t xml:space="preserve">
Resistor connected between the output voltage and the anode of optocoupler diode. This value should be less than the calculated R</t>
        </r>
        <r>
          <rPr>
            <vertAlign val="subscript"/>
            <sz val="9"/>
            <color indexed="81"/>
            <rFont val="Tahoma"/>
            <family val="2"/>
          </rPr>
          <t>LED_max</t>
        </r>
        <r>
          <rPr>
            <sz val="9"/>
            <color indexed="81"/>
            <rFont val="Tahoma"/>
            <family val="2"/>
          </rPr>
          <t xml:space="preserve"> value above.</t>
        </r>
      </text>
    </comment>
    <comment ref="H83" authorId="0" shapeId="0" xr:uid="{00000000-0006-0000-0000-000021000000}">
      <text>
        <r>
          <rPr>
            <b/>
            <u/>
            <sz val="9"/>
            <color indexed="81"/>
            <rFont val="Tahoma"/>
            <family val="2"/>
          </rPr>
          <t>Selected Loop Crossover Frequency</t>
        </r>
        <r>
          <rPr>
            <sz val="9"/>
            <color indexed="81"/>
            <rFont val="Tahoma"/>
            <family val="2"/>
          </rPr>
          <t xml:space="preserve">
Selected crossover frequency of the control loop. It is recommend to select this value to be less than the cell above.</t>
        </r>
      </text>
    </comment>
    <comment ref="H86" authorId="0" shapeId="0" xr:uid="{00000000-0006-0000-0000-000022000000}">
      <text>
        <r>
          <rPr>
            <b/>
            <u/>
            <sz val="9"/>
            <color indexed="81"/>
            <rFont val="Tahoma"/>
            <family val="2"/>
          </rPr>
          <t>Compensation Resistor Selection (R</t>
        </r>
        <r>
          <rPr>
            <b/>
            <u/>
            <vertAlign val="subscript"/>
            <sz val="9"/>
            <color indexed="81"/>
            <rFont val="Tahoma"/>
            <family val="2"/>
          </rPr>
          <t>COMP</t>
        </r>
        <r>
          <rPr>
            <b/>
            <u/>
            <sz val="9"/>
            <color indexed="81"/>
            <rFont val="Tahoma"/>
            <family val="2"/>
          </rPr>
          <t>)</t>
        </r>
        <r>
          <rPr>
            <b/>
            <sz val="9"/>
            <color indexed="81"/>
            <rFont val="Tahoma"/>
            <family val="2"/>
          </rPr>
          <t xml:space="preserve">
</t>
        </r>
        <r>
          <rPr>
            <sz val="9"/>
            <color indexed="81"/>
            <rFont val="Tahoma"/>
            <family val="2"/>
          </rPr>
          <t>Directly affects the location for the compensation zero and the mid-band gain.
Increasing this value will increase the cross over frequency but decrease the phase margin.</t>
        </r>
      </text>
    </comment>
    <comment ref="H87" authorId="0" shapeId="0" xr:uid="{00000000-0006-0000-0000-000023000000}">
      <text>
        <r>
          <rPr>
            <b/>
            <u/>
            <sz val="9"/>
            <color indexed="81"/>
            <rFont val="Tahoma"/>
            <family val="2"/>
          </rPr>
          <t>Compensation Resistor Selection (C</t>
        </r>
        <r>
          <rPr>
            <b/>
            <u/>
            <vertAlign val="subscript"/>
            <sz val="9"/>
            <color indexed="81"/>
            <rFont val="Tahoma"/>
            <family val="2"/>
          </rPr>
          <t>COMP</t>
        </r>
        <r>
          <rPr>
            <b/>
            <u/>
            <sz val="9"/>
            <color indexed="81"/>
            <rFont val="Tahoma"/>
            <family val="2"/>
          </rPr>
          <t>)</t>
        </r>
        <r>
          <rPr>
            <b/>
            <sz val="9"/>
            <color indexed="81"/>
            <rFont val="Tahoma"/>
            <family val="2"/>
          </rPr>
          <t xml:space="preserve">
</t>
        </r>
        <r>
          <rPr>
            <sz val="9"/>
            <color indexed="81"/>
            <rFont val="Tahoma"/>
            <family val="2"/>
          </rPr>
          <t>Directly affects the location for the compensation zero. Increasing this value will decrease compensation zero location and increase the phase margin</t>
        </r>
        <r>
          <rPr>
            <b/>
            <sz val="9"/>
            <color indexed="81"/>
            <rFont val="Tahoma"/>
            <family val="2"/>
          </rPr>
          <t>.</t>
        </r>
        <r>
          <rPr>
            <sz val="9"/>
            <color indexed="81"/>
            <rFont val="Tahoma"/>
            <family val="2"/>
          </rPr>
          <t xml:space="preserve">
</t>
        </r>
      </text>
    </comment>
    <comment ref="H88" authorId="0" shapeId="0" xr:uid="{00000000-0006-0000-0000-000024000000}">
      <text>
        <r>
          <rPr>
            <b/>
            <u/>
            <sz val="9"/>
            <color indexed="81"/>
            <rFont val="Tahoma"/>
            <family val="2"/>
          </rPr>
          <t>Compensation Capacitor Selection (C</t>
        </r>
        <r>
          <rPr>
            <b/>
            <u/>
            <vertAlign val="subscript"/>
            <sz val="9"/>
            <color indexed="81"/>
            <rFont val="Tahoma"/>
            <family val="2"/>
          </rPr>
          <t>HF</t>
        </r>
        <r>
          <rPr>
            <b/>
            <u/>
            <sz val="9"/>
            <color indexed="81"/>
            <rFont val="Tahoma"/>
            <family val="2"/>
          </rPr>
          <t xml:space="preserve">)
</t>
        </r>
        <r>
          <rPr>
            <sz val="9"/>
            <color indexed="81"/>
            <rFont val="Tahoma"/>
            <family val="2"/>
          </rPr>
          <t xml:space="preserve">
Directly affects the location for the compensation pole. Increasing this value will decrease compensation zero frequency.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K112" authorId="0" shapeId="0" xr:uid="{00000000-0006-0000-0100-000001000000}">
      <text>
        <r>
          <rPr>
            <b/>
            <sz val="9"/>
            <color indexed="81"/>
            <rFont val="Tahoma"/>
            <family val="2"/>
          </rPr>
          <t xml:space="preserve">Slope Compensation flag. If this flag is tripped there is not enough slope compensation. Double check the calculated values
</t>
        </r>
        <r>
          <rPr>
            <sz val="9"/>
            <color indexed="81"/>
            <rFont val="Tahoma"/>
            <family val="2"/>
          </rPr>
          <t xml:space="preserve">
</t>
        </r>
      </text>
    </comment>
    <comment ref="K113" authorId="0" shapeId="0" xr:uid="{00000000-0006-0000-0100-000002000000}">
      <text>
        <r>
          <rPr>
            <sz val="9"/>
            <color indexed="81"/>
            <rFont val="Tahoma"/>
            <family val="2"/>
          </rPr>
          <t xml:space="preserve">Tripped if the current sense resistor results in a lower current limit
</t>
        </r>
      </text>
    </comment>
    <comment ref="B129" authorId="0" shapeId="0" xr:uid="{00000000-0006-0000-0100-000003000000}">
      <text>
        <r>
          <rPr>
            <b/>
            <sz val="9"/>
            <color indexed="81"/>
            <rFont val="Tahoma"/>
            <family val="2"/>
          </rPr>
          <t>BMC-BCS:</t>
        </r>
        <r>
          <rPr>
            <sz val="9"/>
            <color indexed="81"/>
            <rFont val="Tahoma"/>
            <family val="2"/>
          </rPr>
          <t xml:space="preserve">
Needs to be updated for flyback configuration
</t>
        </r>
      </text>
    </comment>
    <comment ref="B137" authorId="0" shapeId="0" xr:uid="{00000000-0006-0000-0100-000004000000}">
      <text>
        <r>
          <rPr>
            <b/>
            <sz val="9"/>
            <color indexed="81"/>
            <rFont val="Tahoma"/>
            <family val="2"/>
          </rPr>
          <t>BMC-BCS:</t>
        </r>
        <r>
          <rPr>
            <sz val="9"/>
            <color indexed="81"/>
            <rFont val="Tahoma"/>
            <family val="2"/>
          </rPr>
          <t xml:space="preserve">
Needs to be updated for flyback configuration
</t>
        </r>
      </text>
    </comment>
    <comment ref="B145" authorId="0" shapeId="0" xr:uid="{00000000-0006-0000-0100-000005000000}">
      <text>
        <r>
          <rPr>
            <b/>
            <sz val="9"/>
            <color indexed="81"/>
            <rFont val="Tahoma"/>
            <family val="2"/>
          </rPr>
          <t>BMC-BCS:</t>
        </r>
        <r>
          <rPr>
            <sz val="9"/>
            <color indexed="81"/>
            <rFont val="Tahoma"/>
            <family val="2"/>
          </rPr>
          <t xml:space="preserve">
Needs to be updated for flyback configuration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N13" authorId="0" shapeId="0" xr:uid="{00000000-0006-0000-0200-000001000000}">
      <text>
        <r>
          <rPr>
            <b/>
            <sz val="9"/>
            <color indexed="81"/>
            <rFont val="Tahoma"/>
            <family val="2"/>
          </rPr>
          <t>BMC-BCS:</t>
        </r>
        <r>
          <rPr>
            <sz val="9"/>
            <color indexed="81"/>
            <rFont val="Tahoma"/>
            <family val="2"/>
          </rPr>
          <t xml:space="preserve">
Ignore this for the design, Pole is based on optocoupler capacitance</t>
        </r>
      </text>
    </comment>
    <comment ref="O18" authorId="0" shapeId="0" xr:uid="{00000000-0006-0000-0200-000002000000}">
      <text>
        <r>
          <rPr>
            <b/>
            <sz val="9"/>
            <color indexed="81"/>
            <rFont val="Tahoma"/>
            <family val="2"/>
          </rPr>
          <t>BMC-BCS:</t>
        </r>
        <r>
          <rPr>
            <sz val="9"/>
            <color indexed="81"/>
            <rFont val="Tahoma"/>
            <family val="2"/>
          </rPr>
          <t xml:space="preserve">
Need to make this log not linear at some point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O18" authorId="0" shapeId="0" xr:uid="{00000000-0006-0000-0300-000001000000}">
      <text>
        <r>
          <rPr>
            <b/>
            <sz val="9"/>
            <color indexed="81"/>
            <rFont val="Tahoma"/>
            <family val="2"/>
          </rPr>
          <t>BMC-BCS:</t>
        </r>
        <r>
          <rPr>
            <sz val="9"/>
            <color indexed="81"/>
            <rFont val="Tahoma"/>
            <family val="2"/>
          </rPr>
          <t xml:space="preserve">
Need to make this log not linear at some point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AF5" authorId="0" shapeId="0" xr:uid="{00000000-0006-0000-0400-000001000000}">
      <text>
        <r>
          <rPr>
            <b/>
            <sz val="9"/>
            <color indexed="81"/>
            <rFont val="Tahoma"/>
            <family val="2"/>
          </rPr>
          <t>BMC-BCS:</t>
        </r>
        <r>
          <rPr>
            <sz val="9"/>
            <color indexed="81"/>
            <rFont val="Tahoma"/>
            <family val="2"/>
          </rPr>
          <t xml:space="preserve">
To simplify the design just assme a fixed loss for the snubber and leakage
</t>
        </r>
      </text>
    </comment>
    <comment ref="U6" authorId="0" shapeId="0" xr:uid="{00000000-0006-0000-0400-000002000000}">
      <text>
        <r>
          <rPr>
            <b/>
            <sz val="9"/>
            <color indexed="81"/>
            <rFont val="Tahoma"/>
            <family val="2"/>
          </rPr>
          <t xml:space="preserve">1 = DCM operation
2 = CCM operation
</t>
        </r>
      </text>
    </comment>
    <comment ref="V6" authorId="0" shapeId="0" xr:uid="{00000000-0006-0000-0400-000003000000}">
      <text>
        <r>
          <rPr>
            <b/>
            <sz val="9"/>
            <color indexed="81"/>
            <rFont val="Tahoma"/>
            <family val="2"/>
          </rPr>
          <t>BMC-BCS:</t>
        </r>
        <r>
          <rPr>
            <sz val="9"/>
            <color indexed="81"/>
            <rFont val="Tahoma"/>
            <family val="2"/>
          </rPr>
          <t xml:space="preserve">
To make the calculations simple the diode is assumed to be idela in CCM operation
</t>
        </r>
      </text>
    </comment>
    <comment ref="AT6" authorId="0" shapeId="0" xr:uid="{00000000-0006-0000-0400-000004000000}">
      <text>
        <r>
          <rPr>
            <b/>
            <sz val="9"/>
            <color indexed="81"/>
            <rFont val="Tahoma"/>
            <family val="2"/>
          </rPr>
          <t>BMC-BCS:</t>
        </r>
        <r>
          <rPr>
            <sz val="9"/>
            <color indexed="81"/>
            <rFont val="Tahoma"/>
            <family val="2"/>
          </rPr>
          <t xml:space="preserve">
Should calculate later
</t>
        </r>
      </text>
    </comment>
    <comment ref="BC6" authorId="0" shapeId="0" xr:uid="{00000000-0006-0000-0400-000005000000}">
      <text>
        <r>
          <rPr>
            <sz val="9"/>
            <color indexed="81"/>
            <rFont val="Tahoma"/>
            <family val="2"/>
          </rPr>
          <t xml:space="preserve">Just use the average current for the approximations
</t>
        </r>
      </text>
    </comment>
    <comment ref="BN6" authorId="0" shapeId="0" xr:uid="{00000000-0006-0000-0400-000006000000}">
      <text>
        <r>
          <rPr>
            <sz val="9"/>
            <color indexed="81"/>
            <rFont val="Tahoma"/>
            <family val="2"/>
          </rPr>
          <t xml:space="preserve">Just use the average current for the approximations
</t>
        </r>
      </text>
    </comment>
  </commentList>
</comments>
</file>

<file path=xl/sharedStrings.xml><?xml version="1.0" encoding="utf-8"?>
<sst xmlns="http://schemas.openxmlformats.org/spreadsheetml/2006/main" count="1394" uniqueCount="711">
  <si>
    <t>TERMS OF USE</t>
  </si>
  <si>
    <t>ABOUT</t>
  </si>
  <si>
    <t>=Input Box</t>
  </si>
  <si>
    <t>Rev 1</t>
  </si>
  <si>
    <t>Step 1: Design Specifications</t>
  </si>
  <si>
    <r>
      <t>Minimum Input Supply Voltage , V</t>
    </r>
    <r>
      <rPr>
        <vertAlign val="subscript"/>
        <sz val="10"/>
        <color theme="1"/>
        <rFont val="Calibri"/>
        <family val="2"/>
        <scheme val="minor"/>
      </rPr>
      <t>SUPPLY(min)</t>
    </r>
    <r>
      <rPr>
        <sz val="10"/>
        <color theme="1"/>
        <rFont val="Calibri"/>
        <family val="2"/>
        <scheme val="minor"/>
      </rPr>
      <t xml:space="preserve"> </t>
    </r>
  </si>
  <si>
    <r>
      <t>Typical Input Supply Voltage, V</t>
    </r>
    <r>
      <rPr>
        <vertAlign val="subscript"/>
        <sz val="10"/>
        <color theme="1"/>
        <rFont val="Calibri"/>
        <family val="2"/>
        <scheme val="minor"/>
      </rPr>
      <t>SUPPLY(typ)</t>
    </r>
    <r>
      <rPr>
        <sz val="10"/>
        <color theme="1"/>
        <rFont val="Calibri"/>
        <family val="2"/>
        <scheme val="minor"/>
      </rPr>
      <t xml:space="preserve"> </t>
    </r>
  </si>
  <si>
    <r>
      <t>Maximum Input Supply Voltage , V</t>
    </r>
    <r>
      <rPr>
        <vertAlign val="subscript"/>
        <sz val="10"/>
        <color theme="1"/>
        <rFont val="Calibri"/>
        <family val="2"/>
        <scheme val="minor"/>
      </rPr>
      <t>SUPPLY(max)</t>
    </r>
    <r>
      <rPr>
        <sz val="10"/>
        <color theme="1"/>
        <rFont val="Calibri"/>
        <family val="2"/>
        <scheme val="minor"/>
      </rPr>
      <t xml:space="preserve"> </t>
    </r>
  </si>
  <si>
    <r>
      <t>Output Target Voltage, V</t>
    </r>
    <r>
      <rPr>
        <vertAlign val="subscript"/>
        <sz val="10"/>
        <color theme="1"/>
        <rFont val="Calibri"/>
        <family val="2"/>
        <scheme val="minor"/>
      </rPr>
      <t>LOAD</t>
    </r>
    <r>
      <rPr>
        <sz val="10"/>
        <color theme="1"/>
        <rFont val="Calibri"/>
        <family val="2"/>
        <scheme val="minor"/>
      </rPr>
      <t xml:space="preserve"> </t>
    </r>
  </si>
  <si>
    <r>
      <t>Maximum Output Current , I</t>
    </r>
    <r>
      <rPr>
        <vertAlign val="subscript"/>
        <sz val="10"/>
        <color theme="1"/>
        <rFont val="Calibri"/>
        <family val="2"/>
        <scheme val="minor"/>
      </rPr>
      <t>LOAD</t>
    </r>
    <r>
      <rPr>
        <sz val="10"/>
        <color theme="1"/>
        <rFont val="Calibri"/>
        <family val="2"/>
        <scheme val="minor"/>
      </rPr>
      <t xml:space="preserve"> </t>
    </r>
  </si>
  <si>
    <r>
      <t>Free Running Switching Frequency, F</t>
    </r>
    <r>
      <rPr>
        <vertAlign val="subscript"/>
        <sz val="10"/>
        <color theme="1"/>
        <rFont val="Calibri"/>
        <family val="2"/>
        <scheme val="minor"/>
      </rPr>
      <t>SW</t>
    </r>
  </si>
  <si>
    <t>V</t>
  </si>
  <si>
    <t>A</t>
  </si>
  <si>
    <t>kHz</t>
  </si>
  <si>
    <t>%</t>
  </si>
  <si>
    <r>
      <t>Output Power, P</t>
    </r>
    <r>
      <rPr>
        <vertAlign val="subscript"/>
        <sz val="10"/>
        <color theme="1"/>
        <rFont val="Calibri"/>
        <family val="2"/>
        <scheme val="minor"/>
      </rPr>
      <t>OUT</t>
    </r>
    <r>
      <rPr>
        <sz val="10"/>
        <color theme="1"/>
        <rFont val="Calibri"/>
        <family val="2"/>
        <scheme val="minor"/>
      </rPr>
      <t xml:space="preserve"> </t>
    </r>
  </si>
  <si>
    <t>EXCEL Variables Names/Calculations</t>
  </si>
  <si>
    <t>Input from user =</t>
  </si>
  <si>
    <t>Output =</t>
  </si>
  <si>
    <t>Constant</t>
  </si>
  <si>
    <t>Variable Name</t>
  </si>
  <si>
    <t>Value</t>
  </si>
  <si>
    <t>STD Units</t>
  </si>
  <si>
    <t>Notes</t>
  </si>
  <si>
    <t>Iteration</t>
  </si>
  <si>
    <t>Step 1: Operational Specs</t>
  </si>
  <si>
    <t>VIN_min</t>
  </si>
  <si>
    <t>VIN_nom</t>
  </si>
  <si>
    <t>VIN_max</t>
  </si>
  <si>
    <t>Minimum input voltage</t>
  </si>
  <si>
    <t>Nominal input voltage</t>
  </si>
  <si>
    <t>Maximum input voltage</t>
  </si>
  <si>
    <t>VOUT</t>
  </si>
  <si>
    <t>IOUT</t>
  </si>
  <si>
    <t>Maximum Output current</t>
  </si>
  <si>
    <t>Ω</t>
  </si>
  <si>
    <t>W</t>
  </si>
  <si>
    <t>EFF_est</t>
  </si>
  <si>
    <t>Total output power</t>
  </si>
  <si>
    <t>Minimum load resistance</t>
  </si>
  <si>
    <t>D_2p2_min</t>
  </si>
  <si>
    <t>D_2p2_nom</t>
  </si>
  <si>
    <t>D_2p2_max</t>
  </si>
  <si>
    <t>Minimum max duty cycle at 2p2MHZ operation</t>
  </si>
  <si>
    <t>t_off_max</t>
  </si>
  <si>
    <t>T_off_nom</t>
  </si>
  <si>
    <t>T_off_min</t>
  </si>
  <si>
    <t>s</t>
  </si>
  <si>
    <t>Minimum forced off time</t>
  </si>
  <si>
    <t>nominal forced off time</t>
  </si>
  <si>
    <t>Maximum forced off time</t>
  </si>
  <si>
    <t xml:space="preserve">IC Duty Cycle Limitation: </t>
  </si>
  <si>
    <t>D_limit_min</t>
  </si>
  <si>
    <t>D_limit_nom</t>
  </si>
  <si>
    <t>D_limit_max</t>
  </si>
  <si>
    <t>Nomminal max duty cycle at low frequency</t>
  </si>
  <si>
    <t>Spec conditions</t>
  </si>
  <si>
    <t>Min max duty cycle at low frequency</t>
  </si>
  <si>
    <t>Maximum max duty cycle at low frequency</t>
  </si>
  <si>
    <t>Nominal right now</t>
  </si>
  <si>
    <t>Fsw</t>
  </si>
  <si>
    <t>Hz</t>
  </si>
  <si>
    <t xml:space="preserve">Switching frequnecy </t>
  </si>
  <si>
    <t>Flag</t>
  </si>
  <si>
    <t>Forced off time limit? [2 True, 1 False]</t>
  </si>
  <si>
    <t>RT</t>
  </si>
  <si>
    <t>Oscillator Set resistor. Based on the datasheet equation</t>
  </si>
  <si>
    <r>
      <t>Free running Oscillator Set Resistor, R</t>
    </r>
    <r>
      <rPr>
        <vertAlign val="subscript"/>
        <sz val="10"/>
        <color theme="1"/>
        <rFont val="Calibri"/>
        <family val="2"/>
        <scheme val="minor"/>
      </rPr>
      <t>T</t>
    </r>
  </si>
  <si>
    <r>
      <t>k</t>
    </r>
    <r>
      <rPr>
        <sz val="11"/>
        <color theme="1"/>
        <rFont val="Calibri"/>
        <family val="2"/>
      </rPr>
      <t>Ω</t>
    </r>
  </si>
  <si>
    <t>Dc_Limit</t>
  </si>
  <si>
    <t>Max duty cycle of LM5155 at Fsw</t>
  </si>
  <si>
    <t>EXCEL Constants / Values / IC Limits</t>
  </si>
  <si>
    <t>ton_min</t>
  </si>
  <si>
    <t>Typical Ton minimum value</t>
  </si>
  <si>
    <t>Lcalc_VIN_min</t>
  </si>
  <si>
    <t>H</t>
  </si>
  <si>
    <t>ILrip</t>
  </si>
  <si>
    <t>Lm</t>
  </si>
  <si>
    <t>Selected filter inductor</t>
  </si>
  <si>
    <t>uH</t>
  </si>
  <si>
    <t>Rdcr</t>
  </si>
  <si>
    <r>
      <t>m</t>
    </r>
    <r>
      <rPr>
        <sz val="11"/>
        <color theme="1"/>
        <rFont val="Calibri"/>
        <family val="2"/>
      </rPr>
      <t>Ω</t>
    </r>
  </si>
  <si>
    <t>.</t>
  </si>
  <si>
    <t>ILp_VINmin</t>
  </si>
  <si>
    <t>Peak inductor current at VIN min. Including estimated efficiency</t>
  </si>
  <si>
    <t>ILrip_VINmin</t>
  </si>
  <si>
    <t xml:space="preserve">Inductor ripple current at VIN min. </t>
  </si>
  <si>
    <t>ILrip_VINnom</t>
  </si>
  <si>
    <t>ILp_VINnom</t>
  </si>
  <si>
    <t>ILrip_VINmax</t>
  </si>
  <si>
    <t>ILp_VINmax</t>
  </si>
  <si>
    <t>Step 3: Current Sense Resistor</t>
  </si>
  <si>
    <t>Selected indutor ripple ratio. Will be changed later to a standard value just to keep things simple</t>
  </si>
  <si>
    <t xml:space="preserve">Inductor ripple current at VIN nom. </t>
  </si>
  <si>
    <t>Peak inductor current at VIN nom. Including estimated efficiency</t>
  </si>
  <si>
    <t xml:space="preserve">Inductor ripple current at VIN max. </t>
  </si>
  <si>
    <t>Peak inductor current at VIN max. Including estimated efficiency</t>
  </si>
  <si>
    <t>Step 3: Current Sense Resistor Selection</t>
  </si>
  <si>
    <t>Ipk_margin</t>
  </si>
  <si>
    <t>Peak current limit margin. 20% is a typical value</t>
  </si>
  <si>
    <t>Ipk_selected</t>
  </si>
  <si>
    <t>Selected peak current limit based on margin selection</t>
  </si>
  <si>
    <t>Filter inductor DCR</t>
  </si>
  <si>
    <t>Ltol</t>
  </si>
  <si>
    <t>Assumed inductor tolerance. Constant to help simplify the user experience</t>
  </si>
  <si>
    <t>Rcs_max</t>
  </si>
  <si>
    <t>Maximum Rcs based on internal slope compensation. Assuming slope ratio of 1/2</t>
  </si>
  <si>
    <t>Rcs_sl_ratio</t>
  </si>
  <si>
    <t>ratio of down slope to slope compensation. This can be updated to give more margin</t>
  </si>
  <si>
    <t>Isl</t>
  </si>
  <si>
    <t>Internal slope compensation ramp</t>
  </si>
  <si>
    <t>Rsl_int</t>
  </si>
  <si>
    <t>Internal Slope compensation resistor</t>
  </si>
  <si>
    <t>Rcs_wo_sl</t>
  </si>
  <si>
    <t>Current sense resistor without slope compensation</t>
  </si>
  <si>
    <t>Vcl</t>
  </si>
  <si>
    <t>Current Limit Value. See datsheet for Parameters</t>
  </si>
  <si>
    <t>Flag_ext_sl</t>
  </si>
  <si>
    <t>Rcs_w_sl</t>
  </si>
  <si>
    <t>Rcs_ext_sl_ratio</t>
  </si>
  <si>
    <t>External Slope compensation ratio. Constant</t>
  </si>
  <si>
    <t>R_sl_ext</t>
  </si>
  <si>
    <t>R_cs_calc</t>
  </si>
  <si>
    <t>R_sl_calc</t>
  </si>
  <si>
    <t>R_cs</t>
  </si>
  <si>
    <t>R_sl</t>
  </si>
  <si>
    <t>Current Sense Resistor calculated</t>
  </si>
  <si>
    <t>External slope compensation resistor</t>
  </si>
  <si>
    <t>Calculated external slope compensation resistor</t>
  </si>
  <si>
    <t>Calculated current sense resistor with slope compensation included</t>
  </si>
  <si>
    <r>
      <t>Recommended external slope compensation Resistor (R</t>
    </r>
    <r>
      <rPr>
        <vertAlign val="subscript"/>
        <sz val="11"/>
        <color theme="1"/>
        <rFont val="Calibri"/>
        <family val="2"/>
        <scheme val="minor"/>
      </rPr>
      <t>SL</t>
    </r>
    <r>
      <rPr>
        <sz val="11"/>
        <color theme="1"/>
        <rFont val="Calibri"/>
        <family val="2"/>
        <scheme val="minor"/>
      </rPr>
      <t>)</t>
    </r>
  </si>
  <si>
    <t>Selected current sense Resistor</t>
  </si>
  <si>
    <t>Selected external slope compensation</t>
  </si>
  <si>
    <r>
      <t>Selected external slope compensation Resistor (R</t>
    </r>
    <r>
      <rPr>
        <vertAlign val="subscript"/>
        <sz val="11"/>
        <color theme="1"/>
        <rFont val="Calibri"/>
        <family val="2"/>
        <scheme val="minor"/>
      </rPr>
      <t>SL</t>
    </r>
    <r>
      <rPr>
        <sz val="11"/>
        <color theme="1"/>
        <rFont val="Calibri"/>
        <family val="2"/>
        <scheme val="minor"/>
      </rPr>
      <t>)</t>
    </r>
  </si>
  <si>
    <t>Check to make sure that slope compensation is high enough at the minimum input voltage</t>
  </si>
  <si>
    <t>Slope Compensation</t>
  </si>
  <si>
    <t>sl_vin_min</t>
  </si>
  <si>
    <t>Actual inductor peak current limit</t>
  </si>
  <si>
    <t>IL_pk</t>
  </si>
  <si>
    <t>IL_pk_max</t>
  </si>
  <si>
    <t>Peak current limit at the minimum input voltage</t>
  </si>
  <si>
    <t>Peak inductor current limit for saturation rating.  VIN max due to the possibility of external slope comp</t>
  </si>
  <si>
    <t>sat_mar</t>
  </si>
  <si>
    <t>Margin for saturation current of the inductor</t>
  </si>
  <si>
    <t>V/V</t>
  </si>
  <si>
    <t>COMP voltage Limit checks</t>
  </si>
  <si>
    <t>Step 4: Output Capacitor Selection</t>
  </si>
  <si>
    <t>mV</t>
  </si>
  <si>
    <t>uF</t>
  </si>
  <si>
    <r>
      <t>Selected Output Capacitance (C</t>
    </r>
    <r>
      <rPr>
        <vertAlign val="subscript"/>
        <sz val="11"/>
        <color theme="1"/>
        <rFont val="Calibri"/>
        <family val="2"/>
        <scheme val="minor"/>
      </rPr>
      <t>OUT</t>
    </r>
    <r>
      <rPr>
        <sz val="11"/>
        <color theme="1"/>
        <rFont val="Calibri"/>
        <family val="2"/>
        <scheme val="minor"/>
      </rPr>
      <t>)</t>
    </r>
  </si>
  <si>
    <t>Desired output ripple</t>
  </si>
  <si>
    <t>F</t>
  </si>
  <si>
    <t>Calculate minimum capacitance based simply on the capacitive ripple</t>
  </si>
  <si>
    <t>IRMS_COUT</t>
  </si>
  <si>
    <t>RMS current of the output capacitor at VIN min IOUT max. RMS current rating should be larger than this.</t>
  </si>
  <si>
    <r>
      <t>Equivalent  COUT ESR (R</t>
    </r>
    <r>
      <rPr>
        <vertAlign val="subscript"/>
        <sz val="11"/>
        <color theme="1"/>
        <rFont val="Calibri"/>
        <family val="2"/>
        <scheme val="minor"/>
      </rPr>
      <t>ESR</t>
    </r>
    <r>
      <rPr>
        <sz val="11"/>
        <color theme="1"/>
        <rFont val="Calibri"/>
        <family val="2"/>
        <scheme val="minor"/>
      </rPr>
      <t>)</t>
    </r>
  </si>
  <si>
    <t>Selected Output Capacitance</t>
  </si>
  <si>
    <t>Selected output capacitance ESR</t>
  </si>
  <si>
    <r>
      <t>Selected Peak Current limit(IL</t>
    </r>
    <r>
      <rPr>
        <vertAlign val="subscript"/>
        <sz val="11"/>
        <color theme="1"/>
        <rFont val="Calibri"/>
        <family val="2"/>
        <scheme val="minor"/>
      </rPr>
      <t>PK_select</t>
    </r>
    <r>
      <rPr>
        <sz val="11"/>
        <color theme="1"/>
        <rFont val="Calibri"/>
        <family val="2"/>
        <scheme val="minor"/>
      </rPr>
      <t>)</t>
    </r>
  </si>
  <si>
    <t>Input Parameters</t>
  </si>
  <si>
    <t>Output Voltage</t>
  </si>
  <si>
    <t>Component Selection</t>
  </si>
  <si>
    <t>LM</t>
  </si>
  <si>
    <t>filter Inductor</t>
  </si>
  <si>
    <t>Current sense resi</t>
  </si>
  <si>
    <t>External Slope Compensation Resistor</t>
  </si>
  <si>
    <t>Interanl Slope Compesnation Resistor</t>
  </si>
  <si>
    <t>Interanl Slope Compesnation current</t>
  </si>
  <si>
    <t>RCOMP</t>
  </si>
  <si>
    <t>kΩ</t>
  </si>
  <si>
    <t>Feedback Resistor Selection</t>
  </si>
  <si>
    <t>pF</t>
  </si>
  <si>
    <t>nF</t>
  </si>
  <si>
    <t>CCOMP</t>
  </si>
  <si>
    <t>CHF</t>
  </si>
  <si>
    <t>Type II compensation Resistort</t>
  </si>
  <si>
    <t>Type II compensation Capacitor</t>
  </si>
  <si>
    <t>Type II high frequency capacitor</t>
  </si>
  <si>
    <t>RFBT</t>
  </si>
  <si>
    <t>RFBB</t>
  </si>
  <si>
    <t>Compensation Components</t>
  </si>
  <si>
    <t>Top feedback resistor</t>
  </si>
  <si>
    <t>Bottom feedback resistor</t>
  </si>
  <si>
    <t>Calculations</t>
  </si>
  <si>
    <t>Frequency</t>
  </si>
  <si>
    <t>Selected VIN</t>
  </si>
  <si>
    <t>VIN_var</t>
  </si>
  <si>
    <t>VIN_VAR</t>
  </si>
  <si>
    <t>Variable input voltage</t>
  </si>
  <si>
    <t>ADC</t>
  </si>
  <si>
    <t>Gcomp</t>
  </si>
  <si>
    <t>Scale down factor of the interal comp voltage divider</t>
  </si>
  <si>
    <t>Intenal step down of the divider</t>
  </si>
  <si>
    <t>DC gain of the plant function</t>
  </si>
  <si>
    <t>Acs</t>
  </si>
  <si>
    <t>Current sense Amplifier Gain (1 for this device)</t>
  </si>
  <si>
    <t>Low Frequency Pole</t>
  </si>
  <si>
    <t>RHPz zero of boost converter</t>
  </si>
  <si>
    <t>ESR zero cause by output capacitance</t>
  </si>
  <si>
    <t>wsl</t>
  </si>
  <si>
    <t>Q</t>
  </si>
  <si>
    <t>Se</t>
  </si>
  <si>
    <t xml:space="preserve">Slope compensation </t>
  </si>
  <si>
    <t>Down slope at the selected input voltage</t>
  </si>
  <si>
    <t>Sn</t>
  </si>
  <si>
    <t>Rad</t>
  </si>
  <si>
    <t>wp_lf</t>
  </si>
  <si>
    <t>wz_rhp</t>
  </si>
  <si>
    <t>wz_esr</t>
  </si>
  <si>
    <t>Gain</t>
  </si>
  <si>
    <t>Phase</t>
  </si>
  <si>
    <t>Sampling</t>
  </si>
  <si>
    <t>Complex</t>
  </si>
  <si>
    <t>Total</t>
  </si>
  <si>
    <t>Plant Transfer Function</t>
  </si>
  <si>
    <t>Error Amplifier</t>
  </si>
  <si>
    <t>Plant Parameters</t>
  </si>
  <si>
    <t>wz_ea</t>
  </si>
  <si>
    <t>Adc_ea</t>
  </si>
  <si>
    <t>gm_ea</t>
  </si>
  <si>
    <t>Error Amplifier Gain</t>
  </si>
  <si>
    <t>A/V</t>
  </si>
  <si>
    <t>wp0_ea</t>
  </si>
  <si>
    <t>wp1_ea</t>
  </si>
  <si>
    <t>ADC_ea</t>
  </si>
  <si>
    <t xml:space="preserve">Gain </t>
  </si>
  <si>
    <t>Open Loop Response</t>
  </si>
  <si>
    <t>COMPLEX</t>
  </si>
  <si>
    <t>dB</t>
  </si>
  <si>
    <t>Selected by user. Feedback resistor should be &gt;100uA to help reject noise</t>
  </si>
  <si>
    <t>Error Amplifier Zero</t>
  </si>
  <si>
    <t>Error Amplifier pole at the origin</t>
  </si>
  <si>
    <t>Error Amplifier pole at high frequencies</t>
  </si>
  <si>
    <t>RFBB_CALC</t>
  </si>
  <si>
    <t>Vref</t>
  </si>
  <si>
    <t>Reference voltage</t>
  </si>
  <si>
    <t>Estimated bottom feedback resistor</t>
  </si>
  <si>
    <t>Selected botton feedback resistor</t>
  </si>
  <si>
    <t>Ifb</t>
  </si>
  <si>
    <t>Current Drawn from the feedback resistors (Typically higher than 100uA to help w/ noise)</t>
  </si>
  <si>
    <r>
      <t xml:space="preserve">Plant low frequency pole. </t>
    </r>
    <r>
      <rPr>
        <b/>
        <sz val="11"/>
        <color theme="1"/>
        <rFont val="Calibri"/>
        <family val="2"/>
        <scheme val="minor"/>
      </rPr>
      <t>IN Hz!!!</t>
    </r>
  </si>
  <si>
    <r>
      <t xml:space="preserve">Plant RHP Zero, </t>
    </r>
    <r>
      <rPr>
        <b/>
        <sz val="11"/>
        <color theme="1"/>
        <rFont val="Calibri"/>
        <family val="2"/>
        <scheme val="minor"/>
      </rPr>
      <t>(IN Hz)</t>
    </r>
  </si>
  <si>
    <r>
      <t xml:space="preserve">Plant capacitor ESR zero </t>
    </r>
    <r>
      <rPr>
        <b/>
        <sz val="11"/>
        <color theme="1"/>
        <rFont val="Calibri"/>
        <family val="2"/>
        <scheme val="minor"/>
      </rPr>
      <t>(In Hz)</t>
    </r>
  </si>
  <si>
    <t>Feedback resistor selection</t>
  </si>
  <si>
    <t>Crossover Frequency Selection</t>
  </si>
  <si>
    <t>Fcross_est</t>
  </si>
  <si>
    <r>
      <t>Calculated bottom feedback resistor (R</t>
    </r>
    <r>
      <rPr>
        <vertAlign val="subscript"/>
        <sz val="11"/>
        <color theme="1"/>
        <rFont val="Calibri"/>
        <family val="2"/>
        <scheme val="minor"/>
      </rPr>
      <t>FBB_cala</t>
    </r>
    <r>
      <rPr>
        <sz val="11"/>
        <color theme="1"/>
        <rFont val="Calibri"/>
        <family val="2"/>
        <scheme val="minor"/>
      </rPr>
      <t>)</t>
    </r>
  </si>
  <si>
    <t>fcross</t>
  </si>
  <si>
    <t>Desired Crossover frequency</t>
  </si>
  <si>
    <t>1/10 the swictching frequency</t>
  </si>
  <si>
    <t>Conservative. Set Fcross to be 1/5th the RHP zero frequency or 1/10th SW: whichever is lower</t>
  </si>
  <si>
    <t>Select the lower crossover frequency</t>
  </si>
  <si>
    <t>Gplant_fc</t>
  </si>
  <si>
    <t>Gain of the plant at the desired crossover frequency</t>
  </si>
  <si>
    <t>Fcross</t>
  </si>
  <si>
    <t>wz_RHP</t>
  </si>
  <si>
    <t>Gplant_fc_dB</t>
  </si>
  <si>
    <t>Plant gain at crossover frequency (dB)</t>
  </si>
  <si>
    <t>Gea_mid_calc</t>
  </si>
  <si>
    <t>Error Amplifier Mid-band gain to set cross over frequency correctly</t>
  </si>
  <si>
    <t>Rcomp_Calc</t>
  </si>
  <si>
    <t>Calculate on based on the desired Mid-band gain needed to set the crossover frequency</t>
  </si>
  <si>
    <t>fz_ea_est</t>
  </si>
  <si>
    <t>Set the fz_ea 1/10th the cross over frequency (Common approach)</t>
  </si>
  <si>
    <t>Set the fz_ea geometerically inbetween crossover and the wp_lf</t>
  </si>
  <si>
    <t>Fz_ea_1</t>
  </si>
  <si>
    <t>Fz_ea_2</t>
  </si>
  <si>
    <t>CCOMP_calc</t>
  </si>
  <si>
    <t>CHF_Calc</t>
  </si>
  <si>
    <t>fp_ea_est</t>
  </si>
  <si>
    <r>
      <t>Select a top feedback resistor(R</t>
    </r>
    <r>
      <rPr>
        <vertAlign val="subscript"/>
        <sz val="11"/>
        <color theme="1"/>
        <rFont val="Calibri"/>
        <family val="2"/>
        <scheme val="minor"/>
      </rPr>
      <t>FBT</t>
    </r>
    <r>
      <rPr>
        <sz val="11"/>
        <color theme="1"/>
        <rFont val="Calibri"/>
        <family val="2"/>
        <scheme val="minor"/>
      </rPr>
      <t>)</t>
    </r>
  </si>
  <si>
    <r>
      <t>Select a bottomresistor based on calculated balue(R</t>
    </r>
    <r>
      <rPr>
        <vertAlign val="subscript"/>
        <sz val="11"/>
        <color theme="1"/>
        <rFont val="Calibri"/>
        <family val="2"/>
        <scheme val="minor"/>
      </rPr>
      <t>FBB</t>
    </r>
    <r>
      <rPr>
        <sz val="11"/>
        <color theme="1"/>
        <rFont val="Calibri"/>
        <family val="2"/>
        <scheme val="minor"/>
      </rPr>
      <t>)</t>
    </r>
  </si>
  <si>
    <t>Step 5: Soft-Start Capacitor Selection</t>
  </si>
  <si>
    <t>Step 6: UVLO Resistor Divider Selection</t>
  </si>
  <si>
    <t>Efficiency / Power Loss Analyzer</t>
  </si>
  <si>
    <r>
      <t>R</t>
    </r>
    <r>
      <rPr>
        <vertAlign val="subscript"/>
        <sz val="11"/>
        <color theme="1"/>
        <rFont val="Calibri"/>
        <family val="2"/>
        <scheme val="minor"/>
      </rPr>
      <t>COMP</t>
    </r>
  </si>
  <si>
    <t>Calculated</t>
  </si>
  <si>
    <t>Selected</t>
  </si>
  <si>
    <t>Steps</t>
  </si>
  <si>
    <t>Step size</t>
  </si>
  <si>
    <t>VIN</t>
  </si>
  <si>
    <t>DCM/CCM</t>
  </si>
  <si>
    <t>DC</t>
  </si>
  <si>
    <t>IIN</t>
  </si>
  <si>
    <t>Icrms_min</t>
  </si>
  <si>
    <t>Minimum required RMS current rating for the output capacitor bank</t>
  </si>
  <si>
    <t>Soft-Start</t>
  </si>
  <si>
    <t>Iss</t>
  </si>
  <si>
    <t>Soft-start capacitor charge current</t>
  </si>
  <si>
    <t>Soft-Start Charge current</t>
  </si>
  <si>
    <t>Css_min</t>
  </si>
  <si>
    <t>Suggested minimum SS capacitor to minize the over shoot.</t>
  </si>
  <si>
    <t>tss</t>
  </si>
  <si>
    <t>Desired Soft-Start Capacitor</t>
  </si>
  <si>
    <r>
      <t>Suggested minimum soft-start capacitor (C</t>
    </r>
    <r>
      <rPr>
        <vertAlign val="subscript"/>
        <sz val="11"/>
        <color theme="1"/>
        <rFont val="Calibri"/>
        <family val="2"/>
        <scheme val="minor"/>
      </rPr>
      <t>SS_MIN</t>
    </r>
    <r>
      <rPr>
        <sz val="11"/>
        <color theme="1"/>
        <rFont val="Calibri"/>
        <family val="2"/>
        <scheme val="minor"/>
      </rPr>
      <t>)</t>
    </r>
  </si>
  <si>
    <t>ms</t>
  </si>
  <si>
    <t>Css_calc</t>
  </si>
  <si>
    <t>Calcualted Soft-start capacitor</t>
  </si>
  <si>
    <r>
      <t>Calculated soft-start capacitor (C</t>
    </r>
    <r>
      <rPr>
        <vertAlign val="subscript"/>
        <sz val="11"/>
        <color theme="1"/>
        <rFont val="Calibri"/>
        <family val="2"/>
        <scheme val="minor"/>
      </rPr>
      <t>SS</t>
    </r>
    <r>
      <rPr>
        <sz val="11"/>
        <color theme="1"/>
        <rFont val="Calibri"/>
        <family val="2"/>
        <scheme val="minor"/>
      </rPr>
      <t>)</t>
    </r>
  </si>
  <si>
    <r>
      <t>Desied soft-start time at minimum input voltage (T</t>
    </r>
    <r>
      <rPr>
        <vertAlign val="subscript"/>
        <sz val="11"/>
        <color theme="1"/>
        <rFont val="Calibri"/>
        <family val="2"/>
        <scheme val="minor"/>
      </rPr>
      <t>SS</t>
    </r>
    <r>
      <rPr>
        <sz val="11"/>
        <color theme="1"/>
        <rFont val="Calibri"/>
        <family val="2"/>
        <scheme val="minor"/>
      </rPr>
      <t>)</t>
    </r>
  </si>
  <si>
    <r>
      <t>Desired voltage OFF (V</t>
    </r>
    <r>
      <rPr>
        <vertAlign val="subscript"/>
        <sz val="11"/>
        <color theme="1"/>
        <rFont val="Calibri"/>
        <family val="2"/>
        <scheme val="minor"/>
      </rPr>
      <t>UVLO_OFF</t>
    </r>
    <r>
      <rPr>
        <sz val="11"/>
        <color theme="1"/>
        <rFont val="Calibri"/>
        <family val="2"/>
        <scheme val="minor"/>
      </rPr>
      <t>)</t>
    </r>
  </si>
  <si>
    <r>
      <t>Desired voltage On (V</t>
    </r>
    <r>
      <rPr>
        <vertAlign val="subscript"/>
        <sz val="11"/>
        <color theme="1"/>
        <rFont val="Calibri"/>
        <family val="2"/>
        <scheme val="minor"/>
      </rPr>
      <t>UVLO_ON</t>
    </r>
    <r>
      <rPr>
        <sz val="11"/>
        <color theme="1"/>
        <rFont val="Calibri"/>
        <family val="2"/>
        <scheme val="minor"/>
      </rPr>
      <t>)</t>
    </r>
  </si>
  <si>
    <t>Step 6: UVLO Resistor Selection</t>
  </si>
  <si>
    <t>Step 5: Soft-start Capacitor selection</t>
  </si>
  <si>
    <t>Vuvlo_on</t>
  </si>
  <si>
    <t>Vuvlo_off</t>
  </si>
  <si>
    <t>Desired turn on voltage</t>
  </si>
  <si>
    <t>Desired turn off voltage</t>
  </si>
  <si>
    <t>UVLO Thresholds</t>
  </si>
  <si>
    <t>UV_rise</t>
  </si>
  <si>
    <t>UV_fall</t>
  </si>
  <si>
    <t>Falling threshold (See datasheet for more details)</t>
  </si>
  <si>
    <t>Rising Threshold (See datasheet for more details)</t>
  </si>
  <si>
    <t>Rising UV threshold</t>
  </si>
  <si>
    <t>Falling  UV threshold</t>
  </si>
  <si>
    <t>UV_I_hyst</t>
  </si>
  <si>
    <t>UVLO current hysteresis</t>
  </si>
  <si>
    <t>UVLO circuit current hysteresis</t>
  </si>
  <si>
    <t>Ruvlo_top_calc</t>
  </si>
  <si>
    <t>Ruvlo_bottom_calc</t>
  </si>
  <si>
    <t>Vuvlo_on_act</t>
  </si>
  <si>
    <t>Vuvlo_off_act</t>
  </si>
  <si>
    <t>Actual turn on voltage</t>
  </si>
  <si>
    <t>Actual turn off voltage</t>
  </si>
  <si>
    <t>Step  7: Loop Compensation</t>
  </si>
  <si>
    <t>Operation Variables</t>
  </si>
  <si>
    <t>Duty Cycle</t>
  </si>
  <si>
    <t>dIL</t>
  </si>
  <si>
    <r>
      <t>IL</t>
    </r>
    <r>
      <rPr>
        <vertAlign val="subscript"/>
        <sz val="11"/>
        <color theme="1"/>
        <rFont val="Calibri"/>
        <family val="2"/>
        <scheme val="minor"/>
      </rPr>
      <t>RMS</t>
    </r>
  </si>
  <si>
    <r>
      <t>IL</t>
    </r>
    <r>
      <rPr>
        <vertAlign val="subscript"/>
        <sz val="11"/>
        <color theme="1"/>
        <rFont val="Calibri"/>
        <family val="2"/>
        <scheme val="minor"/>
      </rPr>
      <t>PEAK</t>
    </r>
  </si>
  <si>
    <t>Step 7: Component Selection</t>
  </si>
  <si>
    <r>
      <t>P</t>
    </r>
    <r>
      <rPr>
        <vertAlign val="subscript"/>
        <sz val="11"/>
        <color theme="1"/>
        <rFont val="Calibri"/>
        <family val="2"/>
        <scheme val="minor"/>
      </rPr>
      <t>Lac</t>
    </r>
    <r>
      <rPr>
        <sz val="11"/>
        <color theme="1"/>
        <rFont val="Calibri"/>
        <family val="2"/>
        <scheme val="minor"/>
      </rPr>
      <t xml:space="preserve"> (W)</t>
    </r>
  </si>
  <si>
    <r>
      <t>P</t>
    </r>
    <r>
      <rPr>
        <vertAlign val="subscript"/>
        <sz val="11"/>
        <color theme="1"/>
        <rFont val="Calibri"/>
        <family val="2"/>
        <scheme val="minor"/>
      </rPr>
      <t>L_DCR</t>
    </r>
    <r>
      <rPr>
        <sz val="11"/>
        <color theme="1"/>
        <rFont val="Calibri"/>
        <family val="2"/>
        <scheme val="minor"/>
      </rPr>
      <t xml:space="preserve"> (W)</t>
    </r>
  </si>
  <si>
    <r>
      <t>On-State Resistance, R</t>
    </r>
    <r>
      <rPr>
        <vertAlign val="subscript"/>
        <sz val="10"/>
        <rFont val="Arial"/>
        <family val="2"/>
      </rPr>
      <t>DS(on)</t>
    </r>
    <r>
      <rPr>
        <sz val="10"/>
        <rFont val="Arial"/>
        <family val="2"/>
      </rPr>
      <t xml:space="preserve"> </t>
    </r>
  </si>
  <si>
    <r>
      <t>Total Gate Charge, Q</t>
    </r>
    <r>
      <rPr>
        <vertAlign val="subscript"/>
        <sz val="10"/>
        <rFont val="Arial"/>
        <family val="2"/>
      </rPr>
      <t>G</t>
    </r>
    <r>
      <rPr>
        <sz val="10"/>
        <rFont val="Arial"/>
        <family val="2"/>
      </rPr>
      <t xml:space="preserve"> </t>
    </r>
  </si>
  <si>
    <r>
      <t>Gate-Drain Charge, Q</t>
    </r>
    <r>
      <rPr>
        <vertAlign val="subscript"/>
        <sz val="10"/>
        <rFont val="Arial"/>
        <family val="2"/>
      </rPr>
      <t>GD</t>
    </r>
    <r>
      <rPr>
        <sz val="10"/>
        <rFont val="Arial"/>
        <family val="2"/>
      </rPr>
      <t xml:space="preserve"> </t>
    </r>
  </si>
  <si>
    <r>
      <t>Gate-Source Charge, Q</t>
    </r>
    <r>
      <rPr>
        <vertAlign val="subscript"/>
        <sz val="10"/>
        <rFont val="Arial"/>
        <family val="2"/>
      </rPr>
      <t>GS</t>
    </r>
    <r>
      <rPr>
        <sz val="10"/>
        <rFont val="Arial"/>
        <family val="2"/>
      </rPr>
      <t xml:space="preserve"> </t>
    </r>
  </si>
  <si>
    <r>
      <t>Gate Resistance, R</t>
    </r>
    <r>
      <rPr>
        <vertAlign val="subscript"/>
        <sz val="10"/>
        <rFont val="Arial"/>
        <family val="2"/>
      </rPr>
      <t>G</t>
    </r>
    <r>
      <rPr>
        <sz val="10"/>
        <rFont val="Arial"/>
        <family val="2"/>
      </rPr>
      <t xml:space="preserve"> </t>
    </r>
  </si>
  <si>
    <r>
      <t>Gate-Source Threshold Voltage, V</t>
    </r>
    <r>
      <rPr>
        <vertAlign val="subscript"/>
        <sz val="10"/>
        <rFont val="Arial"/>
        <family val="2"/>
      </rPr>
      <t>TH</t>
    </r>
    <r>
      <rPr>
        <sz val="10"/>
        <rFont val="Arial"/>
        <family val="2"/>
      </rPr>
      <t xml:space="preserve"> </t>
    </r>
  </si>
  <si>
    <t>mΩ</t>
  </si>
  <si>
    <t>nC</t>
  </si>
  <si>
    <t>Ω</t>
  </si>
  <si>
    <t>S</t>
  </si>
  <si>
    <t>Diode Parameters</t>
  </si>
  <si>
    <t>MOSFET parameters</t>
  </si>
  <si>
    <t>MOSFET Parameters</t>
  </si>
  <si>
    <t>Qg_tot</t>
  </si>
  <si>
    <t>Qgs</t>
  </si>
  <si>
    <t>Qgd</t>
  </si>
  <si>
    <t>Rgate</t>
  </si>
  <si>
    <t>gfs</t>
  </si>
  <si>
    <t>Vth</t>
  </si>
  <si>
    <t>C</t>
  </si>
  <si>
    <t>RDS_on</t>
  </si>
  <si>
    <t>Rgate_int</t>
  </si>
  <si>
    <t>Internal Gate resistance of the MOSFET driver.</t>
  </si>
  <si>
    <t>Vsp</t>
  </si>
  <si>
    <t>Gate voltage when MOSFET begins conducting current</t>
  </si>
  <si>
    <t>Rise time of the switch node</t>
  </si>
  <si>
    <t>Fall time of the switch node</t>
  </si>
  <si>
    <t>VCC</t>
  </si>
  <si>
    <t>VCC regulator</t>
  </si>
  <si>
    <t>Vcc</t>
  </si>
  <si>
    <t>Regulated output voltage of internal LDO. Can change if this is externally biased.</t>
  </si>
  <si>
    <t>Need to double check this value</t>
  </si>
  <si>
    <t xml:space="preserve">VCC voltage. Can be changed with external bias. </t>
  </si>
  <si>
    <t>tr_sw</t>
  </si>
  <si>
    <t>tf_sw</t>
  </si>
  <si>
    <r>
      <t>P</t>
    </r>
    <r>
      <rPr>
        <vertAlign val="subscript"/>
        <sz val="11"/>
        <color theme="1"/>
        <rFont val="Calibri"/>
        <family val="2"/>
        <scheme val="minor"/>
      </rPr>
      <t xml:space="preserve">Q_SW </t>
    </r>
    <r>
      <rPr>
        <sz val="11"/>
        <color theme="1"/>
        <rFont val="Calibri"/>
        <family val="2"/>
        <scheme val="minor"/>
      </rPr>
      <t>(W)</t>
    </r>
  </si>
  <si>
    <r>
      <t>P</t>
    </r>
    <r>
      <rPr>
        <vertAlign val="subscript"/>
        <sz val="11"/>
        <color theme="1"/>
        <rFont val="Calibri"/>
        <family val="2"/>
        <scheme val="minor"/>
      </rPr>
      <t xml:space="preserve">Q_COND </t>
    </r>
    <r>
      <rPr>
        <sz val="11"/>
        <color theme="1"/>
        <rFont val="Calibri"/>
        <family val="2"/>
        <scheme val="minor"/>
      </rPr>
      <t>(W)</t>
    </r>
  </si>
  <si>
    <r>
      <t>P</t>
    </r>
    <r>
      <rPr>
        <vertAlign val="subscript"/>
        <sz val="11"/>
        <color theme="1"/>
        <rFont val="Calibri"/>
        <family val="2"/>
        <scheme val="minor"/>
      </rPr>
      <t xml:space="preserve">Q_tot </t>
    </r>
    <r>
      <rPr>
        <sz val="11"/>
        <color theme="1"/>
        <rFont val="Calibri"/>
        <family val="2"/>
        <scheme val="minor"/>
      </rPr>
      <t>(W)</t>
    </r>
  </si>
  <si>
    <r>
      <t>P</t>
    </r>
    <r>
      <rPr>
        <vertAlign val="subscript"/>
        <sz val="11"/>
        <color theme="1"/>
        <rFont val="Calibri"/>
        <family val="2"/>
        <scheme val="minor"/>
      </rPr>
      <t>L_tot</t>
    </r>
    <r>
      <rPr>
        <sz val="11"/>
        <color theme="1"/>
        <rFont val="Calibri"/>
        <family val="2"/>
        <scheme val="minor"/>
      </rPr>
      <t xml:space="preserve"> (W)</t>
    </r>
  </si>
  <si>
    <r>
      <t>P</t>
    </r>
    <r>
      <rPr>
        <vertAlign val="subscript"/>
        <sz val="11"/>
        <color theme="1"/>
        <rFont val="Calibri"/>
        <family val="2"/>
        <scheme val="minor"/>
      </rPr>
      <t>RCS</t>
    </r>
    <r>
      <rPr>
        <sz val="11"/>
        <color theme="1"/>
        <rFont val="Calibri"/>
        <family val="2"/>
        <scheme val="minor"/>
      </rPr>
      <t xml:space="preserve"> (W)</t>
    </r>
  </si>
  <si>
    <r>
      <t>P</t>
    </r>
    <r>
      <rPr>
        <vertAlign val="subscript"/>
        <sz val="11"/>
        <color theme="1"/>
        <rFont val="Calibri"/>
        <family val="2"/>
        <scheme val="minor"/>
      </rPr>
      <t>G_drv</t>
    </r>
    <r>
      <rPr>
        <sz val="11"/>
        <color theme="1"/>
        <rFont val="Calibri"/>
        <family val="2"/>
        <scheme val="minor"/>
      </rPr>
      <t xml:space="preserve"> (W)</t>
    </r>
  </si>
  <si>
    <r>
      <t>P</t>
    </r>
    <r>
      <rPr>
        <vertAlign val="subscript"/>
        <sz val="11"/>
        <color theme="1"/>
        <rFont val="Calibri"/>
        <family val="2"/>
        <scheme val="minor"/>
      </rPr>
      <t>IQ</t>
    </r>
    <r>
      <rPr>
        <sz val="11"/>
        <color theme="1"/>
        <rFont val="Calibri"/>
        <family val="2"/>
        <scheme val="minor"/>
      </rPr>
      <t xml:space="preserve"> (W)</t>
    </r>
  </si>
  <si>
    <t>IQ current</t>
  </si>
  <si>
    <t xml:space="preserve">IQ </t>
  </si>
  <si>
    <t>Non-switching IQ current</t>
  </si>
  <si>
    <t>Other Losses</t>
  </si>
  <si>
    <r>
      <t>C</t>
    </r>
    <r>
      <rPr>
        <vertAlign val="subscript"/>
        <sz val="11"/>
        <color theme="1"/>
        <rFont val="Calibri"/>
        <family val="2"/>
        <scheme val="minor"/>
      </rPr>
      <t>COMP</t>
    </r>
  </si>
  <si>
    <r>
      <t>C</t>
    </r>
    <r>
      <rPr>
        <vertAlign val="subscript"/>
        <sz val="11"/>
        <color theme="1"/>
        <rFont val="Calibri"/>
        <family val="2"/>
        <scheme val="minor"/>
      </rPr>
      <t>HF</t>
    </r>
  </si>
  <si>
    <t>RHP_zero location based on the minimum input voltage</t>
  </si>
  <si>
    <t>Low frequency pole based on the minimum input voltage</t>
  </si>
  <si>
    <t>rad</t>
  </si>
  <si>
    <t>raf</t>
  </si>
  <si>
    <t>ESR zero based on the minimum input voltage</t>
  </si>
  <si>
    <t>This is based on the minimum input voltage. T</t>
  </si>
  <si>
    <t>Input Voltage</t>
  </si>
  <si>
    <r>
      <t>Selected band width (F</t>
    </r>
    <r>
      <rPr>
        <vertAlign val="subscript"/>
        <sz val="11"/>
        <color theme="1"/>
        <rFont val="Calibri"/>
        <family val="2"/>
        <scheme val="minor"/>
      </rPr>
      <t>CO</t>
    </r>
    <r>
      <rPr>
        <sz val="11"/>
        <color theme="1"/>
        <rFont val="Calibri"/>
        <family val="2"/>
        <scheme val="minor"/>
      </rPr>
      <t>)</t>
    </r>
  </si>
  <si>
    <r>
      <t>Calculated top UVLO resistor value (R</t>
    </r>
    <r>
      <rPr>
        <vertAlign val="subscript"/>
        <sz val="11"/>
        <color theme="1"/>
        <rFont val="Calibri"/>
        <family val="2"/>
        <scheme val="minor"/>
      </rPr>
      <t>UVT_CALC</t>
    </r>
    <r>
      <rPr>
        <sz val="11"/>
        <color theme="1"/>
        <rFont val="Calibri"/>
        <family val="2"/>
        <scheme val="minor"/>
      </rPr>
      <t>)</t>
    </r>
  </si>
  <si>
    <r>
      <t>Selected top UVLO resistor value (R</t>
    </r>
    <r>
      <rPr>
        <vertAlign val="subscript"/>
        <sz val="11"/>
        <color theme="1"/>
        <rFont val="Calibri"/>
        <family val="2"/>
        <scheme val="minor"/>
      </rPr>
      <t>UVT</t>
    </r>
    <r>
      <rPr>
        <sz val="11"/>
        <color theme="1"/>
        <rFont val="Calibri"/>
        <family val="2"/>
        <scheme val="minor"/>
      </rPr>
      <t>)</t>
    </r>
  </si>
  <si>
    <r>
      <t>Bottom UVLO Resistor (R</t>
    </r>
    <r>
      <rPr>
        <vertAlign val="subscript"/>
        <sz val="11"/>
        <color theme="1"/>
        <rFont val="Calibri"/>
        <family val="2"/>
        <scheme val="minor"/>
      </rPr>
      <t>UVB</t>
    </r>
    <r>
      <rPr>
        <sz val="11"/>
        <color theme="1"/>
        <rFont val="Calibri"/>
        <family val="2"/>
        <scheme val="minor"/>
      </rPr>
      <t>)</t>
    </r>
  </si>
  <si>
    <t>Calcualted top UVLO resistor</t>
  </si>
  <si>
    <t>Selected top UVLO resistor</t>
  </si>
  <si>
    <t>Calcualted Bottom UBLO Resistor</t>
  </si>
  <si>
    <t>Frcoss (VIN)min</t>
  </si>
  <si>
    <t>ADC_VINmin</t>
  </si>
  <si>
    <t>wp_lf_VINmin</t>
  </si>
  <si>
    <t>fp_lf_VINmin</t>
  </si>
  <si>
    <t>wz_esr_VINmin</t>
  </si>
  <si>
    <t>fz_esr_VINmin</t>
  </si>
  <si>
    <t>wz_RHP_VINmin</t>
  </si>
  <si>
    <t>fz_rhp_VINmin</t>
  </si>
  <si>
    <t>Se_VINmin</t>
  </si>
  <si>
    <t>Sn_VINmin</t>
  </si>
  <si>
    <t>wsl_VINmin</t>
  </si>
  <si>
    <t>Q_VINmin</t>
  </si>
  <si>
    <t>Operation Raange</t>
  </si>
  <si>
    <t>Vin_op_min</t>
  </si>
  <si>
    <t>Minimum operating voltage</t>
  </si>
  <si>
    <t>Maximum BIAS pin operating voltage</t>
  </si>
  <si>
    <t>Vin_op_max</t>
  </si>
  <si>
    <r>
      <t>Desired Maximum Inductor Current Ripple Ratio (I</t>
    </r>
    <r>
      <rPr>
        <vertAlign val="subscript"/>
        <sz val="10"/>
        <color theme="1"/>
        <rFont val="Calibri"/>
        <family val="2"/>
        <scheme val="minor"/>
      </rPr>
      <t>RR_MAX</t>
    </r>
    <r>
      <rPr>
        <sz val="10"/>
        <color theme="1"/>
        <rFont val="Calibri"/>
        <family val="2"/>
        <scheme val="minor"/>
      </rPr>
      <t>)</t>
    </r>
  </si>
  <si>
    <t>Peak Current Limit Margin</t>
  </si>
  <si>
    <r>
      <t>Voltage selected (V</t>
    </r>
    <r>
      <rPr>
        <vertAlign val="subscript"/>
        <sz val="11"/>
        <rFont val="Calibri"/>
        <family val="2"/>
        <scheme val="minor"/>
      </rPr>
      <t>IN_VAR</t>
    </r>
    <r>
      <rPr>
        <sz val="11"/>
        <rFont val="Calibri"/>
        <family val="2"/>
        <scheme val="minor"/>
      </rPr>
      <t>)</t>
    </r>
  </si>
  <si>
    <t>This should be set at or near the lowest RHP zero Frequency</t>
  </si>
  <si>
    <t>Set between 1/2 fsw and the RHPz in the application note. This is aggressive</t>
  </si>
  <si>
    <r>
      <t>Recommended current sense Resistor (R</t>
    </r>
    <r>
      <rPr>
        <vertAlign val="subscript"/>
        <sz val="11"/>
        <color theme="1"/>
        <rFont val="Calibri"/>
        <family val="2"/>
        <scheme val="minor"/>
      </rPr>
      <t>S</t>
    </r>
    <r>
      <rPr>
        <sz val="11"/>
        <color theme="1"/>
        <rFont val="Calibri"/>
        <family val="2"/>
        <scheme val="minor"/>
      </rPr>
      <t>)</t>
    </r>
  </si>
  <si>
    <r>
      <t>Selected current sense Resistor (R</t>
    </r>
    <r>
      <rPr>
        <vertAlign val="subscript"/>
        <sz val="11"/>
        <color theme="1"/>
        <rFont val="Calibri"/>
        <family val="2"/>
        <scheme val="minor"/>
      </rPr>
      <t>S</t>
    </r>
    <r>
      <rPr>
        <sz val="11"/>
        <color theme="1"/>
        <rFont val="Calibri"/>
        <family val="2"/>
        <scheme val="minor"/>
      </rPr>
      <t>)</t>
    </r>
  </si>
  <si>
    <t>VOUT1</t>
  </si>
  <si>
    <t>IOUT1</t>
  </si>
  <si>
    <t>ROUT1</t>
  </si>
  <si>
    <t>POUT1</t>
  </si>
  <si>
    <t>VOUT2</t>
  </si>
  <si>
    <t>IOUT2</t>
  </si>
  <si>
    <t>ROUT2</t>
  </si>
  <si>
    <t>POUT2</t>
  </si>
  <si>
    <t>VOUT3</t>
  </si>
  <si>
    <t>IOUT3</t>
  </si>
  <si>
    <t>ROUT3</t>
  </si>
  <si>
    <t>POUT3</t>
  </si>
  <si>
    <t>POUT_Total</t>
  </si>
  <si>
    <t>Enable</t>
  </si>
  <si>
    <t>EN_OUT_3</t>
  </si>
  <si>
    <t>EN_OUT_2</t>
  </si>
  <si>
    <t>Enable the second output voltage</t>
  </si>
  <si>
    <t>Enable the third output voltage</t>
  </si>
  <si>
    <t>Target Output Voltage, First output voltage should always be the one regulated, and should be active</t>
  </si>
  <si>
    <t>Step 2: Transformer Specifications</t>
  </si>
  <si>
    <r>
      <t>Recommended Inductance Primary Inductance (L</t>
    </r>
    <r>
      <rPr>
        <vertAlign val="subscript"/>
        <sz val="10"/>
        <color theme="1"/>
        <rFont val="Calibri"/>
        <family val="2"/>
        <scheme val="minor"/>
      </rPr>
      <t>M_CALC</t>
    </r>
    <r>
      <rPr>
        <sz val="10"/>
        <color theme="1"/>
        <rFont val="Calibri"/>
        <family val="2"/>
        <scheme val="minor"/>
      </rPr>
      <t>)</t>
    </r>
  </si>
  <si>
    <r>
      <t>User Selected Primary Inductance, (L</t>
    </r>
    <r>
      <rPr>
        <vertAlign val="subscript"/>
        <sz val="10"/>
        <color theme="1"/>
        <rFont val="Calibri"/>
        <family val="2"/>
        <scheme val="minor"/>
      </rPr>
      <t>M</t>
    </r>
    <r>
      <rPr>
        <sz val="10"/>
        <color theme="1"/>
        <rFont val="Calibri"/>
        <family val="2"/>
        <scheme val="minor"/>
      </rPr>
      <t>)</t>
    </r>
  </si>
  <si>
    <t>Np</t>
  </si>
  <si>
    <t>Step 2: Transformer Specs</t>
  </si>
  <si>
    <t>The number of turns on the primary side. Can change to help ease calculations</t>
  </si>
  <si>
    <t>Maximum duty cycle for the design</t>
  </si>
  <si>
    <r>
      <t>Desired Maximum Duty Cycle (D</t>
    </r>
    <r>
      <rPr>
        <vertAlign val="subscript"/>
        <sz val="11"/>
        <color theme="1"/>
        <rFont val="Calibri"/>
        <family val="2"/>
        <scheme val="minor"/>
      </rPr>
      <t>MAX</t>
    </r>
    <r>
      <rPr>
        <sz val="11"/>
        <color theme="1"/>
        <rFont val="Calibri"/>
        <family val="2"/>
        <scheme val="minor"/>
      </rPr>
      <t>)</t>
    </r>
  </si>
  <si>
    <t>System Constants</t>
  </si>
  <si>
    <t>Vd</t>
  </si>
  <si>
    <t>This is just the standard voltage drop of a diode allows for some head room on duty cycle calculations</t>
  </si>
  <si>
    <t>Dmax_limit</t>
  </si>
  <si>
    <t>Calcualted secondary side (VOUT1) Turns Ratio (Assuming CCM operation)</t>
  </si>
  <si>
    <t>Selected Turns Ratio for regulated primary rail</t>
  </si>
  <si>
    <t>NS2_calc</t>
  </si>
  <si>
    <t>NS2</t>
  </si>
  <si>
    <t>Calcualted secondary side (VOUT2)</t>
  </si>
  <si>
    <t xml:space="preserve">Selected Turns Ratio for VOUT2 </t>
  </si>
  <si>
    <t>N1S_calc</t>
  </si>
  <si>
    <t>Ns1_</t>
  </si>
  <si>
    <t>Turns</t>
  </si>
  <si>
    <t>Target Output Voltage (Absolute Maximum)</t>
  </si>
  <si>
    <t>Target Output Voltage (Absolute Maximum Voltage)</t>
  </si>
  <si>
    <r>
      <t>Calculated Secondary Side turns (N</t>
    </r>
    <r>
      <rPr>
        <vertAlign val="subscript"/>
        <sz val="11"/>
        <color theme="1"/>
        <rFont val="Calibri"/>
        <family val="2"/>
        <scheme val="minor"/>
      </rPr>
      <t>Sx_calc</t>
    </r>
    <r>
      <rPr>
        <sz val="11"/>
        <color theme="1"/>
        <rFont val="Calibri"/>
        <family val="2"/>
        <scheme val="minor"/>
      </rPr>
      <t>)</t>
    </r>
  </si>
  <si>
    <r>
      <t>Selected Secondary Side turns (N</t>
    </r>
    <r>
      <rPr>
        <vertAlign val="subscript"/>
        <sz val="11"/>
        <color theme="1"/>
        <rFont val="Calibri"/>
        <family val="2"/>
        <scheme val="minor"/>
      </rPr>
      <t>Sx_</t>
    </r>
    <r>
      <rPr>
        <sz val="11"/>
        <color theme="1"/>
        <rFont val="Calibri"/>
        <family val="2"/>
        <scheme val="minor"/>
      </rPr>
      <t>)</t>
    </r>
  </si>
  <si>
    <t>Ns3_calc</t>
  </si>
  <si>
    <t>NS3_</t>
  </si>
  <si>
    <t>Calcualted secondary side (VOUT3)</t>
  </si>
  <si>
    <t xml:space="preserve">Selected Turns Ratio for VOUT3 </t>
  </si>
  <si>
    <r>
      <t>Adjusted output voltage (V</t>
    </r>
    <r>
      <rPr>
        <vertAlign val="subscript"/>
        <sz val="11"/>
        <color theme="1"/>
        <rFont val="Calibri"/>
        <family val="2"/>
        <scheme val="minor"/>
      </rPr>
      <t>LOADx</t>
    </r>
    <r>
      <rPr>
        <sz val="11"/>
        <color theme="1"/>
        <rFont val="Calibri"/>
        <family val="2"/>
        <scheme val="minor"/>
      </rPr>
      <t>)</t>
    </r>
  </si>
  <si>
    <t>VOUT2_act</t>
  </si>
  <si>
    <t>Actual Output voltage</t>
  </si>
  <si>
    <t>VOUT3_act</t>
  </si>
  <si>
    <t>Dmax_act</t>
  </si>
  <si>
    <r>
      <t>Approximate Maximum Duty Cycle (D</t>
    </r>
    <r>
      <rPr>
        <vertAlign val="subscript"/>
        <sz val="11"/>
        <color theme="1"/>
        <rFont val="Calibri"/>
        <family val="2"/>
        <scheme val="minor"/>
      </rPr>
      <t>MAX</t>
    </r>
    <r>
      <rPr>
        <sz val="11"/>
        <color theme="1"/>
        <rFont val="Calibri"/>
        <family val="2"/>
        <scheme val="minor"/>
      </rPr>
      <t>)</t>
    </r>
  </si>
  <si>
    <t>Occurs at the minimum input voltage</t>
  </si>
  <si>
    <t>VIN nom nominal Duty cycle</t>
  </si>
  <si>
    <t>VIN max nominal Duty cycle</t>
  </si>
  <si>
    <t>Estimated efficiency of the conveter. For right now need to just keep this 1</t>
  </si>
  <si>
    <t>Vreflect</t>
  </si>
  <si>
    <t>Inductor at Maximum input voltage (Includes the diode drop in the duty cycle calculation)</t>
  </si>
  <si>
    <t>IL_avg_VIN_min</t>
  </si>
  <si>
    <t>average input current</t>
  </si>
  <si>
    <t>Vout1_rip_sel</t>
  </si>
  <si>
    <t>Cout1_min</t>
  </si>
  <si>
    <t>Resr1</t>
  </si>
  <si>
    <t>Vout3_rip_sel</t>
  </si>
  <si>
    <t>Cout3_min</t>
  </si>
  <si>
    <t>Resr3</t>
  </si>
  <si>
    <t>Load 2</t>
  </si>
  <si>
    <t>Load 3</t>
  </si>
  <si>
    <t>Load 1</t>
  </si>
  <si>
    <t>Cout_total</t>
  </si>
  <si>
    <t>Resr_total</t>
  </si>
  <si>
    <t>Vout2_rip_sel</t>
  </si>
  <si>
    <t>Cout2_min</t>
  </si>
  <si>
    <t>Cout2</t>
  </si>
  <si>
    <t>Resr2</t>
  </si>
  <si>
    <t>Resr2_Trans</t>
  </si>
  <si>
    <t>ESR tranfered to the regualted winding of the transformer</t>
  </si>
  <si>
    <t>Total output cap ESR refered to the pregulated winding (VOUT1). Used for loop modeling</t>
  </si>
  <si>
    <t>Total output capacitance refered to the regulated winding (VOUT1). Used for loop modeling</t>
  </si>
  <si>
    <t>Need to finish updating from here</t>
  </si>
  <si>
    <t>POUT_Var</t>
  </si>
  <si>
    <t>Variable output Power (Need to add this in</t>
  </si>
  <si>
    <t>COUT_total</t>
  </si>
  <si>
    <t>CCM Model</t>
  </si>
  <si>
    <t>Dc</t>
  </si>
  <si>
    <t>Duty cycle at Vin_var</t>
  </si>
  <si>
    <t>mc</t>
  </si>
  <si>
    <r>
      <t>External voltage reference voltage (V</t>
    </r>
    <r>
      <rPr>
        <vertAlign val="subscript"/>
        <sz val="11"/>
        <color theme="1"/>
        <rFont val="Calibri"/>
        <family val="2"/>
        <scheme val="minor"/>
      </rPr>
      <t>ref_iso</t>
    </r>
    <r>
      <rPr>
        <sz val="11"/>
        <color theme="1"/>
        <rFont val="Calibri"/>
        <family val="2"/>
        <scheme val="minor"/>
      </rPr>
      <t>)</t>
    </r>
  </si>
  <si>
    <t>Otpocoupler selection Resistor Selection</t>
  </si>
  <si>
    <r>
      <t>Minimum current transfer Ratio (k</t>
    </r>
    <r>
      <rPr>
        <vertAlign val="subscript"/>
        <sz val="11"/>
        <color theme="1"/>
        <rFont val="Calibri"/>
        <family val="2"/>
        <scheme val="minor"/>
      </rPr>
      <t>OPTO_min</t>
    </r>
    <r>
      <rPr>
        <sz val="11"/>
        <color theme="1"/>
        <rFont val="Calibri"/>
        <family val="2"/>
        <scheme val="minor"/>
      </rPr>
      <t>)</t>
    </r>
  </si>
  <si>
    <r>
      <t>Maximum current transfer Ratio (k</t>
    </r>
    <r>
      <rPr>
        <vertAlign val="subscript"/>
        <sz val="11"/>
        <color theme="1"/>
        <rFont val="Calibri"/>
        <family val="2"/>
        <scheme val="minor"/>
      </rPr>
      <t>OPTO_max</t>
    </r>
    <r>
      <rPr>
        <sz val="11"/>
        <color theme="1"/>
        <rFont val="Calibri"/>
        <family val="2"/>
        <scheme val="minor"/>
      </rPr>
      <t>)</t>
    </r>
  </si>
  <si>
    <r>
      <t>Worst case diode voltage drop (V</t>
    </r>
    <r>
      <rPr>
        <vertAlign val="subscript"/>
        <sz val="11"/>
        <color theme="1"/>
        <rFont val="Calibri"/>
        <family val="2"/>
        <scheme val="minor"/>
      </rPr>
      <t>D_opto</t>
    </r>
    <r>
      <rPr>
        <sz val="11"/>
        <color theme="1"/>
        <rFont val="Calibri"/>
        <family val="2"/>
        <scheme val="minor"/>
      </rPr>
      <t>)</t>
    </r>
  </si>
  <si>
    <t>Select Feedback type</t>
  </si>
  <si>
    <t>Feedback type</t>
  </si>
  <si>
    <t>Isolated</t>
  </si>
  <si>
    <t>Non-isolated</t>
  </si>
  <si>
    <t>FB_type</t>
  </si>
  <si>
    <t>The type of feedback selected. 1 isolated feedback, 2 non-isolated feedback</t>
  </si>
  <si>
    <t>isolate Feedback calculations</t>
  </si>
  <si>
    <t>Vref_iso</t>
  </si>
  <si>
    <t>External reference voltage. This is needed for isolated feedback designs</t>
  </si>
  <si>
    <t>RFBT_iso</t>
  </si>
  <si>
    <t>RFBB_iso_calc</t>
  </si>
  <si>
    <t>RFBB_iso</t>
  </si>
  <si>
    <t>Calcualted bottom feedback resistor</t>
  </si>
  <si>
    <t>Selected top feedback resistor</t>
  </si>
  <si>
    <t>Selected bottom feedback resistor</t>
  </si>
  <si>
    <t>A/A</t>
  </si>
  <si>
    <r>
      <t>Minimum value for pullup resistor (R</t>
    </r>
    <r>
      <rPr>
        <vertAlign val="subscript"/>
        <sz val="11"/>
        <color theme="1"/>
        <rFont val="Calibri"/>
        <family val="2"/>
        <scheme val="minor"/>
      </rPr>
      <t>PULLUP_min</t>
    </r>
    <r>
      <rPr>
        <sz val="11"/>
        <color theme="1"/>
        <rFont val="Calibri"/>
        <family val="2"/>
        <scheme val="minor"/>
      </rPr>
      <t>)</t>
    </r>
  </si>
  <si>
    <t>Feedback resistors</t>
  </si>
  <si>
    <t>Opto coupler parameters</t>
  </si>
  <si>
    <t>Non-isolated feedback</t>
  </si>
  <si>
    <t>kopto_min</t>
  </si>
  <si>
    <t>kopto_max</t>
  </si>
  <si>
    <t>Minimum CTR of the optocoupler</t>
  </si>
  <si>
    <t>Maximum CTR of the optocoupler</t>
  </si>
  <si>
    <t>Vd_opto</t>
  </si>
  <si>
    <t>Should be the worst case diode drop to ensure feedback works properly over operating conditions</t>
  </si>
  <si>
    <t>Copto</t>
  </si>
  <si>
    <t>Vcomp_max</t>
  </si>
  <si>
    <t>Maximum voltage on the COMP pin</t>
  </si>
  <si>
    <t>Icomp_sink_max</t>
  </si>
  <si>
    <t>Maximum current the COMP pin can sink to keep voltage at 2.5V</t>
  </si>
  <si>
    <t>Rpullup_min</t>
  </si>
  <si>
    <r>
      <t>Pullup voltage (V</t>
    </r>
    <r>
      <rPr>
        <vertAlign val="subscript"/>
        <sz val="11"/>
        <color theme="1"/>
        <rFont val="Calibri"/>
        <family val="2"/>
        <scheme val="minor"/>
      </rPr>
      <t>PULLUP</t>
    </r>
    <r>
      <rPr>
        <sz val="11"/>
        <color theme="1"/>
        <rFont val="Calibri"/>
        <family val="2"/>
        <scheme val="minor"/>
      </rPr>
      <t>)</t>
    </r>
  </si>
  <si>
    <t>This can be selected once the pull up resistor is known. This value will change with Rpullup</t>
  </si>
  <si>
    <t>Vpullup</t>
  </si>
  <si>
    <t>voltage connected to the pullup resistor. This can be the auxwinding or the VCC voltage.</t>
  </si>
  <si>
    <r>
      <t>Selected Pullup Resistor (R</t>
    </r>
    <r>
      <rPr>
        <vertAlign val="subscript"/>
        <sz val="11"/>
        <color theme="1"/>
        <rFont val="Calibri"/>
        <family val="2"/>
        <scheme val="minor"/>
      </rPr>
      <t>PULLUP</t>
    </r>
    <r>
      <rPr>
        <sz val="11"/>
        <color theme="1"/>
        <rFont val="Calibri"/>
        <family val="2"/>
        <scheme val="minor"/>
      </rPr>
      <t>)</t>
    </r>
  </si>
  <si>
    <t>Rpullup</t>
  </si>
  <si>
    <t>Minimum pullup resistor value that will not damage the VCOMP clamp of the LM5155'</t>
  </si>
  <si>
    <t>Selected pullup resistor</t>
  </si>
  <si>
    <t>Bandwidth selection</t>
  </si>
  <si>
    <t>Compensation placement</t>
  </si>
  <si>
    <t>Suggest crossover frequency for the isolated loop. Should be less the 1/5 WzRHP and lower than optocoupler zero</t>
  </si>
  <si>
    <t>CCM Plant Model</t>
  </si>
  <si>
    <t>Step 5: Loop Compensation (CCM operation)</t>
  </si>
  <si>
    <t>RLED</t>
  </si>
  <si>
    <t>DC gain at the minimum input voltage</t>
  </si>
  <si>
    <t>1/5 f RHP</t>
  </si>
  <si>
    <t>fopto</t>
  </si>
  <si>
    <t>optocoupler pole.</t>
  </si>
  <si>
    <t xml:space="preserve">The pole set by the pull up resistor and the opto-coupler capcaitance. </t>
  </si>
  <si>
    <t>fcross_iso</t>
  </si>
  <si>
    <t>fcross_iso_est</t>
  </si>
  <si>
    <t>Selected crossover frequency for the isolated feedback design</t>
  </si>
  <si>
    <t>RLED_max</t>
  </si>
  <si>
    <t>Maximum LED resistor value</t>
  </si>
  <si>
    <r>
      <t>Pullup Resistor (R</t>
    </r>
    <r>
      <rPr>
        <b/>
        <vertAlign val="subscript"/>
        <sz val="11"/>
        <color theme="1"/>
        <rFont val="Calibri"/>
        <family val="2"/>
        <scheme val="minor"/>
      </rPr>
      <t>PULLUP</t>
    </r>
    <r>
      <rPr>
        <b/>
        <sz val="11"/>
        <color theme="1"/>
        <rFont val="Calibri"/>
        <family val="2"/>
        <scheme val="minor"/>
      </rPr>
      <t>) and LED Resistor (R</t>
    </r>
    <r>
      <rPr>
        <b/>
        <vertAlign val="subscript"/>
        <sz val="11"/>
        <color theme="1"/>
        <rFont val="Calibri"/>
        <family val="2"/>
        <scheme val="minor"/>
      </rPr>
      <t>LED</t>
    </r>
    <r>
      <rPr>
        <b/>
        <sz val="11"/>
        <color theme="1"/>
        <rFont val="Calibri"/>
        <family val="2"/>
        <scheme val="minor"/>
      </rPr>
      <t xml:space="preserve">) Selection </t>
    </r>
  </si>
  <si>
    <r>
      <t>Selected LED Resistor (R</t>
    </r>
    <r>
      <rPr>
        <vertAlign val="subscript"/>
        <sz val="11"/>
        <color theme="1"/>
        <rFont val="Calibri"/>
        <family val="2"/>
        <scheme val="minor"/>
      </rPr>
      <t>LED</t>
    </r>
    <r>
      <rPr>
        <sz val="11"/>
        <color theme="1"/>
        <rFont val="Calibri"/>
        <family val="2"/>
        <scheme val="minor"/>
      </rPr>
      <t>)</t>
    </r>
  </si>
  <si>
    <t>Selected LED resistor value</t>
  </si>
  <si>
    <t>RCOMP_iso_calc</t>
  </si>
  <si>
    <t>Rcomp_iso</t>
  </si>
  <si>
    <t>Selecte RCOMP value</t>
  </si>
  <si>
    <t>Ccomp_iso_calc</t>
  </si>
  <si>
    <t>Calcualted Compensation resistor value at the minimum input votlage. WzRHP is the lowest here</t>
  </si>
  <si>
    <t>Ccomp_iso</t>
  </si>
  <si>
    <t>wz_ea_1</t>
  </si>
  <si>
    <t>wz_ea_2</t>
  </si>
  <si>
    <t>wz2_ea</t>
  </si>
  <si>
    <t>wz1_ea</t>
  </si>
  <si>
    <t>Low frequency error complifier 0</t>
  </si>
  <si>
    <t>wpA_ea</t>
  </si>
  <si>
    <t>wpB_ea</t>
  </si>
  <si>
    <t>wpC_ea</t>
  </si>
  <si>
    <t>Pole Coefficients: A</t>
  </si>
  <si>
    <t>Pole Coefficients: C</t>
  </si>
  <si>
    <t>Pole Coefficients: B</t>
  </si>
  <si>
    <t>Suggested bandwidth maximum bandwidth</t>
  </si>
  <si>
    <r>
      <t>Desired Output  ripple voltage (</t>
    </r>
    <r>
      <rPr>
        <sz val="11"/>
        <color theme="1"/>
        <rFont val="Calibri"/>
        <family val="2"/>
      </rPr>
      <t>ΔV</t>
    </r>
    <r>
      <rPr>
        <vertAlign val="subscript"/>
        <sz val="11"/>
        <color theme="1"/>
        <rFont val="Calibri"/>
        <family val="2"/>
      </rPr>
      <t>OUT</t>
    </r>
    <r>
      <rPr>
        <sz val="11"/>
        <color theme="1"/>
        <rFont val="Calibri"/>
        <family val="2"/>
      </rPr>
      <t>)</t>
    </r>
  </si>
  <si>
    <r>
      <t>Maximum LED resistor (R</t>
    </r>
    <r>
      <rPr>
        <vertAlign val="subscript"/>
        <sz val="11"/>
        <color theme="1"/>
        <rFont val="Calibri"/>
        <family val="2"/>
        <scheme val="minor"/>
      </rPr>
      <t>LED_max</t>
    </r>
    <r>
      <rPr>
        <sz val="11"/>
        <color theme="1"/>
        <rFont val="Calibri"/>
        <family val="2"/>
        <scheme val="minor"/>
      </rPr>
      <t>)</t>
    </r>
  </si>
  <si>
    <t xml:space="preserve">POUT3 </t>
  </si>
  <si>
    <t>POUT1_step</t>
  </si>
  <si>
    <t>POUT2_step</t>
  </si>
  <si>
    <t>POUT3_step</t>
  </si>
  <si>
    <t>Primary Winding losses</t>
  </si>
  <si>
    <t>Ptotal</t>
  </si>
  <si>
    <t>ILAVG</t>
  </si>
  <si>
    <t>Primary Winding calculations</t>
  </si>
  <si>
    <t>Doff</t>
  </si>
  <si>
    <t>Ddead</t>
  </si>
  <si>
    <t>Ls1</t>
  </si>
  <si>
    <t>Secondary DCR</t>
  </si>
  <si>
    <t>Rdcr1</t>
  </si>
  <si>
    <t>LOAD1 secondary winding resistance</t>
  </si>
  <si>
    <t>Rdcr2</t>
  </si>
  <si>
    <t>Rdcr3</t>
  </si>
  <si>
    <t>ILAVG2</t>
  </si>
  <si>
    <t>ILAVG1</t>
  </si>
  <si>
    <t>(1-D)sec</t>
  </si>
  <si>
    <t xml:space="preserve">Iripple </t>
  </si>
  <si>
    <t>Ipeak</t>
  </si>
  <si>
    <t>ILRMS1</t>
  </si>
  <si>
    <t>VLOAD1 Power Losses</t>
  </si>
  <si>
    <t>Transformer Losses</t>
  </si>
  <si>
    <t>Diode Losses</t>
  </si>
  <si>
    <r>
      <t>P</t>
    </r>
    <r>
      <rPr>
        <vertAlign val="subscript"/>
        <sz val="11"/>
        <color theme="1"/>
        <rFont val="Calibri"/>
        <family val="2"/>
        <scheme val="minor"/>
      </rPr>
      <t>Qrr</t>
    </r>
    <r>
      <rPr>
        <sz val="11"/>
        <color theme="1"/>
        <rFont val="Calibri"/>
        <family val="2"/>
        <scheme val="minor"/>
      </rPr>
      <t xml:space="preserve"> (W)</t>
    </r>
  </si>
  <si>
    <r>
      <t>P</t>
    </r>
    <r>
      <rPr>
        <vertAlign val="subscript"/>
        <sz val="11"/>
        <color theme="1"/>
        <rFont val="Calibri"/>
        <family val="2"/>
        <scheme val="minor"/>
      </rPr>
      <t>CON</t>
    </r>
    <r>
      <rPr>
        <sz val="11"/>
        <color theme="1"/>
        <rFont val="Calibri"/>
        <family val="2"/>
        <scheme val="minor"/>
      </rPr>
      <t xml:space="preserve"> (W)</t>
    </r>
  </si>
  <si>
    <r>
      <t>PD1</t>
    </r>
    <r>
      <rPr>
        <vertAlign val="subscript"/>
        <sz val="11"/>
        <color theme="1"/>
        <rFont val="Calibri"/>
        <family val="2"/>
        <scheme val="minor"/>
      </rPr>
      <t>_tot</t>
    </r>
    <r>
      <rPr>
        <sz val="11"/>
        <color theme="1"/>
        <rFont val="Calibri"/>
        <family val="2"/>
        <scheme val="minor"/>
      </rPr>
      <t xml:space="preserve"> (W)</t>
    </r>
  </si>
  <si>
    <t>Vd1</t>
  </si>
  <si>
    <t>Qrr1</t>
  </si>
  <si>
    <t>Vd3</t>
  </si>
  <si>
    <t>Qrr3</t>
  </si>
  <si>
    <t>Vd2</t>
  </si>
  <si>
    <t>Qrr2</t>
  </si>
  <si>
    <t>ILAVG3</t>
  </si>
  <si>
    <t>LOAD3</t>
  </si>
  <si>
    <t>MOSFET Losses</t>
  </si>
  <si>
    <t>Leakage and Snubber</t>
  </si>
  <si>
    <t>Psnub</t>
  </si>
  <si>
    <t>Pleak</t>
  </si>
  <si>
    <t>Total Losses</t>
  </si>
  <si>
    <t>Transformer</t>
  </si>
  <si>
    <t>Number of output</t>
  </si>
  <si>
    <t xml:space="preserve">Single </t>
  </si>
  <si>
    <t xml:space="preserve">Double </t>
  </si>
  <si>
    <t>Triple</t>
  </si>
  <si>
    <r>
      <t>Calculated Secondary Side turns (N</t>
    </r>
    <r>
      <rPr>
        <vertAlign val="subscript"/>
        <sz val="11"/>
        <color theme="1"/>
        <rFont val="Calibri"/>
        <family val="2"/>
        <scheme val="minor"/>
      </rPr>
      <t>S2_calc</t>
    </r>
    <r>
      <rPr>
        <sz val="11"/>
        <color theme="1"/>
        <rFont val="Calibri"/>
        <family val="2"/>
        <scheme val="minor"/>
      </rPr>
      <t>)</t>
    </r>
  </si>
  <si>
    <r>
      <t>Maximum Output Current , I</t>
    </r>
    <r>
      <rPr>
        <vertAlign val="subscript"/>
        <sz val="10"/>
        <color theme="1"/>
        <rFont val="Calibri"/>
        <family val="2"/>
        <scheme val="minor"/>
      </rPr>
      <t>LOAD2</t>
    </r>
    <r>
      <rPr>
        <sz val="10"/>
        <color theme="1"/>
        <rFont val="Calibri"/>
        <family val="2"/>
        <scheme val="minor"/>
      </rPr>
      <t xml:space="preserve"> </t>
    </r>
  </si>
  <si>
    <r>
      <t>Output Target Voltage, V</t>
    </r>
    <r>
      <rPr>
        <vertAlign val="subscript"/>
        <sz val="10"/>
        <color theme="1"/>
        <rFont val="Calibri"/>
        <family val="2"/>
        <scheme val="minor"/>
      </rPr>
      <t>LOAD2</t>
    </r>
    <r>
      <rPr>
        <sz val="10"/>
        <color theme="1"/>
        <rFont val="Calibri"/>
        <family val="2"/>
        <scheme val="minor"/>
      </rPr>
      <t xml:space="preserve"> </t>
    </r>
  </si>
  <si>
    <r>
      <t>Selected Secondary Side turns (N</t>
    </r>
    <r>
      <rPr>
        <vertAlign val="subscript"/>
        <sz val="11"/>
        <color theme="1"/>
        <rFont val="Calibri"/>
        <family val="2"/>
        <scheme val="minor"/>
      </rPr>
      <t>S2_</t>
    </r>
    <r>
      <rPr>
        <sz val="11"/>
        <color theme="1"/>
        <rFont val="Calibri"/>
        <family val="2"/>
        <scheme val="minor"/>
      </rPr>
      <t>)</t>
    </r>
  </si>
  <si>
    <t>Number of output rails</t>
  </si>
  <si>
    <t>Load 2 Specificaitons</t>
  </si>
  <si>
    <t>Load 1 Specifications</t>
  </si>
  <si>
    <t>Load 3 Specifications</t>
  </si>
  <si>
    <t>fcross_est</t>
  </si>
  <si>
    <t>Estimated cross over frequency based on the primary winding. 1/5 the cross over frequency. Follows app note</t>
  </si>
  <si>
    <t>Iout1_step</t>
  </si>
  <si>
    <t>50% load step to calculate the output voltage transient.</t>
  </si>
  <si>
    <t>Variable input voltage to model the loop and efficiency calculations</t>
  </si>
  <si>
    <t>LOOP_ISO</t>
  </si>
  <si>
    <t>LOOP_nISO</t>
  </si>
  <si>
    <t xml:space="preserve">Will add this later. </t>
  </si>
  <si>
    <t>Updated</t>
  </si>
  <si>
    <t xml:space="preserve">Mode of operation: </t>
  </si>
  <si>
    <t>CCM</t>
  </si>
  <si>
    <t>Base Calculations of :</t>
  </si>
  <si>
    <t>Can base this value on the capacitve ripple of the output</t>
  </si>
  <si>
    <t xml:space="preserve">Can base this value on the capacitve output </t>
  </si>
  <si>
    <t>should inclued the total capacitance of this calculation</t>
  </si>
  <si>
    <t>50% load step</t>
  </si>
  <si>
    <t>Not Correct. Can just leave this one out for now.</t>
  </si>
  <si>
    <t>Assuming that the voltage drop of the diode is ideal</t>
  </si>
  <si>
    <t>External Compensation? (0-no, 1-yes) If DCM operation always no</t>
  </si>
  <si>
    <t>"Need to update this for isolated. A secondary soft-start should be used</t>
  </si>
  <si>
    <t>"Need to update this for being pulled up on the AUX winding</t>
  </si>
  <si>
    <t>*Need to find a good reference for this</t>
  </si>
  <si>
    <t>Conduction losses are just the average current</t>
  </si>
  <si>
    <r>
      <t>50 S to simplify equations Transconductance, g</t>
    </r>
    <r>
      <rPr>
        <vertAlign val="subscript"/>
        <sz val="10"/>
        <rFont val="Arial"/>
        <family val="2"/>
      </rPr>
      <t>FS,</t>
    </r>
  </si>
  <si>
    <t>LM5155/56  CCM Flyback Controller Design Tool</t>
  </si>
  <si>
    <t>Load 2 Capacitance</t>
  </si>
  <si>
    <r>
      <t>Peak Primary Winding current, IL</t>
    </r>
    <r>
      <rPr>
        <vertAlign val="subscript"/>
        <sz val="10"/>
        <color theme="1"/>
        <rFont val="Calibri"/>
        <family val="2"/>
        <scheme val="minor"/>
      </rPr>
      <t>PK</t>
    </r>
  </si>
  <si>
    <t>Load 1 Diode Specifications</t>
  </si>
  <si>
    <t>Load 2 Diode Specifications</t>
  </si>
  <si>
    <t>Load 3 Diode Specifications</t>
  </si>
  <si>
    <r>
      <t>Secondary (N</t>
    </r>
    <r>
      <rPr>
        <vertAlign val="subscript"/>
        <sz val="11"/>
        <color theme="1"/>
        <rFont val="Calibri"/>
        <family val="2"/>
        <scheme val="minor"/>
      </rPr>
      <t>S1</t>
    </r>
    <r>
      <rPr>
        <sz val="11"/>
        <color theme="1"/>
        <rFont val="Calibri"/>
        <family val="2"/>
        <scheme val="minor"/>
      </rPr>
      <t>) DCR</t>
    </r>
  </si>
  <si>
    <r>
      <t>Selected Secondary Side turns (N</t>
    </r>
    <r>
      <rPr>
        <vertAlign val="subscript"/>
        <sz val="11"/>
        <color theme="1"/>
        <rFont val="Calibri"/>
        <family val="2"/>
        <scheme val="minor"/>
      </rPr>
      <t>S1</t>
    </r>
    <r>
      <rPr>
        <sz val="11"/>
        <color theme="1"/>
        <rFont val="Calibri"/>
        <family val="2"/>
        <scheme val="minor"/>
      </rPr>
      <t>)</t>
    </r>
  </si>
  <si>
    <r>
      <t>Calculated Secondary Side turns (N</t>
    </r>
    <r>
      <rPr>
        <vertAlign val="subscript"/>
        <sz val="11"/>
        <color theme="1"/>
        <rFont val="Calibri"/>
        <family val="2"/>
        <scheme val="minor"/>
      </rPr>
      <t>S1_calc</t>
    </r>
    <r>
      <rPr>
        <sz val="11"/>
        <color theme="1"/>
        <rFont val="Calibri"/>
        <family val="2"/>
        <scheme val="minor"/>
      </rPr>
      <t>)</t>
    </r>
  </si>
  <si>
    <t>Load 3 Capacitance</t>
  </si>
  <si>
    <t xml:space="preserve">Minimum Load 1 output capacitance </t>
  </si>
  <si>
    <t xml:space="preserve">Minimum Load 2 output capacitance </t>
  </si>
  <si>
    <t xml:space="preserve">Minimum Load 3 output capacitance </t>
  </si>
  <si>
    <t>DCM_VIN_min</t>
  </si>
  <si>
    <t>Discontinous conduction mode at minimum input voltage</t>
  </si>
  <si>
    <t>DCM_VIN_nom</t>
  </si>
  <si>
    <t>DCM_VIN_max</t>
  </si>
  <si>
    <t>Discontinous conduction mode at nominal input voltage</t>
  </si>
  <si>
    <t>Discontinous conduction mode at maximum input voltage</t>
  </si>
  <si>
    <r>
      <t>Phototransistor output capacitance Capacitance (C</t>
    </r>
    <r>
      <rPr>
        <vertAlign val="subscript"/>
        <sz val="11"/>
        <color theme="1"/>
        <rFont val="Calibri"/>
        <family val="2"/>
        <scheme val="minor"/>
      </rPr>
      <t>OPTO</t>
    </r>
    <r>
      <rPr>
        <sz val="11"/>
        <color theme="1"/>
        <rFont val="Calibri"/>
        <family val="2"/>
        <scheme val="minor"/>
      </rPr>
      <t>)</t>
    </r>
  </si>
  <si>
    <r>
      <t>Phototransistor collector to emitter saturation votltage (V</t>
    </r>
    <r>
      <rPr>
        <vertAlign val="subscript"/>
        <sz val="11"/>
        <color theme="1"/>
        <rFont val="Calibri"/>
        <family val="2"/>
        <scheme val="minor"/>
      </rPr>
      <t>CE_sat</t>
    </r>
    <r>
      <rPr>
        <sz val="11"/>
        <color theme="1"/>
        <rFont val="Calibri"/>
        <family val="2"/>
        <scheme val="minor"/>
      </rPr>
      <t>)</t>
    </r>
  </si>
  <si>
    <r>
      <t>Reverse Recovery Charge (Q</t>
    </r>
    <r>
      <rPr>
        <vertAlign val="subscript"/>
        <sz val="11"/>
        <color theme="1"/>
        <rFont val="Calibri"/>
        <family val="2"/>
        <scheme val="minor"/>
      </rPr>
      <t>RR_3</t>
    </r>
    <r>
      <rPr>
        <sz val="11"/>
        <color theme="1"/>
        <rFont val="Calibri"/>
        <family val="2"/>
        <scheme val="minor"/>
      </rPr>
      <t>)</t>
    </r>
  </si>
  <si>
    <r>
      <t>Reverse Recovery Charge (Q</t>
    </r>
    <r>
      <rPr>
        <vertAlign val="subscript"/>
        <sz val="11"/>
        <color theme="1"/>
        <rFont val="Calibri"/>
        <family val="2"/>
        <scheme val="minor"/>
      </rPr>
      <t>RR_1</t>
    </r>
    <r>
      <rPr>
        <sz val="11"/>
        <color theme="1"/>
        <rFont val="Calibri"/>
        <family val="2"/>
        <scheme val="minor"/>
      </rPr>
      <t>)</t>
    </r>
  </si>
  <si>
    <r>
      <t>Reverse Recovery Charge (Q</t>
    </r>
    <r>
      <rPr>
        <vertAlign val="subscript"/>
        <sz val="11"/>
        <color theme="1"/>
        <rFont val="Calibri"/>
        <family val="2"/>
        <scheme val="minor"/>
      </rPr>
      <t>RR_2</t>
    </r>
    <r>
      <rPr>
        <sz val="11"/>
        <color theme="1"/>
        <rFont val="Calibri"/>
        <family val="2"/>
        <scheme val="minor"/>
      </rPr>
      <t>)</t>
    </r>
  </si>
  <si>
    <r>
      <t>Diode Forward Voltage drop (V</t>
    </r>
    <r>
      <rPr>
        <vertAlign val="subscript"/>
        <sz val="11"/>
        <color theme="1"/>
        <rFont val="Calibri"/>
        <family val="2"/>
        <scheme val="minor"/>
      </rPr>
      <t>D1</t>
    </r>
    <r>
      <rPr>
        <sz val="11"/>
        <color theme="1"/>
        <rFont val="Calibri"/>
        <family val="2"/>
        <scheme val="minor"/>
      </rPr>
      <t>)</t>
    </r>
  </si>
  <si>
    <r>
      <t>Diode Forward Voltage drop (V</t>
    </r>
    <r>
      <rPr>
        <vertAlign val="subscript"/>
        <sz val="11"/>
        <color theme="1"/>
        <rFont val="Calibri"/>
        <family val="2"/>
        <scheme val="minor"/>
      </rPr>
      <t>D2</t>
    </r>
    <r>
      <rPr>
        <sz val="11"/>
        <color theme="1"/>
        <rFont val="Calibri"/>
        <family val="2"/>
        <scheme val="minor"/>
      </rPr>
      <t>)</t>
    </r>
  </si>
  <si>
    <r>
      <t>Diode Forward Voltage drop (V</t>
    </r>
    <r>
      <rPr>
        <vertAlign val="subscript"/>
        <sz val="11"/>
        <color theme="1"/>
        <rFont val="Calibri"/>
        <family val="2"/>
        <scheme val="minor"/>
      </rPr>
      <t>D3</t>
    </r>
    <r>
      <rPr>
        <sz val="11"/>
        <color theme="1"/>
        <rFont val="Calibri"/>
        <family val="2"/>
        <scheme val="minor"/>
      </rPr>
      <t>)</t>
    </r>
  </si>
  <si>
    <r>
      <t>Primary Winding Resistance (R</t>
    </r>
    <r>
      <rPr>
        <vertAlign val="subscript"/>
        <sz val="10"/>
        <color theme="1"/>
        <rFont val="Calibri"/>
        <family val="2"/>
        <scheme val="minor"/>
      </rPr>
      <t>DCR</t>
    </r>
    <r>
      <rPr>
        <sz val="10"/>
        <color theme="1"/>
        <rFont val="Calibri"/>
        <family val="2"/>
        <scheme val="minor"/>
      </rPr>
      <t>)</t>
    </r>
  </si>
  <si>
    <t>Mar-2020</t>
  </si>
  <si>
    <t>Version Number</t>
  </si>
  <si>
    <t>Version History</t>
  </si>
  <si>
    <t>Version</t>
  </si>
  <si>
    <t>Change List Description</t>
  </si>
  <si>
    <t>1.0.0</t>
  </si>
  <si>
    <t>Initial Release</t>
  </si>
  <si>
    <t>1.0.1</t>
  </si>
  <si>
    <t>Rev 1.0.1</t>
  </si>
  <si>
    <t>VIN_op_max_56</t>
  </si>
  <si>
    <t>Maximum BIAS pin operating voltage LM5156</t>
  </si>
  <si>
    <t>Updated Schematics</t>
  </si>
  <si>
    <t>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</si>
</sst>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00E+00"/>
    <numFmt numFmtId="166" formatCode="0.0000"/>
    <numFmt numFmtId="167" formatCode="0.0000E+00"/>
    <numFmt numFmtId="168" formatCode="0.0"/>
    <numFmt numFmtId="169" formatCode="0.0000000E+00"/>
    <numFmt numFmtId="170" formatCode="0.00000000"/>
    <numFmt numFmtId="171" formatCode="0.0000000"/>
  </numFmts>
  <fonts count="59"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b/>
      <sz val="10"/>
      <name val="Arial"/>
      <family val="2"/>
    </font>
    <font>
      <b/>
      <sz val="22"/>
      <color indexed="44"/>
      <name val="Arial"/>
      <family val="2"/>
    </font>
    <font>
      <b/>
      <sz val="9"/>
      <color indexed="81"/>
      <name val="Tahoma"/>
      <family val="2"/>
    </font>
    <font>
      <sz val="9"/>
      <color indexed="81"/>
      <name val="Tahoma"/>
      <family val="2"/>
    </font>
    <font>
      <b/>
      <sz val="12"/>
      <color rgb="FF0000FF"/>
      <name val="Arial"/>
      <family val="2"/>
    </font>
    <font>
      <sz val="28"/>
      <color theme="0"/>
      <name val="Calibri"/>
      <family val="2"/>
      <scheme val="minor"/>
    </font>
    <font>
      <b/>
      <sz val="11"/>
      <color indexed="10"/>
      <name val="Tahoma"/>
      <family val="2"/>
    </font>
    <font>
      <sz val="10"/>
      <color theme="1"/>
      <name val="Calibri"/>
      <family val="2"/>
      <scheme val="minor"/>
    </font>
    <font>
      <vertAlign val="subscript"/>
      <sz val="10"/>
      <color theme="1"/>
      <name val="Calibri"/>
      <family val="2"/>
      <scheme val="minor"/>
    </font>
    <font>
      <sz val="11"/>
      <name val="Calibri"/>
      <family val="2"/>
      <scheme val="minor"/>
    </font>
    <font>
      <b/>
      <sz val="11"/>
      <color rgb="FF0070C0"/>
      <name val="Calibri"/>
      <family val="2"/>
      <scheme val="minor"/>
    </font>
    <font>
      <sz val="11"/>
      <color theme="1"/>
      <name val="Calibri"/>
      <family val="2"/>
    </font>
    <font>
      <u/>
      <sz val="11"/>
      <color theme="1"/>
      <name val="Calibri"/>
      <family val="2"/>
      <scheme val="minor"/>
    </font>
    <font>
      <vertAlign val="subscript"/>
      <sz val="11"/>
      <color theme="1"/>
      <name val="Calibri"/>
      <family val="2"/>
      <scheme val="minor"/>
    </font>
    <font>
      <b/>
      <sz val="12"/>
      <color theme="1"/>
      <name val="Calibri"/>
      <family val="2"/>
      <scheme val="minor"/>
    </font>
    <font>
      <vertAlign val="subscript"/>
      <sz val="11"/>
      <color theme="1"/>
      <name val="Calibri"/>
      <family val="2"/>
    </font>
    <font>
      <b/>
      <sz val="11"/>
      <color theme="3" tint="0.39997558519241921"/>
      <name val="Calibri"/>
      <family val="2"/>
      <scheme val="minor"/>
    </font>
    <font>
      <b/>
      <sz val="11"/>
      <color theme="1"/>
      <name val="Calibri"/>
      <family val="2"/>
      <scheme val="minor"/>
    </font>
    <font>
      <sz val="10"/>
      <name val="Calibri"/>
      <family val="2"/>
      <scheme val="minor"/>
    </font>
    <font>
      <b/>
      <sz val="12"/>
      <color rgb="FF00B0F0"/>
      <name val="Calibri"/>
      <family val="2"/>
      <scheme val="minor"/>
    </font>
    <font>
      <b/>
      <sz val="11"/>
      <color rgb="FF00B0F0"/>
      <name val="Calibri"/>
      <family val="2"/>
      <scheme val="minor"/>
    </font>
    <font>
      <b/>
      <sz val="10"/>
      <color rgb="FF00B0F0"/>
      <name val="Arial"/>
      <family val="2"/>
    </font>
    <font>
      <sz val="18"/>
      <color theme="0"/>
      <name val="Calibri"/>
      <family val="2"/>
      <scheme val="minor"/>
    </font>
    <font>
      <vertAlign val="subscript"/>
      <sz val="10"/>
      <name val="Arial"/>
      <family val="2"/>
    </font>
    <font>
      <vertAlign val="subscript"/>
      <sz val="11"/>
      <name val="Calibri"/>
      <family val="2"/>
      <scheme val="minor"/>
    </font>
    <font>
      <sz val="11"/>
      <color rgb="FFFF0000"/>
      <name val="Calibri"/>
      <family val="2"/>
      <scheme val="minor"/>
    </font>
    <font>
      <b/>
      <vertAlign val="subscript"/>
      <sz val="11"/>
      <color theme="1"/>
      <name val="Calibri"/>
      <family val="2"/>
      <scheme val="minor"/>
    </font>
    <font>
      <b/>
      <sz val="11"/>
      <name val="Calibri"/>
      <family val="2"/>
      <scheme val="minor"/>
    </font>
    <font>
      <u/>
      <sz val="10"/>
      <name val="Calibri"/>
      <family val="2"/>
      <scheme val="minor"/>
    </font>
    <font>
      <b/>
      <sz val="12"/>
      <color rgb="FF0070C0"/>
      <name val="Calibri"/>
      <family val="2"/>
      <scheme val="minor"/>
    </font>
    <font>
      <sz val="11"/>
      <color rgb="FF0070C0"/>
      <name val="Calibri"/>
      <family val="2"/>
      <scheme val="minor"/>
    </font>
    <font>
      <sz val="14"/>
      <color theme="1"/>
      <name val="Calibri"/>
      <family val="2"/>
      <scheme val="minor"/>
    </font>
    <font>
      <b/>
      <sz val="14"/>
      <color rgb="FF0070C0"/>
      <name val="Calibri"/>
      <family val="2"/>
      <scheme val="minor"/>
    </font>
    <font>
      <b/>
      <sz val="14"/>
      <color theme="4"/>
      <name val="Calibri"/>
      <family val="2"/>
      <scheme val="minor"/>
    </font>
    <font>
      <b/>
      <u/>
      <sz val="9"/>
      <color indexed="81"/>
      <name val="Tahoma"/>
      <family val="2"/>
    </font>
    <font>
      <sz val="9"/>
      <color indexed="10"/>
      <name val="Tahoma"/>
      <family val="2"/>
    </font>
    <font>
      <b/>
      <u/>
      <sz val="11"/>
      <color indexed="81"/>
      <name val="Tahoma"/>
      <family val="2"/>
    </font>
    <font>
      <sz val="10"/>
      <color indexed="81"/>
      <name val="Tahoma"/>
      <family val="2"/>
    </font>
    <font>
      <b/>
      <sz val="11"/>
      <color indexed="81"/>
      <name val="Tahoma"/>
      <family val="2"/>
    </font>
    <font>
      <sz val="10"/>
      <color indexed="10"/>
      <name val="Tahoma"/>
      <family val="2"/>
    </font>
    <font>
      <b/>
      <sz val="10"/>
      <color indexed="10"/>
      <name val="Tahoma"/>
      <family val="2"/>
    </font>
    <font>
      <b/>
      <sz val="9"/>
      <color indexed="10"/>
      <name val="Tahoma"/>
      <family val="2"/>
    </font>
    <font>
      <b/>
      <u/>
      <vertAlign val="subscript"/>
      <sz val="9"/>
      <color indexed="81"/>
      <name val="Tahoma"/>
      <family val="2"/>
    </font>
    <font>
      <vertAlign val="subscript"/>
      <sz val="9"/>
      <color indexed="81"/>
      <name val="Tahoma"/>
      <family val="2"/>
    </font>
    <font>
      <b/>
      <u/>
      <sz val="10"/>
      <color indexed="81"/>
      <name val="Tahoma"/>
      <family val="2"/>
    </font>
    <font>
      <sz val="9"/>
      <color indexed="81"/>
      <name val="Calibri"/>
      <family val="2"/>
    </font>
    <font>
      <u/>
      <sz val="11"/>
      <color theme="10"/>
      <name val="Calibri"/>
      <family val="2"/>
      <scheme val="minor"/>
    </font>
    <font>
      <sz val="11"/>
      <color rgb="FF000000"/>
      <name val="Arial"/>
      <family val="2"/>
    </font>
    <font>
      <b/>
      <sz val="10"/>
      <color rgb="FF000000"/>
      <name val="Arial"/>
      <family val="2"/>
    </font>
    <font>
      <sz val="10"/>
      <color rgb="FF000000"/>
      <name val="Arial"/>
      <family val="2"/>
    </font>
    <font>
      <b/>
      <u/>
      <sz val="10"/>
      <color rgb="FF0000FF"/>
      <name val="Arial"/>
      <family val="2"/>
    </font>
    <font>
      <b/>
      <sz val="10"/>
      <color rgb="FFFFFFFF"/>
      <name val="Arial"/>
      <family val="2"/>
    </font>
    <font>
      <b/>
      <u/>
      <sz val="11"/>
      <color rgb="FF0000FF"/>
      <name val="Arial"/>
      <family val="2"/>
    </font>
    <font>
      <b/>
      <sz val="9"/>
      <color indexed="52"/>
      <name val="Tahoma"/>
      <family val="2"/>
    </font>
  </fonts>
  <fills count="2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52"/>
        <bgColor indexed="64"/>
      </patternFill>
    </fill>
    <fill>
      <patternFill patternType="solid">
        <fgColor indexed="50"/>
        <bgColor indexed="64"/>
      </patternFill>
    </fill>
    <fill>
      <patternFill patternType="solid">
        <fgColor rgb="FFFF000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2" tint="-0.89999084444715716"/>
        <bgColor indexed="64"/>
      </patternFill>
    </fill>
    <fill>
      <patternFill patternType="solid">
        <fgColor theme="0"/>
        <bgColor indexed="64"/>
      </patternFill>
    </fill>
    <fill>
      <patternFill patternType="solid">
        <fgColor theme="1"/>
        <bgColor indexed="64"/>
      </patternFill>
    </fill>
    <fill>
      <patternFill patternType="solid">
        <fgColor rgb="FFDE0000"/>
        <bgColor rgb="FF000000"/>
      </patternFill>
    </fill>
    <fill>
      <patternFill patternType="solid">
        <fgColor rgb="FF000000"/>
        <bgColor rgb="FF000000"/>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s>
  <cellStyleXfs count="9">
    <xf numFmtId="0" fontId="0" fillId="0" borderId="0"/>
    <xf numFmtId="0" fontId="3" fillId="0" borderId="0"/>
    <xf numFmtId="43"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0" fontId="4" fillId="0" borderId="0"/>
    <xf numFmtId="0" fontId="4" fillId="0" borderId="0"/>
    <xf numFmtId="0" fontId="51" fillId="0" borderId="0" applyNumberFormat="0" applyFill="0" applyBorder="0" applyAlignment="0" applyProtection="0"/>
  </cellStyleXfs>
  <cellXfs count="303">
    <xf numFmtId="0" fontId="0" fillId="0" borderId="0" xfId="0"/>
    <xf numFmtId="0" fontId="0" fillId="9" borderId="0" xfId="0" applyFill="1"/>
    <xf numFmtId="0" fontId="16" fillId="0" borderId="0" xfId="0" applyFont="1"/>
    <xf numFmtId="0" fontId="0" fillId="10" borderId="0" xfId="0" applyFill="1"/>
    <xf numFmtId="0" fontId="0" fillId="0" borderId="0" xfId="0"/>
    <xf numFmtId="0" fontId="4" fillId="0" borderId="0" xfId="3"/>
    <xf numFmtId="0" fontId="5" fillId="0" borderId="0" xfId="3" applyFont="1" applyFill="1" applyAlignment="1">
      <alignment horizontal="center"/>
    </xf>
    <xf numFmtId="0" fontId="5" fillId="3" borderId="0" xfId="3" applyFont="1" applyFill="1" applyAlignment="1">
      <alignment horizontal="center"/>
    </xf>
    <xf numFmtId="0" fontId="5" fillId="5" borderId="0" xfId="3" applyFont="1" applyFill="1" applyAlignment="1">
      <alignment horizontal="center"/>
    </xf>
    <xf numFmtId="0" fontId="4" fillId="0" borderId="0" xfId="3"/>
    <xf numFmtId="0" fontId="5" fillId="0" borderId="0" xfId="3" applyFont="1"/>
    <xf numFmtId="0" fontId="5" fillId="0" borderId="0" xfId="3" applyFont="1" applyFill="1" applyAlignment="1">
      <alignment horizontal="center"/>
    </xf>
    <xf numFmtId="0" fontId="5" fillId="3" borderId="0" xfId="3" applyFont="1" applyFill="1" applyAlignment="1">
      <alignment horizontal="center"/>
    </xf>
    <xf numFmtId="0" fontId="5" fillId="4" borderId="0" xfId="3" applyFont="1" applyFill="1" applyAlignment="1">
      <alignment horizontal="center"/>
    </xf>
    <xf numFmtId="0" fontId="5" fillId="5" borderId="0" xfId="3" applyFont="1" applyFill="1" applyAlignment="1">
      <alignment horizontal="center"/>
    </xf>
    <xf numFmtId="0" fontId="5" fillId="0" borderId="0" xfId="3" applyFont="1" applyBorder="1"/>
    <xf numFmtId="0" fontId="5" fillId="0" borderId="0" xfId="3" applyFont="1" applyBorder="1" applyAlignment="1">
      <alignment horizontal="center"/>
    </xf>
    <xf numFmtId="0" fontId="4" fillId="0" borderId="0" xfId="3"/>
    <xf numFmtId="0" fontId="9" fillId="0" borderId="0" xfId="3" applyFont="1" applyBorder="1"/>
    <xf numFmtId="0" fontId="5" fillId="0" borderId="0" xfId="3" applyFont="1" applyAlignment="1">
      <alignment horizontal="center"/>
    </xf>
    <xf numFmtId="2" fontId="0" fillId="10" borderId="0" xfId="0" applyNumberFormat="1" applyFill="1"/>
    <xf numFmtId="0" fontId="0" fillId="11" borderId="0" xfId="0" applyFill="1"/>
    <xf numFmtId="165" fontId="0" fillId="9" borderId="0" xfId="0" applyNumberFormat="1" applyFill="1"/>
    <xf numFmtId="0" fontId="5" fillId="0" borderId="0" xfId="3" applyFont="1" applyFill="1" applyAlignment="1">
      <alignment horizontal="right"/>
    </xf>
    <xf numFmtId="0" fontId="4" fillId="0" borderId="0" xfId="3" applyFont="1" applyFill="1" applyAlignment="1">
      <alignment horizontal="center"/>
    </xf>
    <xf numFmtId="0" fontId="5" fillId="0" borderId="0" xfId="3" applyFont="1" applyFill="1"/>
    <xf numFmtId="0" fontId="0" fillId="0" borderId="0" xfId="0" applyFill="1"/>
    <xf numFmtId="164" fontId="0" fillId="9" borderId="0" xfId="0" applyNumberFormat="1" applyFill="1"/>
    <xf numFmtId="2" fontId="0" fillId="9" borderId="0" xfId="0" applyNumberFormat="1" applyFill="1"/>
    <xf numFmtId="1" fontId="0" fillId="9" borderId="0" xfId="0" applyNumberFormat="1" applyFill="1"/>
    <xf numFmtId="0" fontId="15" fillId="0" borderId="0" xfId="0" applyFont="1" applyFill="1" applyBorder="1"/>
    <xf numFmtId="0" fontId="0" fillId="0" borderId="0" xfId="0"/>
    <xf numFmtId="164" fontId="0" fillId="0" borderId="0" xfId="0" applyNumberFormat="1"/>
    <xf numFmtId="11" fontId="14" fillId="10" borderId="0" xfId="0" applyNumberFormat="1" applyFont="1" applyFill="1"/>
    <xf numFmtId="0" fontId="17" fillId="0" borderId="0" xfId="0" applyFont="1"/>
    <xf numFmtId="0" fontId="5" fillId="0" borderId="0" xfId="3" applyFont="1" applyAlignment="1">
      <alignment horizontal="center"/>
    </xf>
    <xf numFmtId="167" fontId="0" fillId="9" borderId="0" xfId="0" applyNumberFormat="1" applyFill="1"/>
    <xf numFmtId="11" fontId="0" fillId="9" borderId="0" xfId="0" applyNumberFormat="1" applyFill="1"/>
    <xf numFmtId="0" fontId="5" fillId="0" borderId="0" xfId="3" applyFont="1" applyFill="1" applyAlignment="1">
      <alignment horizontal="left"/>
    </xf>
    <xf numFmtId="166" fontId="0" fillId="9" borderId="0" xfId="0" applyNumberFormat="1" applyFill="1"/>
    <xf numFmtId="0" fontId="14" fillId="10" borderId="0" xfId="0" applyFont="1" applyFill="1"/>
    <xf numFmtId="0" fontId="19" fillId="0" borderId="0" xfId="0" applyFont="1"/>
    <xf numFmtId="0" fontId="21" fillId="0" borderId="0" xfId="0" applyFont="1"/>
    <xf numFmtId="0" fontId="0" fillId="12" borderId="0" xfId="0" applyFill="1"/>
    <xf numFmtId="1" fontId="0" fillId="0" borderId="0" xfId="0" applyNumberFormat="1"/>
    <xf numFmtId="0" fontId="5" fillId="0" borderId="0" xfId="3" applyFont="1" applyAlignment="1">
      <alignment horizontal="center"/>
    </xf>
    <xf numFmtId="0" fontId="22" fillId="0" borderId="0" xfId="0" applyFont="1"/>
    <xf numFmtId="0" fontId="23" fillId="0" borderId="0" xfId="0" applyFont="1"/>
    <xf numFmtId="164" fontId="4" fillId="0" borderId="0" xfId="3" applyNumberFormat="1"/>
    <xf numFmtId="0" fontId="0" fillId="0" borderId="0" xfId="0" applyBorder="1"/>
    <xf numFmtId="2" fontId="0" fillId="0" borderId="0" xfId="0" applyNumberFormat="1" applyBorder="1"/>
    <xf numFmtId="0" fontId="24" fillId="0" borderId="0" xfId="0" applyFont="1"/>
    <xf numFmtId="2" fontId="0" fillId="0" borderId="5" xfId="0" applyNumberFormat="1" applyBorder="1"/>
    <xf numFmtId="2" fontId="0" fillId="0" borderId="7" xfId="0" applyNumberFormat="1" applyBorder="1"/>
    <xf numFmtId="0" fontId="4" fillId="0" borderId="8" xfId="3" applyBorder="1"/>
    <xf numFmtId="0" fontId="0" fillId="0" borderId="8" xfId="0" applyBorder="1"/>
    <xf numFmtId="0" fontId="4" fillId="0" borderId="8" xfId="3" applyFill="1" applyBorder="1"/>
    <xf numFmtId="0" fontId="4" fillId="0" borderId="9" xfId="3" applyFill="1" applyBorder="1"/>
    <xf numFmtId="0" fontId="0" fillId="0" borderId="5" xfId="0" applyBorder="1"/>
    <xf numFmtId="0" fontId="4" fillId="0" borderId="7" xfId="3" applyBorder="1"/>
    <xf numFmtId="0" fontId="4" fillId="0" borderId="7" xfId="3" applyFill="1" applyBorder="1"/>
    <xf numFmtId="0" fontId="0" fillId="0" borderId="6" xfId="0" applyBorder="1"/>
    <xf numFmtId="0" fontId="0" fillId="0" borderId="7" xfId="0" applyBorder="1"/>
    <xf numFmtId="0" fontId="0" fillId="0" borderId="9" xfId="0" applyBorder="1"/>
    <xf numFmtId="164" fontId="0" fillId="0" borderId="0" xfId="0" applyNumberFormat="1" applyBorder="1"/>
    <xf numFmtId="164" fontId="0" fillId="0" borderId="8" xfId="0" applyNumberFormat="1" applyBorder="1"/>
    <xf numFmtId="0" fontId="4" fillId="0" borderId="5" xfId="3" applyBorder="1"/>
    <xf numFmtId="2" fontId="0" fillId="0" borderId="10" xfId="0" applyNumberFormat="1" applyBorder="1"/>
    <xf numFmtId="0" fontId="25" fillId="0" borderId="0" xfId="0" applyFont="1"/>
    <xf numFmtId="0" fontId="26" fillId="0" borderId="0" xfId="3" applyFont="1"/>
    <xf numFmtId="168" fontId="0" fillId="0" borderId="0" xfId="0" applyNumberFormat="1"/>
    <xf numFmtId="0" fontId="0" fillId="0" borderId="2" xfId="0" applyBorder="1"/>
    <xf numFmtId="164" fontId="4" fillId="0" borderId="3" xfId="3" applyNumberFormat="1" applyBorder="1"/>
    <xf numFmtId="0" fontId="4" fillId="0" borderId="3" xfId="3" applyBorder="1"/>
    <xf numFmtId="0" fontId="0" fillId="0" borderId="3" xfId="0" applyBorder="1"/>
    <xf numFmtId="0" fontId="4" fillId="0" borderId="2" xfId="3" applyBorder="1"/>
    <xf numFmtId="164" fontId="0" fillId="0" borderId="3" xfId="0" applyNumberFormat="1" applyBorder="1"/>
    <xf numFmtId="0" fontId="0" fillId="0" borderId="4" xfId="0" applyBorder="1"/>
    <xf numFmtId="164" fontId="4" fillId="0" borderId="0" xfId="3" applyNumberFormat="1" applyBorder="1"/>
    <xf numFmtId="0" fontId="4" fillId="0" borderId="0" xfId="3" applyBorder="1"/>
    <xf numFmtId="164" fontId="4" fillId="0" borderId="8" xfId="3" applyNumberFormat="1" applyBorder="1"/>
    <xf numFmtId="0" fontId="4" fillId="0" borderId="0" xfId="3" applyFill="1" applyBorder="1"/>
    <xf numFmtId="0" fontId="4" fillId="0" borderId="5" xfId="3" applyFill="1" applyBorder="1"/>
    <xf numFmtId="0" fontId="4" fillId="0" borderId="6" xfId="3" applyFill="1" applyBorder="1"/>
    <xf numFmtId="0" fontId="0" fillId="0" borderId="10" xfId="0" applyBorder="1"/>
    <xf numFmtId="0" fontId="0" fillId="0" borderId="11" xfId="0" applyBorder="1"/>
    <xf numFmtId="164" fontId="4" fillId="0" borderId="11" xfId="3" applyNumberFormat="1" applyBorder="1"/>
    <xf numFmtId="0" fontId="4" fillId="0" borderId="11" xfId="3" applyBorder="1"/>
    <xf numFmtId="0" fontId="4" fillId="0" borderId="10" xfId="3" applyBorder="1"/>
    <xf numFmtId="164" fontId="0" fillId="0" borderId="11" xfId="0" applyNumberFormat="1" applyBorder="1"/>
    <xf numFmtId="0" fontId="0" fillId="0" borderId="12" xfId="0" applyBorder="1"/>
    <xf numFmtId="1" fontId="0" fillId="0" borderId="4" xfId="0" applyNumberFormat="1" applyBorder="1"/>
    <xf numFmtId="1" fontId="0" fillId="0" borderId="6" xfId="0" applyNumberFormat="1" applyBorder="1"/>
    <xf numFmtId="1" fontId="0" fillId="0" borderId="9" xfId="0" applyNumberFormat="1" applyBorder="1"/>
    <xf numFmtId="0" fontId="0" fillId="14" borderId="0" xfId="0" applyFill="1"/>
    <xf numFmtId="0" fontId="4" fillId="0" borderId="0" xfId="3" applyFont="1" applyFill="1" applyBorder="1" applyAlignment="1" applyProtection="1">
      <alignment horizontal="left"/>
    </xf>
    <xf numFmtId="0" fontId="4" fillId="0" borderId="8" xfId="3" applyFont="1" applyFill="1" applyBorder="1" applyAlignment="1" applyProtection="1">
      <alignment horizontal="left"/>
    </xf>
    <xf numFmtId="0" fontId="5" fillId="0" borderId="0" xfId="3" applyFont="1" applyAlignment="1">
      <alignment horizontal="center"/>
    </xf>
    <xf numFmtId="0" fontId="0" fillId="6" borderId="0" xfId="0" applyFill="1" applyProtection="1">
      <protection hidden="1"/>
    </xf>
    <xf numFmtId="0" fontId="10" fillId="6" borderId="0" xfId="0" applyFont="1" applyFill="1" applyAlignment="1" applyProtection="1">
      <alignment horizontal="left" vertical="center"/>
      <protection hidden="1"/>
    </xf>
    <xf numFmtId="0" fontId="0" fillId="6" borderId="0" xfId="0" applyFill="1" applyAlignment="1" applyProtection="1">
      <alignment horizontal="right"/>
      <protection hidden="1"/>
    </xf>
    <xf numFmtId="0" fontId="0" fillId="6" borderId="0" xfId="0" applyFill="1" applyBorder="1" applyProtection="1">
      <protection hidden="1"/>
    </xf>
    <xf numFmtId="0" fontId="14" fillId="8" borderId="0" xfId="0" applyFont="1" applyFill="1" applyProtection="1">
      <protection hidden="1"/>
    </xf>
    <xf numFmtId="0" fontId="0" fillId="15" borderId="0" xfId="0" applyFill="1" applyProtection="1">
      <protection hidden="1"/>
    </xf>
    <xf numFmtId="0" fontId="0" fillId="8" borderId="0" xfId="0" applyFill="1" applyBorder="1" applyProtection="1">
      <protection hidden="1"/>
    </xf>
    <xf numFmtId="0" fontId="0" fillId="8" borderId="0" xfId="0" applyFill="1" applyBorder="1" applyAlignment="1" applyProtection="1">
      <alignment horizontal="right"/>
      <protection hidden="1"/>
    </xf>
    <xf numFmtId="0" fontId="14" fillId="8" borderId="0" xfId="0" applyFont="1" applyFill="1" applyBorder="1" applyProtection="1">
      <protection hidden="1"/>
    </xf>
    <xf numFmtId="0" fontId="0" fillId="15" borderId="0" xfId="0" applyFill="1" applyBorder="1" applyProtection="1">
      <protection hidden="1"/>
    </xf>
    <xf numFmtId="0" fontId="2" fillId="8" borderId="0" xfId="0" applyFont="1" applyFill="1" applyBorder="1" applyProtection="1">
      <protection hidden="1"/>
    </xf>
    <xf numFmtId="0" fontId="0" fillId="7" borderId="0" xfId="0" applyFill="1" applyBorder="1" applyProtection="1">
      <protection hidden="1"/>
    </xf>
    <xf numFmtId="0" fontId="2" fillId="8" borderId="0" xfId="0" quotePrefix="1" applyFont="1" applyFill="1" applyBorder="1" applyProtection="1">
      <protection hidden="1"/>
    </xf>
    <xf numFmtId="0" fontId="0" fillId="8" borderId="1" xfId="0" applyFill="1" applyBorder="1" applyProtection="1">
      <protection hidden="1"/>
    </xf>
    <xf numFmtId="0" fontId="0" fillId="8" borderId="1" xfId="0" applyFill="1" applyBorder="1" applyAlignment="1" applyProtection="1">
      <alignment horizontal="right"/>
      <protection hidden="1"/>
    </xf>
    <xf numFmtId="0" fontId="14" fillId="8" borderId="1" xfId="0" applyFont="1" applyFill="1" applyBorder="1" applyProtection="1">
      <protection hidden="1"/>
    </xf>
    <xf numFmtId="0" fontId="0" fillId="15" borderId="1" xfId="0" applyFill="1" applyBorder="1" applyProtection="1">
      <protection hidden="1"/>
    </xf>
    <xf numFmtId="0" fontId="0" fillId="16" borderId="0" xfId="0" applyFill="1" applyProtection="1">
      <protection hidden="1"/>
    </xf>
    <xf numFmtId="0" fontId="0" fillId="16" borderId="0" xfId="0" applyFill="1" applyAlignment="1" applyProtection="1">
      <alignment horizontal="right"/>
      <protection hidden="1"/>
    </xf>
    <xf numFmtId="49" fontId="0" fillId="16" borderId="0" xfId="0" applyNumberFormat="1" applyFill="1" applyProtection="1">
      <protection hidden="1"/>
    </xf>
    <xf numFmtId="0" fontId="0" fillId="16" borderId="0" xfId="0" applyFill="1" applyBorder="1" applyProtection="1">
      <protection hidden="1"/>
    </xf>
    <xf numFmtId="0" fontId="0" fillId="16" borderId="2" xfId="0" applyFill="1" applyBorder="1" applyProtection="1">
      <protection hidden="1"/>
    </xf>
    <xf numFmtId="0" fontId="0" fillId="16" borderId="3" xfId="0" applyFill="1" applyBorder="1" applyProtection="1">
      <protection hidden="1"/>
    </xf>
    <xf numFmtId="0" fontId="12" fillId="16" borderId="3" xfId="3" applyFont="1" applyFill="1" applyBorder="1" applyAlignment="1" applyProtection="1">
      <alignment horizontal="right"/>
      <protection hidden="1"/>
    </xf>
    <xf numFmtId="0" fontId="0" fillId="16" borderId="4" xfId="0" applyFill="1" applyBorder="1" applyProtection="1">
      <protection hidden="1"/>
    </xf>
    <xf numFmtId="0" fontId="0" fillId="16" borderId="5" xfId="0" applyFill="1" applyBorder="1" applyProtection="1">
      <protection hidden="1"/>
    </xf>
    <xf numFmtId="0" fontId="12" fillId="16" borderId="0" xfId="3" applyFont="1" applyFill="1" applyBorder="1" applyAlignment="1" applyProtection="1">
      <alignment horizontal="right"/>
      <protection hidden="1"/>
    </xf>
    <xf numFmtId="0" fontId="0" fillId="16" borderId="6" xfId="0" applyFill="1" applyBorder="1" applyProtection="1">
      <protection hidden="1"/>
    </xf>
    <xf numFmtId="0" fontId="12" fillId="16" borderId="0" xfId="0" applyFont="1" applyFill="1" applyBorder="1" applyProtection="1">
      <protection hidden="1"/>
    </xf>
    <xf numFmtId="0" fontId="0" fillId="16" borderId="8" xfId="0" applyFill="1" applyBorder="1" applyProtection="1">
      <protection hidden="1"/>
    </xf>
    <xf numFmtId="0" fontId="0" fillId="16" borderId="9" xfId="0" applyFill="1" applyBorder="1" applyProtection="1">
      <protection hidden="1"/>
    </xf>
    <xf numFmtId="0" fontId="12" fillId="16" borderId="0" xfId="0" applyFont="1" applyFill="1" applyProtection="1">
      <protection hidden="1"/>
    </xf>
    <xf numFmtId="0" fontId="0" fillId="16" borderId="7" xfId="0" applyFill="1" applyBorder="1" applyProtection="1">
      <protection hidden="1"/>
    </xf>
    <xf numFmtId="0" fontId="12" fillId="16" borderId="8" xfId="3" applyFont="1" applyFill="1" applyBorder="1" applyAlignment="1" applyProtection="1">
      <alignment horizontal="right"/>
      <protection hidden="1"/>
    </xf>
    <xf numFmtId="0" fontId="0" fillId="16" borderId="0" xfId="0" applyFill="1" applyBorder="1" applyAlignment="1" applyProtection="1">
      <alignment horizontal="right"/>
      <protection hidden="1"/>
    </xf>
    <xf numFmtId="0" fontId="16" fillId="16" borderId="6" xfId="0" applyFont="1" applyFill="1" applyBorder="1" applyProtection="1">
      <protection hidden="1"/>
    </xf>
    <xf numFmtId="0" fontId="0" fillId="16" borderId="8" xfId="0" applyFill="1" applyBorder="1" applyAlignment="1" applyProtection="1">
      <alignment horizontal="right"/>
      <protection hidden="1"/>
    </xf>
    <xf numFmtId="0" fontId="16" fillId="16" borderId="9" xfId="0" applyFont="1" applyFill="1" applyBorder="1" applyProtection="1">
      <protection hidden="1"/>
    </xf>
    <xf numFmtId="0" fontId="0" fillId="16" borderId="3" xfId="0" applyFill="1" applyBorder="1" applyAlignment="1" applyProtection="1">
      <alignment horizontal="right"/>
      <protection hidden="1"/>
    </xf>
    <xf numFmtId="0" fontId="15" fillId="16" borderId="2" xfId="0" applyFont="1" applyFill="1" applyBorder="1" applyProtection="1">
      <protection hidden="1"/>
    </xf>
    <xf numFmtId="0" fontId="14" fillId="16" borderId="3" xfId="0" applyFont="1" applyFill="1" applyBorder="1" applyAlignment="1" applyProtection="1">
      <alignment horizontal="right"/>
      <protection hidden="1"/>
    </xf>
    <xf numFmtId="0" fontId="15" fillId="16" borderId="5" xfId="0" applyFont="1" applyFill="1" applyBorder="1" applyProtection="1">
      <protection hidden="1"/>
    </xf>
    <xf numFmtId="0" fontId="22" fillId="16" borderId="0" xfId="0" applyFont="1" applyFill="1" applyBorder="1" applyAlignment="1" applyProtection="1">
      <alignment horizontal="right"/>
      <protection hidden="1"/>
    </xf>
    <xf numFmtId="0" fontId="0" fillId="16" borderId="0" xfId="0" applyFill="1" applyBorder="1" applyAlignment="1" applyProtection="1">
      <alignment horizontal="center"/>
      <protection hidden="1"/>
    </xf>
    <xf numFmtId="1" fontId="0" fillId="16" borderId="0" xfId="0" applyNumberFormat="1" applyFill="1" applyProtection="1">
      <protection hidden="1"/>
    </xf>
    <xf numFmtId="0" fontId="0" fillId="0" borderId="0" xfId="0" applyFill="1" applyProtection="1">
      <protection hidden="1"/>
    </xf>
    <xf numFmtId="0" fontId="27" fillId="13" borderId="0" xfId="0" applyFont="1" applyFill="1" applyProtection="1">
      <protection hidden="1"/>
    </xf>
    <xf numFmtId="0" fontId="0" fillId="13" borderId="0" xfId="0" applyFill="1" applyProtection="1">
      <protection hidden="1"/>
    </xf>
    <xf numFmtId="0" fontId="0" fillId="13" borderId="0" xfId="0" applyFill="1" applyAlignment="1" applyProtection="1">
      <alignment horizontal="right"/>
      <protection hidden="1"/>
    </xf>
    <xf numFmtId="0" fontId="0" fillId="17" borderId="0" xfId="0" applyFill="1" applyProtection="1">
      <protection hidden="1"/>
    </xf>
    <xf numFmtId="0" fontId="0" fillId="17" borderId="0" xfId="0" applyFill="1" applyBorder="1" applyProtection="1">
      <protection hidden="1"/>
    </xf>
    <xf numFmtId="0" fontId="4" fillId="16" borderId="3" xfId="3" applyFont="1" applyFill="1" applyBorder="1" applyAlignment="1" applyProtection="1">
      <alignment horizontal="right"/>
      <protection hidden="1"/>
    </xf>
    <xf numFmtId="0" fontId="4" fillId="16" borderId="4" xfId="3" applyFont="1" applyFill="1" applyBorder="1" applyProtection="1">
      <protection hidden="1"/>
    </xf>
    <xf numFmtId="0" fontId="4" fillId="16" borderId="0" xfId="3" applyFont="1" applyFill="1" applyBorder="1" applyAlignment="1" applyProtection="1">
      <alignment horizontal="right"/>
      <protection hidden="1"/>
    </xf>
    <xf numFmtId="0" fontId="4" fillId="16" borderId="6" xfId="3" applyFont="1" applyFill="1" applyBorder="1" applyProtection="1">
      <protection hidden="1"/>
    </xf>
    <xf numFmtId="0" fontId="4" fillId="16" borderId="8" xfId="3" applyFont="1" applyFill="1" applyBorder="1" applyAlignment="1" applyProtection="1">
      <alignment horizontal="right"/>
      <protection hidden="1"/>
    </xf>
    <xf numFmtId="0" fontId="4" fillId="16" borderId="9" xfId="3" applyFont="1" applyFill="1" applyBorder="1" applyProtection="1">
      <protection hidden="1"/>
    </xf>
    <xf numFmtId="0" fontId="0" fillId="8" borderId="0" xfId="0" applyFill="1" applyProtection="1">
      <protection hidden="1"/>
    </xf>
    <xf numFmtId="0" fontId="0" fillId="8" borderId="0" xfId="0" applyFill="1" applyAlignment="1" applyProtection="1">
      <alignment horizontal="right"/>
      <protection hidden="1"/>
    </xf>
    <xf numFmtId="0" fontId="0" fillId="15" borderId="0" xfId="0" applyFill="1" applyAlignment="1" applyProtection="1">
      <alignment horizontal="right"/>
      <protection hidden="1"/>
    </xf>
    <xf numFmtId="0" fontId="14" fillId="15" borderId="0" xfId="0" applyFont="1" applyFill="1" applyProtection="1">
      <protection hidden="1"/>
    </xf>
    <xf numFmtId="0" fontId="30" fillId="16" borderId="0" xfId="0" applyFont="1" applyFill="1" applyProtection="1">
      <protection hidden="1"/>
    </xf>
    <xf numFmtId="0" fontId="0" fillId="7" borderId="14" xfId="0" applyFill="1" applyBorder="1" applyProtection="1">
      <protection locked="0" hidden="1"/>
    </xf>
    <xf numFmtId="0" fontId="0" fillId="7" borderId="15" xfId="0" applyFill="1" applyBorder="1" applyProtection="1">
      <protection locked="0" hidden="1"/>
    </xf>
    <xf numFmtId="2" fontId="0" fillId="16" borderId="15" xfId="0" applyNumberFormat="1" applyFill="1" applyBorder="1" applyProtection="1">
      <protection hidden="1"/>
    </xf>
    <xf numFmtId="0" fontId="0" fillId="16" borderId="15" xfId="0" applyFill="1" applyBorder="1" applyProtection="1">
      <protection hidden="1"/>
    </xf>
    <xf numFmtId="1" fontId="0" fillId="16" borderId="15" xfId="0" applyNumberFormat="1" applyFill="1" applyBorder="1" applyProtection="1">
      <protection hidden="1"/>
    </xf>
    <xf numFmtId="2" fontId="0" fillId="16" borderId="16" xfId="0" applyNumberFormat="1" applyFill="1" applyBorder="1" applyProtection="1">
      <protection hidden="1"/>
    </xf>
    <xf numFmtId="0" fontId="0" fillId="7" borderId="16" xfId="0" applyFill="1" applyBorder="1" applyProtection="1">
      <protection locked="0" hidden="1"/>
    </xf>
    <xf numFmtId="2" fontId="0" fillId="0" borderId="15" xfId="0" applyNumberFormat="1" applyBorder="1" applyProtection="1">
      <protection hidden="1"/>
    </xf>
    <xf numFmtId="164" fontId="0" fillId="0" borderId="16" xfId="0" applyNumberFormat="1" applyBorder="1" applyProtection="1">
      <protection hidden="1"/>
    </xf>
    <xf numFmtId="2" fontId="0" fillId="0" borderId="14" xfId="0" applyNumberFormat="1" applyBorder="1" applyProtection="1">
      <protection hidden="1"/>
    </xf>
    <xf numFmtId="1" fontId="0" fillId="0" borderId="16" xfId="0" applyNumberFormat="1" applyBorder="1" applyProtection="1">
      <protection hidden="1"/>
    </xf>
    <xf numFmtId="0" fontId="0" fillId="16" borderId="15" xfId="0" applyFill="1" applyBorder="1" applyAlignment="1" applyProtection="1">
      <alignment horizontal="center"/>
      <protection hidden="1"/>
    </xf>
    <xf numFmtId="1" fontId="0" fillId="16" borderId="7" xfId="0" applyNumberFormat="1" applyFill="1" applyBorder="1" applyProtection="1">
      <protection hidden="1"/>
    </xf>
    <xf numFmtId="2" fontId="0" fillId="16" borderId="10" xfId="0" applyNumberFormat="1" applyFill="1" applyBorder="1" applyProtection="1">
      <protection hidden="1"/>
    </xf>
    <xf numFmtId="2" fontId="0" fillId="0" borderId="0" xfId="0" applyNumberFormat="1" applyFill="1"/>
    <xf numFmtId="0" fontId="5" fillId="0" borderId="0" xfId="3" applyFont="1" applyAlignment="1">
      <alignment horizontal="center"/>
    </xf>
    <xf numFmtId="0" fontId="0" fillId="0" borderId="0" xfId="0" applyNumberFormat="1" applyFill="1"/>
    <xf numFmtId="0" fontId="0" fillId="16" borderId="16" xfId="0" applyFill="1" applyBorder="1" applyProtection="1">
      <protection hidden="1"/>
    </xf>
    <xf numFmtId="2" fontId="0" fillId="11" borderId="0" xfId="0" applyNumberFormat="1" applyFill="1"/>
    <xf numFmtId="0" fontId="3" fillId="0" borderId="0" xfId="3" applyFont="1"/>
    <xf numFmtId="0" fontId="3" fillId="11" borderId="0" xfId="3" applyFont="1" applyFill="1"/>
    <xf numFmtId="0" fontId="5" fillId="9" borderId="0" xfId="3" applyFont="1" applyFill="1" applyAlignment="1">
      <alignment horizontal="center"/>
    </xf>
    <xf numFmtId="2" fontId="0" fillId="16" borderId="0" xfId="0" applyNumberFormat="1" applyFill="1" applyBorder="1" applyProtection="1">
      <protection hidden="1"/>
    </xf>
    <xf numFmtId="0" fontId="0" fillId="16" borderId="14" xfId="0" applyFill="1" applyBorder="1" applyProtection="1">
      <protection hidden="1"/>
    </xf>
    <xf numFmtId="2" fontId="30" fillId="0" borderId="0" xfId="0" applyNumberFormat="1" applyFont="1" applyFill="1"/>
    <xf numFmtId="169" fontId="0" fillId="9" borderId="0" xfId="0" applyNumberFormat="1" applyFill="1"/>
    <xf numFmtId="0" fontId="0" fillId="6" borderId="0" xfId="0" applyFill="1"/>
    <xf numFmtId="0" fontId="30" fillId="0" borderId="0" xfId="0" applyFont="1" applyFill="1"/>
    <xf numFmtId="0" fontId="5" fillId="0" borderId="0" xfId="3" applyFont="1" applyAlignment="1">
      <alignment horizontal="center"/>
    </xf>
    <xf numFmtId="0" fontId="0" fillId="16" borderId="15" xfId="0" applyFont="1" applyFill="1" applyBorder="1" applyAlignment="1" applyProtection="1">
      <alignment vertical="top"/>
      <protection hidden="1"/>
    </xf>
    <xf numFmtId="0" fontId="0" fillId="0" borderId="15" xfId="0" applyFill="1" applyBorder="1" applyProtection="1">
      <protection hidden="1"/>
    </xf>
    <xf numFmtId="0" fontId="16" fillId="16" borderId="10" xfId="0" applyFont="1" applyFill="1" applyBorder="1" applyAlignment="1" applyProtection="1">
      <alignment horizontal="left"/>
      <protection hidden="1"/>
    </xf>
    <xf numFmtId="0" fontId="0" fillId="16" borderId="7" xfId="0" applyFill="1" applyBorder="1" applyAlignment="1" applyProtection="1">
      <alignment horizontal="left"/>
      <protection hidden="1"/>
    </xf>
    <xf numFmtId="0" fontId="32" fillId="0" borderId="0" xfId="0" applyFont="1"/>
    <xf numFmtId="0" fontId="0" fillId="0" borderId="0" xfId="0" applyFont="1"/>
    <xf numFmtId="0" fontId="33" fillId="0" borderId="0" xfId="0" applyFont="1"/>
    <xf numFmtId="0" fontId="0" fillId="0" borderId="0" xfId="0" applyFill="1" applyAlignment="1" applyProtection="1">
      <alignment horizontal="right"/>
      <protection hidden="1"/>
    </xf>
    <xf numFmtId="0" fontId="16" fillId="16" borderId="15" xfId="0" applyFont="1" applyFill="1" applyBorder="1" applyProtection="1">
      <protection hidden="1"/>
    </xf>
    <xf numFmtId="0" fontId="14" fillId="16" borderId="0" xfId="0" applyFont="1" applyFill="1" applyBorder="1" applyAlignment="1" applyProtection="1">
      <alignment horizontal="right"/>
      <protection hidden="1"/>
    </xf>
    <xf numFmtId="0" fontId="0" fillId="7" borderId="14" xfId="0" applyFont="1" applyFill="1" applyBorder="1" applyAlignment="1" applyProtection="1">
      <alignment horizontal="right" vertical="top"/>
      <protection hidden="1"/>
    </xf>
    <xf numFmtId="170" fontId="0" fillId="10" borderId="0" xfId="0" applyNumberFormat="1" applyFill="1"/>
    <xf numFmtId="0" fontId="0" fillId="0" borderId="0" xfId="0" applyAlignment="1">
      <alignment horizontal="right"/>
    </xf>
    <xf numFmtId="0" fontId="12" fillId="16" borderId="3" xfId="0" applyFont="1" applyFill="1" applyBorder="1" applyProtection="1">
      <protection hidden="1"/>
    </xf>
    <xf numFmtId="168" fontId="0" fillId="0" borderId="15" xfId="0" applyNumberFormat="1" applyFill="1" applyBorder="1" applyProtection="1">
      <protection hidden="1"/>
    </xf>
    <xf numFmtId="168" fontId="0" fillId="0" borderId="15" xfId="0" applyNumberFormat="1" applyBorder="1" applyProtection="1">
      <protection hidden="1"/>
    </xf>
    <xf numFmtId="2" fontId="0" fillId="0" borderId="16" xfId="0" applyNumberFormat="1" applyBorder="1" applyProtection="1">
      <protection hidden="1"/>
    </xf>
    <xf numFmtId="0" fontId="0" fillId="16" borderId="0" xfId="0" applyFill="1" applyBorder="1"/>
    <xf numFmtId="0" fontId="0" fillId="0" borderId="0" xfId="0" applyBorder="1" applyAlignment="1">
      <alignment horizontal="center"/>
    </xf>
    <xf numFmtId="0" fontId="0" fillId="0" borderId="3" xfId="0" applyBorder="1" applyAlignment="1">
      <alignment horizontal="center"/>
    </xf>
    <xf numFmtId="0" fontId="0" fillId="0" borderId="0" xfId="0" applyBorder="1" applyAlignment="1"/>
    <xf numFmtId="0" fontId="0" fillId="0" borderId="6" xfId="0" applyBorder="1" applyAlignment="1"/>
    <xf numFmtId="171" fontId="0" fillId="10" borderId="0" xfId="0" applyNumberFormat="1" applyFill="1"/>
    <xf numFmtId="0" fontId="0" fillId="0" borderId="0" xfId="0" applyBorder="1" applyAlignment="1">
      <alignment horizontal="center" wrapText="1"/>
    </xf>
    <xf numFmtId="0" fontId="0" fillId="0" borderId="0" xfId="0" applyFill="1" applyBorder="1"/>
    <xf numFmtId="0" fontId="0" fillId="14" borderId="0" xfId="0" applyFill="1" applyBorder="1"/>
    <xf numFmtId="0" fontId="0" fillId="7" borderId="0" xfId="0" applyFill="1" applyBorder="1"/>
    <xf numFmtId="0" fontId="0" fillId="14" borderId="6"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14" borderId="5" xfId="0" applyFill="1" applyBorder="1"/>
    <xf numFmtId="0" fontId="0" fillId="7" borderId="6" xfId="0" applyFill="1" applyBorder="1"/>
    <xf numFmtId="0" fontId="0" fillId="0" borderId="5" xfId="0" applyBorder="1" applyAlignment="1"/>
    <xf numFmtId="168" fontId="0" fillId="16" borderId="0" xfId="0" applyNumberFormat="1" applyFill="1" applyBorder="1" applyProtection="1">
      <protection hidden="1"/>
    </xf>
    <xf numFmtId="0" fontId="16" fillId="16" borderId="0" xfId="0" applyFont="1" applyFill="1" applyBorder="1" applyProtection="1">
      <protection hidden="1"/>
    </xf>
    <xf numFmtId="0" fontId="0" fillId="0" borderId="0" xfId="0" applyFill="1" applyBorder="1" applyProtection="1">
      <protection hidden="1"/>
    </xf>
    <xf numFmtId="0" fontId="4" fillId="16" borderId="0" xfId="3" applyFont="1" applyFill="1" applyBorder="1" applyProtection="1">
      <protection hidden="1"/>
    </xf>
    <xf numFmtId="0" fontId="12" fillId="16" borderId="0" xfId="0" applyFont="1" applyFill="1" applyBorder="1" applyAlignment="1" applyProtection="1">
      <alignment horizontal="right"/>
      <protection hidden="1"/>
    </xf>
    <xf numFmtId="0" fontId="35" fillId="16" borderId="0" xfId="0" applyFont="1" applyFill="1" applyBorder="1" applyProtection="1">
      <protection hidden="1"/>
    </xf>
    <xf numFmtId="0" fontId="35" fillId="16" borderId="0" xfId="0" applyFont="1" applyFill="1" applyBorder="1" applyAlignment="1" applyProtection="1">
      <alignment horizontal="center"/>
      <protection hidden="1"/>
    </xf>
    <xf numFmtId="0" fontId="35" fillId="16" borderId="0" xfId="0" applyFont="1" applyFill="1" applyProtection="1">
      <protection hidden="1"/>
    </xf>
    <xf numFmtId="0" fontId="12" fillId="16" borderId="2" xfId="0" applyFont="1" applyFill="1" applyBorder="1" applyProtection="1">
      <protection hidden="1"/>
    </xf>
    <xf numFmtId="0" fontId="34" fillId="16" borderId="0" xfId="0" applyFont="1" applyFill="1" applyBorder="1" applyAlignment="1" applyProtection="1">
      <alignment horizontal="right"/>
      <protection hidden="1"/>
    </xf>
    <xf numFmtId="0" fontId="0" fillId="0" borderId="17" xfId="0" applyBorder="1"/>
    <xf numFmtId="0" fontId="0" fillId="0" borderId="17" xfId="0" applyFill="1" applyBorder="1"/>
    <xf numFmtId="0" fontId="0" fillId="16" borderId="18" xfId="0" applyFill="1" applyBorder="1" applyProtection="1">
      <protection hidden="1"/>
    </xf>
    <xf numFmtId="0" fontId="15" fillId="16" borderId="0" xfId="0" applyFont="1" applyFill="1" applyBorder="1" applyAlignment="1" applyProtection="1">
      <alignment horizontal="right"/>
      <protection hidden="1"/>
    </xf>
    <xf numFmtId="0" fontId="36" fillId="0" borderId="0" xfId="0" applyFont="1"/>
    <xf numFmtId="0" fontId="0" fillId="0" borderId="19" xfId="0" applyBorder="1"/>
    <xf numFmtId="0" fontId="0" fillId="0" borderId="20" xfId="0" applyBorder="1"/>
    <xf numFmtId="0" fontId="0" fillId="0" borderId="20" xfId="0" applyFill="1" applyBorder="1"/>
    <xf numFmtId="0" fontId="0" fillId="0" borderId="21" xfId="0" applyBorder="1"/>
    <xf numFmtId="0" fontId="0" fillId="0" borderId="21" xfId="0" applyFill="1" applyBorder="1"/>
    <xf numFmtId="0" fontId="35" fillId="16" borderId="2" xfId="0" applyFont="1" applyFill="1" applyBorder="1" applyProtection="1">
      <protection hidden="1"/>
    </xf>
    <xf numFmtId="0" fontId="3" fillId="0" borderId="0" xfId="3" applyFont="1" applyFill="1" applyBorder="1" applyAlignment="1" applyProtection="1">
      <alignment horizontal="left"/>
    </xf>
    <xf numFmtId="49" fontId="0" fillId="16" borderId="0" xfId="0" applyNumberFormat="1" applyFill="1" applyAlignment="1" applyProtection="1">
      <alignment horizontal="right"/>
      <protection hidden="1"/>
    </xf>
    <xf numFmtId="0" fontId="37" fillId="16" borderId="0" xfId="0" applyFont="1" applyFill="1" applyBorder="1" applyProtection="1">
      <protection hidden="1"/>
    </xf>
    <xf numFmtId="0" fontId="37" fillId="16" borderId="0" xfId="0" applyFont="1" applyFill="1" applyProtection="1">
      <protection hidden="1"/>
    </xf>
    <xf numFmtId="0" fontId="0" fillId="0" borderId="0" xfId="0" applyBorder="1" applyProtection="1">
      <protection hidden="1"/>
    </xf>
    <xf numFmtId="0" fontId="38" fillId="16" borderId="0" xfId="0" applyFont="1" applyFill="1" applyBorder="1" applyAlignment="1" applyProtection="1">
      <alignment horizontal="left"/>
      <protection hidden="1"/>
    </xf>
    <xf numFmtId="0" fontId="16" fillId="16" borderId="16" xfId="0" applyFont="1" applyFill="1" applyBorder="1" applyProtection="1">
      <protection hidden="1"/>
    </xf>
    <xf numFmtId="0" fontId="0" fillId="0" borderId="14" xfId="0" applyFill="1" applyBorder="1" applyProtection="1">
      <protection hidden="1"/>
    </xf>
    <xf numFmtId="2" fontId="0" fillId="16" borderId="14" xfId="0" applyNumberFormat="1" applyFill="1" applyBorder="1" applyProtection="1">
      <protection hidden="1"/>
    </xf>
    <xf numFmtId="0" fontId="1" fillId="16" borderId="3" xfId="3" applyFont="1" applyFill="1" applyBorder="1" applyAlignment="1" applyProtection="1">
      <alignment horizontal="right"/>
      <protection hidden="1"/>
    </xf>
    <xf numFmtId="0" fontId="16" fillId="16" borderId="14" xfId="0" applyFont="1" applyFill="1" applyBorder="1" applyProtection="1">
      <protection hidden="1"/>
    </xf>
    <xf numFmtId="0" fontId="52" fillId="0" borderId="0" xfId="0" applyFont="1" applyFill="1" applyBorder="1"/>
    <xf numFmtId="0" fontId="53" fillId="0" borderId="0" xfId="0" applyFont="1" applyFill="1" applyBorder="1" applyAlignment="1">
      <alignment horizontal="center"/>
    </xf>
    <xf numFmtId="49" fontId="53" fillId="0" borderId="0" xfId="0" applyNumberFormat="1" applyFont="1" applyFill="1" applyBorder="1" applyAlignment="1">
      <alignment horizontal="left"/>
    </xf>
    <xf numFmtId="0" fontId="54" fillId="0" borderId="0" xfId="0" applyFont="1" applyFill="1" applyBorder="1"/>
    <xf numFmtId="0" fontId="55" fillId="0" borderId="0" xfId="8" applyFont="1" applyFill="1" applyBorder="1" applyAlignment="1">
      <alignment vertical="center"/>
    </xf>
    <xf numFmtId="0" fontId="55" fillId="0" borderId="0" xfId="8" applyFont="1" applyFill="1" applyBorder="1" applyAlignment="1">
      <alignment horizontal="right" vertical="center"/>
    </xf>
    <xf numFmtId="0" fontId="53" fillId="0" borderId="0" xfId="0" applyFont="1" applyFill="1" applyBorder="1" applyAlignment="1">
      <alignment horizontal="left"/>
    </xf>
    <xf numFmtId="0" fontId="52" fillId="0" borderId="0" xfId="0" applyFont="1" applyFill="1" applyBorder="1" applyAlignment="1">
      <alignment horizontal="center"/>
    </xf>
    <xf numFmtId="0" fontId="52" fillId="0" borderId="0" xfId="0" applyFont="1" applyFill="1" applyBorder="1" applyAlignment="1">
      <alignment horizontal="left"/>
    </xf>
    <xf numFmtId="0" fontId="54" fillId="0" borderId="0" xfId="0" applyFont="1" applyFill="1" applyBorder="1" applyAlignment="1">
      <alignment horizontal="center"/>
    </xf>
    <xf numFmtId="0" fontId="3" fillId="0" borderId="0" xfId="0" applyFont="1" applyFill="1" applyBorder="1" applyAlignment="1"/>
    <xf numFmtId="0" fontId="56" fillId="19" borderId="0" xfId="0" applyFont="1" applyFill="1" applyBorder="1" applyAlignment="1">
      <alignment horizontal="center"/>
    </xf>
    <xf numFmtId="49" fontId="54" fillId="0" borderId="0" xfId="0" applyNumberFormat="1" applyFont="1" applyFill="1" applyBorder="1" applyAlignment="1">
      <alignment horizontal="center"/>
    </xf>
    <xf numFmtId="0" fontId="54" fillId="0" borderId="0" xfId="0" applyFont="1" applyFill="1" applyBorder="1" applyAlignment="1">
      <alignment wrapText="1"/>
    </xf>
    <xf numFmtId="0" fontId="57" fillId="0" borderId="0" xfId="8" applyFont="1" applyFill="1" applyBorder="1" applyAlignment="1">
      <alignment vertical="center"/>
    </xf>
    <xf numFmtId="17" fontId="0" fillId="16" borderId="0" xfId="0" quotePrefix="1" applyNumberFormat="1" applyFill="1" applyBorder="1" applyProtection="1">
      <protection hidden="1"/>
    </xf>
    <xf numFmtId="2" fontId="0" fillId="7" borderId="15" xfId="0" applyNumberFormat="1" applyFill="1" applyBorder="1" applyProtection="1">
      <protection locked="0" hidden="1"/>
    </xf>
    <xf numFmtId="1" fontId="0" fillId="7" borderId="15" xfId="0" applyNumberFormat="1" applyFill="1" applyBorder="1" applyProtection="1">
      <protection locked="0" hidden="1"/>
    </xf>
    <xf numFmtId="2" fontId="0" fillId="7" borderId="13" xfId="0" applyNumberFormat="1" applyFill="1" applyBorder="1" applyProtection="1">
      <protection locked="0" hidden="1"/>
    </xf>
    <xf numFmtId="1" fontId="0" fillId="7" borderId="16" xfId="0" applyNumberFormat="1" applyFill="1" applyBorder="1" applyProtection="1">
      <protection locked="0" hidden="1"/>
    </xf>
    <xf numFmtId="0" fontId="51" fillId="8" borderId="0" xfId="8" applyFill="1" applyBorder="1" applyAlignment="1" applyProtection="1">
      <alignment horizontal="center"/>
      <protection locked="0" hidden="1"/>
    </xf>
    <xf numFmtId="0" fontId="52" fillId="0" borderId="0" xfId="0" applyFont="1" applyFill="1" applyBorder="1" applyAlignment="1">
      <alignment horizontal="center"/>
    </xf>
    <xf numFmtId="0" fontId="52" fillId="18" borderId="0" xfId="0" applyFont="1" applyFill="1" applyBorder="1" applyAlignment="1">
      <alignment horizontal="center"/>
    </xf>
    <xf numFmtId="0" fontId="56" fillId="19" borderId="0" xfId="0" applyFont="1" applyFill="1" applyBorder="1" applyAlignment="1">
      <alignment horizontal="left"/>
    </xf>
    <xf numFmtId="0" fontId="54" fillId="0" borderId="0" xfId="0" applyFont="1" applyFill="1" applyBorder="1" applyAlignment="1">
      <alignment horizontal="left"/>
    </xf>
    <xf numFmtId="0" fontId="54" fillId="0" borderId="0" xfId="0" applyFont="1" applyFill="1" applyBorder="1" applyAlignment="1">
      <alignment wrapText="1"/>
    </xf>
    <xf numFmtId="0" fontId="6" fillId="2" borderId="0" xfId="3" applyFont="1" applyFill="1" applyAlignment="1">
      <alignment horizontal="center"/>
    </xf>
    <xf numFmtId="0" fontId="5" fillId="0" borderId="0" xfId="3" applyFont="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0" borderId="10" xfId="0" applyFont="1" applyBorder="1" applyAlignment="1">
      <alignment horizontal="center"/>
    </xf>
    <xf numFmtId="0" fontId="4" fillId="0" borderId="0" xfId="3"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2" borderId="0" xfId="3" applyFont="1" applyFill="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wrapText="1"/>
    </xf>
    <xf numFmtId="0" fontId="0" fillId="0" borderId="0" xfId="0" applyBorder="1" applyAlignment="1">
      <alignment horizontal="center" wrapText="1"/>
    </xf>
    <xf numFmtId="0" fontId="0" fillId="0" borderId="6" xfId="0" applyBorder="1" applyAlignment="1">
      <alignment horizontal="center" wrapText="1"/>
    </xf>
    <xf numFmtId="2" fontId="0" fillId="7" borderId="16" xfId="0" applyNumberFormat="1" applyFill="1" applyBorder="1" applyProtection="1">
      <protection locked="0" hidden="1"/>
    </xf>
  </cellXfs>
  <cellStyles count="9">
    <cellStyle name="Comma 2" xfId="5" xr:uid="{00000000-0005-0000-0000-000000000000}"/>
    <cellStyle name="Comma 3" xfId="2" xr:uid="{00000000-0005-0000-0000-000001000000}"/>
    <cellStyle name="Hyperlink" xfId="8" builtinId="8"/>
    <cellStyle name="Normal" xfId="0" builtinId="0"/>
    <cellStyle name="Normal 2" xfId="3" xr:uid="{00000000-0005-0000-0000-000003000000}"/>
    <cellStyle name="Normal 3" xfId="4" xr:uid="{00000000-0005-0000-0000-000004000000}"/>
    <cellStyle name="Normal 4" xfId="1" xr:uid="{00000000-0005-0000-0000-000005000000}"/>
    <cellStyle name="Normal 4 2" xfId="7" xr:uid="{00000000-0005-0000-0000-000006000000}"/>
    <cellStyle name="Normal 4 3" xfId="6" xr:uid="{00000000-0005-0000-0000-000007000000}"/>
  </cellStyles>
  <dxfs count="25">
    <dxf>
      <font>
        <color theme="0"/>
      </font>
      <fill>
        <patternFill>
          <bgColor theme="0"/>
        </patternFill>
      </fill>
      <border>
        <left style="hair">
          <color theme="0"/>
        </left>
        <right style="hair">
          <color theme="0"/>
        </right>
        <top style="hair">
          <color theme="0"/>
        </top>
        <bottom style="hair">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left/>
        <right/>
        <top/>
        <bottom/>
        <vertical/>
        <horizontal/>
      </border>
    </dxf>
    <dxf>
      <font>
        <strike/>
      </font>
      <fill>
        <patternFill>
          <bgColor theme="0" tint="-0.24994659260841701"/>
        </patternFill>
      </fill>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C000"/>
        </patternFill>
      </fill>
    </dxf>
    <dxf>
      <fill>
        <patternFill>
          <bgColor rgb="FFFF0000"/>
        </patternFill>
      </fill>
    </dxf>
    <dxf>
      <font>
        <color rgb="FFFF0000"/>
      </font>
    </dxf>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CCM_Loop_Modeling_Isolated!$AD$19:$AD$560</c:f>
              <c:numCache>
                <c:formatCode>0.000</c:formatCode>
                <c:ptCount val="542"/>
                <c:pt idx="0">
                  <c:v>84.17364081682959</c:v>
                </c:pt>
                <c:pt idx="1">
                  <c:v>83.993169388028562</c:v>
                </c:pt>
                <c:pt idx="2">
                  <c:v>83.811900670832586</c:v>
                </c:pt>
                <c:pt idx="3">
                  <c:v>83.629863914548039</c:v>
                </c:pt>
                <c:pt idx="4">
                  <c:v>83.447087554130306</c:v>
                </c:pt>
                <c:pt idx="5">
                  <c:v>83.263599211226861</c:v>
                </c:pt>
                <c:pt idx="6">
                  <c:v>83.079425697329654</c:v>
                </c:pt>
                <c:pt idx="7">
                  <c:v>82.89459301885222</c:v>
                </c:pt>
                <c:pt idx="8">
                  <c:v>82.709126383951102</c:v>
                </c:pt>
                <c:pt idx="9">
                  <c:v>82.523050210923031</c:v>
                </c:pt>
                <c:pt idx="10">
                  <c:v>82.336388138013092</c:v>
                </c:pt>
                <c:pt idx="11">
                  <c:v>82.149163034478903</c:v>
                </c:pt>
                <c:pt idx="12">
                  <c:v>81.961397012765374</c:v>
                </c:pt>
                <c:pt idx="13">
                  <c:v>81.773111441651224</c:v>
                </c:pt>
                <c:pt idx="14">
                  <c:v>81.584326960236922</c:v>
                </c:pt>
                <c:pt idx="15">
                  <c:v>81.395063492653691</c:v>
                </c:pt>
                <c:pt idx="16">
                  <c:v>81.205340263380151</c:v>
                </c:pt>
                <c:pt idx="17">
                  <c:v>81.015175813060978</c:v>
                </c:pt>
                <c:pt idx="18">
                  <c:v>80.824588014730949</c:v>
                </c:pt>
                <c:pt idx="19">
                  <c:v>80.633594090354364</c:v>
                </c:pt>
                <c:pt idx="20">
                  <c:v>80.442210627597802</c:v>
                </c:pt>
                <c:pt idx="21">
                  <c:v>80.250453596759542</c:v>
                </c:pt>
                <c:pt idx="22">
                  <c:v>80.058338367788622</c:v>
                </c:pt>
                <c:pt idx="23">
                  <c:v>79.865879727329499</c:v>
                </c:pt>
                <c:pt idx="24">
                  <c:v>79.673091895736633</c:v>
                </c:pt>
                <c:pt idx="25">
                  <c:v>79.479988544007256</c:v>
                </c:pt>
                <c:pt idx="26">
                  <c:v>79.28658281058776</c:v>
                </c:pt>
                <c:pt idx="27">
                  <c:v>79.092887318012032</c:v>
                </c:pt>
                <c:pt idx="28">
                  <c:v>78.898914189335898</c:v>
                </c:pt>
                <c:pt idx="29">
                  <c:v>78.704675064336541</c:v>
                </c:pt>
                <c:pt idx="30">
                  <c:v>78.51018111544802</c:v>
                </c:pt>
                <c:pt idx="31">
                  <c:v>78.315443063409504</c:v>
                </c:pt>
                <c:pt idx="32">
                  <c:v>78.12047119260599</c:v>
                </c:pt>
                <c:pt idx="33">
                  <c:v>77.925275366082204</c:v>
                </c:pt>
                <c:pt idx="34">
                  <c:v>77.729865040217149</c:v>
                </c:pt>
                <c:pt idx="35">
                  <c:v>77.534249279045952</c:v>
                </c:pt>
                <c:pt idx="36">
                  <c:v>77.338436768219253</c:v>
                </c:pt>
                <c:pt idx="37">
                  <c:v>77.142435828593591</c:v>
                </c:pt>
                <c:pt idx="38">
                  <c:v>76.946254429446299</c:v>
                </c:pt>
                <c:pt idx="39">
                  <c:v>76.749900201311675</c:v>
                </c:pt>
                <c:pt idx="40">
                  <c:v>76.553380448436343</c:v>
                </c:pt>
                <c:pt idx="41">
                  <c:v>76.356702160852421</c:v>
                </c:pt>
                <c:pt idx="42">
                  <c:v>76.15987202606982</c:v>
                </c:pt>
                <c:pt idx="43">
                  <c:v>75.962896440389159</c:v>
                </c:pt>
                <c:pt idx="44">
                  <c:v>75.765781519837333</c:v>
                </c:pt>
                <c:pt idx="45">
                  <c:v>75.568533110730058</c:v>
                </c:pt>
                <c:pt idx="46">
                  <c:v>75.371156799865375</c:v>
                </c:pt>
                <c:pt idx="47">
                  <c:v>75.173657924352611</c:v>
                </c:pt>
                <c:pt idx="48">
                  <c:v>74.976041581083294</c:v>
                </c:pt>
                <c:pt idx="49">
                  <c:v>74.778312635848792</c:v>
                </c:pt>
                <c:pt idx="50">
                  <c:v>74.580475732111893</c:v>
                </c:pt>
                <c:pt idx="51">
                  <c:v>74.382535299438516</c:v>
                </c:pt>
                <c:pt idx="52">
                  <c:v>74.184495561596833</c:v>
                </c:pt>
                <c:pt idx="53">
                  <c:v>73.986360544330211</c:v>
                </c:pt>
                <c:pt idx="54">
                  <c:v>73.788134082812149</c:v>
                </c:pt>
                <c:pt idx="55">
                  <c:v>73.589819828789828</c:v>
                </c:pt>
                <c:pt idx="56">
                  <c:v>73.391421257423687</c:v>
                </c:pt>
                <c:pt idx="57">
                  <c:v>73.192941673830632</c:v>
                </c:pt>
                <c:pt idx="58">
                  <c:v>72.994384219338102</c:v>
                </c:pt>
                <c:pt idx="59">
                  <c:v>72.795751877456269</c:v>
                </c:pt>
                <c:pt idx="60">
                  <c:v>72.597047479574982</c:v>
                </c:pt>
                <c:pt idx="61">
                  <c:v>72.398273710394108</c:v>
                </c:pt>
                <c:pt idx="62">
                  <c:v>72.199433113091516</c:v>
                </c:pt>
                <c:pt idx="63">
                  <c:v>72.000528094238575</c:v>
                </c:pt>
                <c:pt idx="64">
                  <c:v>71.801560928466898</c:v>
                </c:pt>
                <c:pt idx="65">
                  <c:v>71.602533762894424</c:v>
                </c:pt>
                <c:pt idx="66">
                  <c:v>71.403448621316699</c:v>
                </c:pt>
                <c:pt idx="67">
                  <c:v>71.204307408168731</c:v>
                </c:pt>
                <c:pt idx="68">
                  <c:v>71.005111912263715</c:v>
                </c:pt>
                <c:pt idx="69">
                  <c:v>70.805863810314264</c:v>
                </c:pt>
                <c:pt idx="70">
                  <c:v>70.606564670239806</c:v>
                </c:pt>
                <c:pt idx="71">
                  <c:v>70.407215954268295</c:v>
                </c:pt>
                <c:pt idx="72">
                  <c:v>70.20781902183289</c:v>
                </c:pt>
                <c:pt idx="73">
                  <c:v>70.008375132272221</c:v>
                </c:pt>
                <c:pt idx="74">
                  <c:v>69.808885447334944</c:v>
                </c:pt>
                <c:pt idx="75">
                  <c:v>69.609351033494903</c:v>
                </c:pt>
                <c:pt idx="76">
                  <c:v>69.409772864079542</c:v>
                </c:pt>
                <c:pt idx="77">
                  <c:v>69.210151821214978</c:v>
                </c:pt>
                <c:pt idx="78">
                  <c:v>69.010488697591285</c:v>
                </c:pt>
                <c:pt idx="79">
                  <c:v>68.810784198050342</c:v>
                </c:pt>
                <c:pt idx="80">
                  <c:v>68.611038941000018</c:v>
                </c:pt>
                <c:pt idx="81">
                  <c:v>68.411253459654745</c:v>
                </c:pt>
                <c:pt idx="82">
                  <c:v>68.211428203107147</c:v>
                </c:pt>
                <c:pt idx="83">
                  <c:v>68.011563537230842</c:v>
                </c:pt>
                <c:pt idx="84">
                  <c:v>67.811659745416094</c:v>
                </c:pt>
                <c:pt idx="85">
                  <c:v>67.611717029140451</c:v>
                </c:pt>
                <c:pt idx="86">
                  <c:v>67.411735508373994</c:v>
                </c:pt>
                <c:pt idx="87">
                  <c:v>67.211715221821095</c:v>
                </c:pt>
                <c:pt idx="88">
                  <c:v>67.011656126998474</c:v>
                </c:pt>
                <c:pt idx="89">
                  <c:v>66.811558100149341</c:v>
                </c:pt>
                <c:pt idx="90">
                  <c:v>66.611420935994644</c:v>
                </c:pt>
                <c:pt idx="91">
                  <c:v>66.411244347319624</c:v>
                </c:pt>
                <c:pt idx="92">
                  <c:v>66.211027964395811</c:v>
                </c:pt>
                <c:pt idx="93">
                  <c:v>66.010771334238044</c:v>
                </c:pt>
                <c:pt idx="94">
                  <c:v>65.810473919693052</c:v>
                </c:pt>
                <c:pt idx="95">
                  <c:v>65.610135098361141</c:v>
                </c:pt>
                <c:pt idx="96">
                  <c:v>65.409754161346541</c:v>
                </c:pt>
                <c:pt idx="97">
                  <c:v>65.20933031183624</c:v>
                </c:pt>
                <c:pt idx="98">
                  <c:v>65.008862663503322</c:v>
                </c:pt>
                <c:pt idx="99">
                  <c:v>64.808350238733908</c:v>
                </c:pt>
                <c:pt idx="100">
                  <c:v>64.607791966673545</c:v>
                </c:pt>
                <c:pt idx="101">
                  <c:v>64.40718668109001</c:v>
                </c:pt>
                <c:pt idx="102">
                  <c:v>64.206533118050174</c:v>
                </c:pt>
                <c:pt idx="103">
                  <c:v>64.005829913405762</c:v>
                </c:pt>
                <c:pt idx="104">
                  <c:v>63.805075600085104</c:v>
                </c:pt>
                <c:pt idx="105">
                  <c:v>63.60426860518595</c:v>
                </c:pt>
                <c:pt idx="106">
                  <c:v>63.403407246865655</c:v>
                </c:pt>
                <c:pt idx="107">
                  <c:v>63.202489731023384</c:v>
                </c:pt>
                <c:pt idx="108">
                  <c:v>63.001514147769299</c:v>
                </c:pt>
                <c:pt idx="109">
                  <c:v>62.800478467675617</c:v>
                </c:pt>
                <c:pt idx="110">
                  <c:v>62.599380537804535</c:v>
                </c:pt>
                <c:pt idx="111">
                  <c:v>62.398218077506499</c:v>
                </c:pt>
                <c:pt idx="112">
                  <c:v>62.196988673983469</c:v>
                </c:pt>
                <c:pt idx="113">
                  <c:v>61.995689777610338</c:v>
                </c:pt>
                <c:pt idx="114">
                  <c:v>61.794318697008919</c:v>
                </c:pt>
                <c:pt idx="115">
                  <c:v>61.592872593867739</c:v>
                </c:pt>
                <c:pt idx="116">
                  <c:v>61.391348477500344</c:v>
                </c:pt>
                <c:pt idx="117">
                  <c:v>61.189743199135606</c:v>
                </c:pt>
                <c:pt idx="118">
                  <c:v>60.98805344593324</c:v>
                </c:pt>
                <c:pt idx="119">
                  <c:v>60.786275734716988</c:v>
                </c:pt>
                <c:pt idx="120">
                  <c:v>60.584406405418669</c:v>
                </c:pt>
                <c:pt idx="121">
                  <c:v>60.382441614224248</c:v>
                </c:pt>
                <c:pt idx="122">
                  <c:v>60.180377326417741</c:v>
                </c:pt>
                <c:pt idx="123">
                  <c:v>59.978209308911879</c:v>
                </c:pt>
                <c:pt idx="124">
                  <c:v>59.775933122460707</c:v>
                </c:pt>
                <c:pt idx="125">
                  <c:v>59.573544113546603</c:v>
                </c:pt>
                <c:pt idx="126">
                  <c:v>59.371037405933322</c:v>
                </c:pt>
                <c:pt idx="127">
                  <c:v>59.168407891879902</c:v>
                </c:pt>
                <c:pt idx="128">
                  <c:v>58.965650223007714</c:v>
                </c:pt>
                <c:pt idx="129">
                  <c:v>58.762758800814211</c:v>
                </c:pt>
                <c:pt idx="130">
                  <c:v>58.559727766828715</c:v>
                </c:pt>
                <c:pt idx="131">
                  <c:v>58.356550992403029</c:v>
                </c:pt>
                <c:pt idx="132">
                  <c:v>58.153222068133843</c:v>
                </c:pt>
                <c:pt idx="133">
                  <c:v>57.949734292910676</c:v>
                </c:pt>
                <c:pt idx="134">
                  <c:v>57.746080662587957</c:v>
                </c:pt>
                <c:pt idx="135">
                  <c:v>57.542253858277135</c:v>
                </c:pt>
                <c:pt idx="136">
                  <c:v>57.338246234257682</c:v>
                </c:pt>
                <c:pt idx="137">
                  <c:v>57.134049805506791</c:v>
                </c:pt>
                <c:pt idx="138">
                  <c:v>56.92965623484853</c:v>
                </c:pt>
                <c:pt idx="139">
                  <c:v>56.725056819723847</c:v>
                </c:pt>
                <c:pt idx="140">
                  <c:v>56.520242478586908</c:v>
                </c:pt>
                <c:pt idx="141">
                  <c:v>56.315203736931558</c:v>
                </c:pt>
                <c:pt idx="142">
                  <c:v>56.109930712957087</c:v>
                </c:pt>
                <c:pt idx="143">
                  <c:v>55.904413102882117</c:v>
                </c:pt>
                <c:pt idx="144">
                  <c:v>55.698640165919315</c:v>
                </c:pt>
                <c:pt idx="145">
                  <c:v>55.49260070892516</c:v>
                </c:pt>
                <c:pt idx="146">
                  <c:v>55.286283070743622</c:v>
                </c:pt>
                <c:pt idx="147">
                  <c:v>55.079675106263196</c:v>
                </c:pt>
                <c:pt idx="148">
                  <c:v>54.872764170213017</c:v>
                </c:pt>
                <c:pt idx="149">
                  <c:v>54.66553710072462</c:v>
                </c:pt>
                <c:pt idx="150">
                  <c:v>54.457980202692866</c:v>
                </c:pt>
                <c:pt idx="151">
                  <c:v>54.250079230971011</c:v>
                </c:pt>
                <c:pt idx="152">
                  <c:v>54.041819373441783</c:v>
                </c:pt>
                <c:pt idx="153">
                  <c:v>53.833185234010024</c:v>
                </c:pt>
                <c:pt idx="154">
                  <c:v>53.624160815568267</c:v>
                </c:pt>
                <c:pt idx="155">
                  <c:v>53.414729502991747</c:v>
                </c:pt>
                <c:pt idx="156">
                  <c:v>53.204874046227204</c:v>
                </c:pt>
                <c:pt idx="157">
                  <c:v>52.99457654354164</c:v>
                </c:pt>
                <c:pt idx="158">
                  <c:v>52.783818425010587</c:v>
                </c:pt>
                <c:pt idx="159">
                  <c:v>52.572580436326</c:v>
                </c:pt>
                <c:pt idx="160">
                  <c:v>52.360842623014733</c:v>
                </c:pt>
                <c:pt idx="161">
                  <c:v>52.148584315166353</c:v>
                </c:pt>
                <c:pt idx="162">
                  <c:v>51.935784112773405</c:v>
                </c:pt>
                <c:pt idx="163">
                  <c:v>51.722419871800639</c:v>
                </c:pt>
                <c:pt idx="164">
                  <c:v>51.508468691102387</c:v>
                </c:pt>
                <c:pt idx="165">
                  <c:v>51.293906900320607</c:v>
                </c:pt>
                <c:pt idx="166">
                  <c:v>51.078710048900184</c:v>
                </c:pt>
                <c:pt idx="167">
                  <c:v>50.862852896369873</c:v>
                </c:pt>
                <c:pt idx="168">
                  <c:v>50.646309404044302</c:v>
                </c:pt>
                <c:pt idx="169">
                  <c:v>50.429052728309642</c:v>
                </c:pt>
                <c:pt idx="170">
                  <c:v>50.211055215665226</c:v>
                </c:pt>
                <c:pt idx="171">
                  <c:v>49.992288399699859</c:v>
                </c:pt>
                <c:pt idx="172">
                  <c:v>49.772723000188293</c:v>
                </c:pt>
                <c:pt idx="173">
                  <c:v>49.552328924500777</c:v>
                </c:pt>
                <c:pt idx="174">
                  <c:v>49.331075271521684</c:v>
                </c:pt>
                <c:pt idx="175">
                  <c:v>49.108930338280643</c:v>
                </c:pt>
                <c:pt idx="176">
                  <c:v>48.885861629499743</c:v>
                </c:pt>
                <c:pt idx="177">
                  <c:v>48.661835870264639</c:v>
                </c:pt>
                <c:pt idx="178">
                  <c:v>48.436819022025553</c:v>
                </c:pt>
                <c:pt idx="179">
                  <c:v>48.210776302134228</c:v>
                </c:pt>
                <c:pt idx="180">
                  <c:v>47.983672207117785</c:v>
                </c:pt>
                <c:pt idx="181">
                  <c:v>47.755470539885948</c:v>
                </c:pt>
                <c:pt idx="182">
                  <c:v>47.526134441058041</c:v>
                </c:pt>
                <c:pt idx="183">
                  <c:v>47.29562642458761</c:v>
                </c:pt>
                <c:pt idx="184">
                  <c:v>47.063908417845603</c:v>
                </c:pt>
                <c:pt idx="185">
                  <c:v>46.83094180630988</c:v>
                </c:pt>
                <c:pt idx="186">
                  <c:v>46.596687482984613</c:v>
                </c:pt>
                <c:pt idx="187">
                  <c:v>46.361105902654245</c:v>
                </c:pt>
                <c:pt idx="188">
                  <c:v>46.124157141046481</c:v>
                </c:pt>
                <c:pt idx="189">
                  <c:v>45.885800958950242</c:v>
                </c:pt>
                <c:pt idx="190">
                  <c:v>45.645996871301634</c:v>
                </c:pt>
                <c:pt idx="191">
                  <c:v>45.404704221211567</c:v>
                </c:pt>
                <c:pt idx="192">
                  <c:v>45.161882258872296</c:v>
                </c:pt>
                <c:pt idx="193">
                  <c:v>44.917490225233614</c:v>
                </c:pt>
                <c:pt idx="194">
                  <c:v>44.671487440294456</c:v>
                </c:pt>
                <c:pt idx="195">
                  <c:v>44.423833395809488</c:v>
                </c:pt>
                <c:pt idx="196">
                  <c:v>44.174487852155565</c:v>
                </c:pt>
                <c:pt idx="197">
                  <c:v>43.923410939055721</c:v>
                </c:pt>
                <c:pt idx="198">
                  <c:v>43.670563259801852</c:v>
                </c:pt>
                <c:pt idx="199">
                  <c:v>43.415905998566686</c:v>
                </c:pt>
                <c:pt idx="200">
                  <c:v>43.159401030341122</c:v>
                </c:pt>
                <c:pt idx="201">
                  <c:v>42.901011032983803</c:v>
                </c:pt>
                <c:pt idx="202">
                  <c:v>42.640699600818465</c:v>
                </c:pt>
                <c:pt idx="203">
                  <c:v>42.378431359169596</c:v>
                </c:pt>
                <c:pt idx="204">
                  <c:v>42.114172079184939</c:v>
                </c:pt>
                <c:pt idx="205">
                  <c:v>41.8478887922548</c:v>
                </c:pt>
                <c:pt idx="206">
                  <c:v>41.579549903307566</c:v>
                </c:pt>
                <c:pt idx="207">
                  <c:v>41.309125302233767</c:v>
                </c:pt>
                <c:pt idx="208">
                  <c:v>41.036586472676007</c:v>
                </c:pt>
                <c:pt idx="209">
                  <c:v>40.761906597408867</c:v>
                </c:pt>
                <c:pt idx="210">
                  <c:v>40.485060659534604</c:v>
                </c:pt>
                <c:pt idx="211">
                  <c:v>40.206025538726131</c:v>
                </c:pt>
                <c:pt idx="212">
                  <c:v>39.924780101767858</c:v>
                </c:pt>
                <c:pt idx="213">
                  <c:v>39.641305286670033</c:v>
                </c:pt>
                <c:pt idx="214">
                  <c:v>39.355584179670934</c:v>
                </c:pt>
                <c:pt idx="215">
                  <c:v>39.067602084484669</c:v>
                </c:pt>
                <c:pt idx="216">
                  <c:v>38.777346583209237</c:v>
                </c:pt>
                <c:pt idx="217">
                  <c:v>38.484807588371517</c:v>
                </c:pt>
                <c:pt idx="218">
                  <c:v>38.189977385656746</c:v>
                </c:pt>
                <c:pt idx="219">
                  <c:v>37.89285066694854</c:v>
                </c:pt>
                <c:pt idx="220">
                  <c:v>37.593424553387614</c:v>
                </c:pt>
                <c:pt idx="221">
                  <c:v>37.291698608245241</c:v>
                </c:pt>
                <c:pt idx="222">
                  <c:v>36.98767483949937</c:v>
                </c:pt>
                <c:pt idx="223">
                  <c:v>36.681357692091865</c:v>
                </c:pt>
                <c:pt idx="224">
                  <c:v>36.372754029939941</c:v>
                </c:pt>
                <c:pt idx="225">
                  <c:v>36.061873107865814</c:v>
                </c:pt>
                <c:pt idx="226">
                  <c:v>35.748726533696747</c:v>
                </c:pt>
                <c:pt idx="227">
                  <c:v>35.433328220876639</c:v>
                </c:pt>
                <c:pt idx="228">
                  <c:v>35.115694332005667</c:v>
                </c:pt>
                <c:pt idx="229">
                  <c:v>34.795843213801355</c:v>
                </c:pt>
                <c:pt idx="230">
                  <c:v>34.473795324042726</c:v>
                </c:pt>
                <c:pt idx="231">
                  <c:v>34.149573151112875</c:v>
                </c:pt>
                <c:pt idx="232">
                  <c:v>33.823201126812144</c:v>
                </c:pt>
                <c:pt idx="233">
                  <c:v>33.494705533146501</c:v>
                </c:pt>
                <c:pt idx="234">
                  <c:v>33.164114403836152</c:v>
                </c:pt>
                <c:pt idx="235">
                  <c:v>32.831457421303554</c:v>
                </c:pt>
                <c:pt idx="236">
                  <c:v>32.496765809915708</c:v>
                </c:pt>
                <c:pt idx="237">
                  <c:v>32.160072226258755</c:v>
                </c:pt>
                <c:pt idx="238">
                  <c:v>31.821410647214165</c:v>
                </c:pt>
                <c:pt idx="239">
                  <c:v>31.480816256595912</c:v>
                </c:pt>
                <c:pt idx="240">
                  <c:v>31.138325331080861</c:v>
                </c:pt>
                <c:pt idx="241">
                  <c:v>30.793975126139827</c:v>
                </c:pt>
                <c:pt idx="242">
                  <c:v>30.447803762639637</c:v>
                </c:pt>
                <c:pt idx="243">
                  <c:v>30.099850114747756</c:v>
                </c:pt>
                <c:pt idx="244">
                  <c:v>29.750153699724354</c:v>
                </c:pt>
                <c:pt idx="245">
                  <c:v>29.398754570141534</c:v>
                </c:pt>
                <c:pt idx="246">
                  <c:v>29.045693209016818</c:v>
                </c:pt>
                <c:pt idx="247">
                  <c:v>28.691010428297158</c:v>
                </c:pt>
                <c:pt idx="248">
                  <c:v>28.334747271076353</c:v>
                </c:pt>
                <c:pt idx="249">
                  <c:v>27.976944917875969</c:v>
                </c:pt>
                <c:pt idx="250">
                  <c:v>27.61764459726777</c:v>
                </c:pt>
                <c:pt idx="251">
                  <c:v>27.256887501063723</c:v>
                </c:pt>
                <c:pt idx="252">
                  <c:v>26.894714704251783</c:v>
                </c:pt>
                <c:pt idx="253">
                  <c:v>26.531167089807358</c:v>
                </c:pt>
                <c:pt idx="254">
                  <c:v>26.166285278466749</c:v>
                </c:pt>
                <c:pt idx="255">
                  <c:v>25.800109563506645</c:v>
                </c:pt>
                <c:pt idx="256">
                  <c:v>25.432679850537802</c:v>
                </c:pt>
                <c:pt idx="257">
                  <c:v>25.06403560228096</c:v>
                </c:pt>
                <c:pt idx="258">
                  <c:v>24.694215788268167</c:v>
                </c:pt>
                <c:pt idx="259">
                  <c:v>24.323258839379449</c:v>
                </c:pt>
                <c:pt idx="260">
                  <c:v>23.951202607101699</c:v>
                </c:pt>
                <c:pt idx="261">
                  <c:v>23.578084327376637</c:v>
                </c:pt>
                <c:pt idx="262">
                  <c:v>23.203940588883295</c:v>
                </c:pt>
                <c:pt idx="263">
                  <c:v>22.828807305589798</c:v>
                </c:pt>
                <c:pt idx="264">
                  <c:v>22.452719693392929</c:v>
                </c:pt>
                <c:pt idx="265">
                  <c:v>22.075712250657105</c:v>
                </c:pt>
                <c:pt idx="266">
                  <c:v>21.697818742456704</c:v>
                </c:pt>
                <c:pt idx="267">
                  <c:v>21.319072188322018</c:v>
                </c:pt>
                <c:pt idx="268">
                  <c:v>20.939504853284753</c:v>
                </c:pt>
                <c:pt idx="269">
                  <c:v>20.559148242020981</c:v>
                </c:pt>
                <c:pt idx="270">
                  <c:v>20.178033095888765</c:v>
                </c:pt>
                <c:pt idx="271">
                  <c:v>19.796189392661745</c:v>
                </c:pt>
                <c:pt idx="272">
                  <c:v>19.413646348762505</c:v>
                </c:pt>
                <c:pt idx="273">
                  <c:v>19.030432423806481</c:v>
                </c:pt>
                <c:pt idx="274">
                  <c:v>18.646575327271517</c:v>
                </c:pt>
                <c:pt idx="275">
                  <c:v>18.262102027115649</c:v>
                </c:pt>
                <c:pt idx="276">
                  <c:v>17.877038760173289</c:v>
                </c:pt>
                <c:pt idx="277">
                  <c:v>17.491411044168284</c:v>
                </c:pt>
                <c:pt idx="278">
                  <c:v>17.105243691188104</c:v>
                </c:pt>
                <c:pt idx="279">
                  <c:v>16.718560822475791</c:v>
                </c:pt>
                <c:pt idx="280">
                  <c:v>16.331385884401655</c:v>
                </c:pt>
                <c:pt idx="281">
                  <c:v>15.943741665486314</c:v>
                </c:pt>
                <c:pt idx="282">
                  <c:v>15.555650314356033</c:v>
                </c:pt>
                <c:pt idx="283">
                  <c:v>15.167133358518548</c:v>
                </c:pt>
                <c:pt idx="284">
                  <c:v>14.778211723857236</c:v>
                </c:pt>
                <c:pt idx="285">
                  <c:v>14.388905754747991</c:v>
                </c:pt>
                <c:pt idx="286">
                  <c:v>13.999235234713163</c:v>
                </c:pt>
                <c:pt idx="287">
                  <c:v>13.609219407531546</c:v>
                </c:pt>
                <c:pt idx="288">
                  <c:v>13.218876998735032</c:v>
                </c:pt>
                <c:pt idx="289">
                  <c:v>12.828226237423957</c:v>
                </c:pt>
                <c:pt idx="290">
                  <c:v>12.43728487834602</c:v>
                </c:pt>
                <c:pt idx="291">
                  <c:v>12.046070224183696</c:v>
                </c:pt>
                <c:pt idx="292">
                  <c:v>11.654599148006536</c:v>
                </c:pt>
                <c:pt idx="293">
                  <c:v>11.262888115847012</c:v>
                </c:pt>
                <c:pt idx="294">
                  <c:v>10.870953209364458</c:v>
                </c:pt>
                <c:pt idx="295">
                  <c:v>10.478810148566923</c:v>
                </c:pt>
                <c:pt idx="296">
                  <c:v>10.086474314566056</c:v>
                </c:pt>
                <c:pt idx="297">
                  <c:v>9.6939607723427628</c:v>
                </c:pt>
                <c:pt idx="298">
                  <c:v>9.3012842935063809</c:v>
                </c:pt>
                <c:pt idx="299">
                  <c:v>8.9084593790333386</c:v>
                </c:pt>
                <c:pt idx="300">
                  <c:v>8.5155002819745693</c:v>
                </c:pt>
                <c:pt idx="301">
                  <c:v>8.1224210301250057</c:v>
                </c:pt>
                <c:pt idx="302">
                  <c:v>7.7292354486481489</c:v>
                </c:pt>
                <c:pt idx="303">
                  <c:v>7.3359571826555738</c:v>
                </c:pt>
                <c:pt idx="304">
                  <c:v>6.9425997197387934</c:v>
                </c:pt>
                <c:pt idx="305">
                  <c:v>6.5491764124567498</c:v>
                </c:pt>
                <c:pt idx="306">
                  <c:v>6.1557005007810703</c:v>
                </c:pt>
                <c:pt idx="307">
                  <c:v>5.7621851345035964</c:v>
                </c:pt>
                <c:pt idx="308">
                  <c:v>5.3686433956121249</c:v>
                </c:pt>
                <c:pt idx="309">
                  <c:v>4.9750883206410093</c:v>
                </c:pt>
                <c:pt idx="310">
                  <c:v>4.581532923003544</c:v>
                </c:pt>
                <c:pt idx="311">
                  <c:v>4.1879902153141133</c:v>
                </c:pt>
                <c:pt idx="312">
                  <c:v>3.7944732317071739</c:v>
                </c:pt>
                <c:pt idx="313">
                  <c:v>3.4009950501624293</c:v>
                </c:pt>
                <c:pt idx="314">
                  <c:v>3.0075688148422408</c:v>
                </c:pt>
                <c:pt idx="315">
                  <c:v>2.6142077584496075</c:v>
                </c:pt>
                <c:pt idx="316">
                  <c:v>2.2209252246124738</c:v>
                </c:pt>
                <c:pt idx="317">
                  <c:v>1.8277346903001213</c:v>
                </c:pt>
                <c:pt idx="318">
                  <c:v>1.4346497882764544</c:v>
                </c:pt>
                <c:pt idx="319">
                  <c:v>1.0416843295926166</c:v>
                </c:pt>
                <c:pt idx="320">
                  <c:v>0.64885232611999011</c:v>
                </c:pt>
                <c:pt idx="321">
                  <c:v>0.2561680131241626</c:v>
                </c:pt>
                <c:pt idx="322">
                  <c:v>-0.13635412812407227</c:v>
                </c:pt>
                <c:pt idx="323">
                  <c:v>-0.5286993477046843</c:v>
                </c:pt>
                <c:pt idx="324">
                  <c:v>-0.92085260438188965</c:v>
                </c:pt>
                <c:pt idx="325">
                  <c:v>-1.312798542921811</c:v>
                </c:pt>
                <c:pt idx="326">
                  <c:v>-1.7045214714120471</c:v>
                </c:pt>
                <c:pt idx="327">
                  <c:v>-2.0960053386005981</c:v>
                </c:pt>
                <c:pt idx="328">
                  <c:v>-2.4872337112734746</c:v>
                </c:pt>
                <c:pt idx="329">
                  <c:v>-2.8781897517013948</c:v>
                </c:pt>
                <c:pt idx="330">
                  <c:v>-3.26885619518078</c:v>
                </c:pt>
                <c:pt idx="331">
                  <c:v>-3.6592153277105814</c:v>
                </c:pt>
                <c:pt idx="332">
                  <c:v>-4.0492489638397942</c:v>
                </c:pt>
                <c:pt idx="333">
                  <c:v>-4.4389384247384882</c:v>
                </c:pt>
                <c:pt idx="334">
                  <c:v>-4.8282645165391207</c:v>
                </c:pt>
                <c:pt idx="335">
                  <c:v>-5.2172075090112653</c:v>
                </c:pt>
                <c:pt idx="336">
                  <c:v>-5.6057471146320283</c:v>
                </c:pt>
                <c:pt idx="337">
                  <c:v>-5.993862468128154</c:v>
                </c:pt>
                <c:pt idx="338">
                  <c:v>-6.3815321065672386</c:v>
                </c:pt>
                <c:pt idx="339">
                  <c:v>-6.76873395008543</c:v>
                </c:pt>
                <c:pt idx="340">
                  <c:v>-7.1554452833490254</c:v>
                </c:pt>
                <c:pt idx="341">
                  <c:v>-7.5416427378523903</c:v>
                </c:pt>
                <c:pt idx="342">
                  <c:v>-7.927302275164374</c:v>
                </c:pt>
                <c:pt idx="343">
                  <c:v>-8.3123991712431771</c:v>
                </c:pt>
                <c:pt idx="344">
                  <c:v>-8.696908001950046</c:v>
                </c:pt>
                <c:pt idx="345">
                  <c:v>-9.0808026298988107</c:v>
                </c:pt>
                <c:pt idx="346">
                  <c:v>-9.4640561927877513</c:v>
                </c:pt>
                <c:pt idx="347">
                  <c:v>-9.8466410933680635</c:v>
                </c:pt>
                <c:pt idx="348">
                  <c:v>-10.228528991214144</c:v>
                </c:pt>
                <c:pt idx="349">
                  <c:v>-10.609690796463543</c:v>
                </c:pt>
                <c:pt idx="350">
                  <c:v>-10.99009666570783</c:v>
                </c:pt>
                <c:pt idx="351">
                  <c:v>-11.369716000217807</c:v>
                </c:pt>
                <c:pt idx="352">
                  <c:v>-11.748517446695388</c:v>
                </c:pt>
                <c:pt idx="353">
                  <c:v>-12.126468900746959</c:v>
                </c:pt>
                <c:pt idx="354">
                  <c:v>-12.503537513281247</c:v>
                </c:pt>
                <c:pt idx="355">
                  <c:v>-12.879689700030442</c:v>
                </c:pt>
                <c:pt idx="356">
                  <c:v>-13.254891154403769</c:v>
                </c:pt>
                <c:pt idx="357">
                  <c:v>-13.629106863873005</c:v>
                </c:pt>
                <c:pt idx="358">
                  <c:v>-14.002301130093164</c:v>
                </c:pt>
                <c:pt idx="359">
                  <c:v>-14.374437592954813</c:v>
                </c:pt>
                <c:pt idx="360">
                  <c:v>-14.745479258757525</c:v>
                </c:pt>
                <c:pt idx="361">
                  <c:v>-15.115388532684548</c:v>
                </c:pt>
                <c:pt idx="362">
                  <c:v>-15.484127255748103</c:v>
                </c:pt>
                <c:pt idx="363">
                  <c:v>-15.85165674635644</c:v>
                </c:pt>
                <c:pt idx="364">
                  <c:v>-16.217937846638844</c:v>
                </c:pt>
                <c:pt idx="365">
                  <c:v>-16.582930973641883</c:v>
                </c:pt>
                <c:pt idx="366">
                  <c:v>-16.946596175484828</c:v>
                </c:pt>
                <c:pt idx="367">
                  <c:v>-17.308893192534487</c:v>
                </c:pt>
                <c:pt idx="368">
                  <c:v>-17.669781523629872</c:v>
                </c:pt>
                <c:pt idx="369">
                  <c:v>-18.02922049734752</c:v>
                </c:pt>
                <c:pt idx="370">
                  <c:v>-18.387169348265143</c:v>
                </c:pt>
                <c:pt idx="371">
                  <c:v>-18.74358729813687</c:v>
                </c:pt>
                <c:pt idx="372">
                  <c:v>-19.098433641848796</c:v>
                </c:pt>
                <c:pt idx="373">
                  <c:v>-19.451667837977105</c:v>
                </c:pt>
                <c:pt idx="374">
                  <c:v>-19.803249603723796</c:v>
                </c:pt>
                <c:pt idx="375">
                  <c:v>-20.153139013949076</c:v>
                </c:pt>
                <c:pt idx="376">
                  <c:v>-20.501296603972577</c:v>
                </c:pt>
                <c:pt idx="377">
                  <c:v>-20.847683475759268</c:v>
                </c:pt>
                <c:pt idx="378">
                  <c:v>-21.192261407054282</c:v>
                </c:pt>
                <c:pt idx="379">
                  <c:v>-21.534992962979477</c:v>
                </c:pt>
                <c:pt idx="380">
                  <c:v>-21.875841609552566</c:v>
                </c:pt>
                <c:pt idx="381">
                  <c:v>-22.21477182854477</c:v>
                </c:pt>
                <c:pt idx="382">
                  <c:v>-22.551749233045758</c:v>
                </c:pt>
                <c:pt idx="383">
                  <c:v>-22.886740683067309</c:v>
                </c:pt>
                <c:pt idx="384">
                  <c:v>-23.219714400480306</c:v>
                </c:pt>
                <c:pt idx="385">
                  <c:v>-23.550640082553222</c:v>
                </c:pt>
                <c:pt idx="386">
                  <c:v>-23.879489013336929</c:v>
                </c:pt>
                <c:pt idx="387">
                  <c:v>-24.206234172128429</c:v>
                </c:pt>
                <c:pt idx="388">
                  <c:v>-24.530850338239528</c:v>
                </c:pt>
                <c:pt idx="389">
                  <c:v>-24.853314191299795</c:v>
                </c:pt>
                <c:pt idx="390">
                  <c:v>-25.173604406336839</c:v>
                </c:pt>
                <c:pt idx="391">
                  <c:v>-25.491701742898591</c:v>
                </c:pt>
                <c:pt idx="392">
                  <c:v>-25.807589127513921</c:v>
                </c:pt>
                <c:pt idx="393">
                  <c:v>-26.121251728828746</c:v>
                </c:pt>
                <c:pt idx="394">
                  <c:v>-26.432677024807777</c:v>
                </c:pt>
                <c:pt idx="395">
                  <c:v>-26.741854861447436</c:v>
                </c:pt>
                <c:pt idx="396">
                  <c:v>-27.04877750251665</c:v>
                </c:pt>
                <c:pt idx="397">
                  <c:v>-27.353439669913143</c:v>
                </c:pt>
                <c:pt idx="398">
                  <c:v>-27.655838574307182</c:v>
                </c:pt>
                <c:pt idx="399">
                  <c:v>-27.955973935826712</c:v>
                </c:pt>
                <c:pt idx="400">
                  <c:v>-28.253847994631073</c:v>
                </c:pt>
                <c:pt idx="401">
                  <c:v>-28.549465511308675</c:v>
                </c:pt>
                <c:pt idx="402">
                  <c:v>-28.842833757130983</c:v>
                </c:pt>
                <c:pt idx="403">
                  <c:v>-29.133962494283864</c:v>
                </c:pt>
                <c:pt idx="404">
                  <c:v>-29.422863946291983</c:v>
                </c:pt>
                <c:pt idx="405">
                  <c:v>-29.709552758936574</c:v>
                </c:pt>
                <c:pt idx="406">
                  <c:v>-29.994045952051454</c:v>
                </c:pt>
                <c:pt idx="407">
                  <c:v>-30.276362862659276</c:v>
                </c:pt>
                <c:pt idx="408">
                  <c:v>-30.556525079982173</c:v>
                </c:pt>
                <c:pt idx="409">
                  <c:v>-30.834556372920474</c:v>
                </c:pt>
                <c:pt idx="410">
                  <c:v>-31.110482610651971</c:v>
                </c:pt>
                <c:pt idx="411">
                  <c:v>-31.38433167704676</c:v>
                </c:pt>
                <c:pt idx="412">
                  <c:v>-31.656133379630411</c:v>
                </c:pt>
                <c:pt idx="413">
                  <c:v>-31.925919353854049</c:v>
                </c:pt>
                <c:pt idx="414">
                  <c:v>-32.193722963448003</c:v>
                </c:pt>
                <c:pt idx="415">
                  <c:v>-32.459579197641304</c:v>
                </c:pt>
                <c:pt idx="416">
                  <c:v>-32.723524566031116</c:v>
                </c:pt>
                <c:pt idx="417">
                  <c:v>-32.985596991871738</c:v>
                </c:pt>
                <c:pt idx="418">
                  <c:v>-33.245835704538578</c:v>
                </c:pt>
                <c:pt idx="419">
                  <c:v>-33.504281131894444</c:v>
                </c:pt>
                <c:pt idx="420">
                  <c:v>-33.760974793255166</c:v>
                </c:pt>
                <c:pt idx="421">
                  <c:v>-34.015959193611764</c:v>
                </c:pt>
                <c:pt idx="422">
                  <c:v>-34.26927771972651</c:v>
                </c:pt>
                <c:pt idx="423">
                  <c:v>-34.520974538670387</c:v>
                </c:pt>
                <c:pt idx="424">
                  <c:v>-34.771094499324889</c:v>
                </c:pt>
                <c:pt idx="425">
                  <c:v>-35.019683037312795</c:v>
                </c:pt>
                <c:pt idx="426">
                  <c:v>-35.26678608377712</c:v>
                </c:pt>
                <c:pt idx="427">
                  <c:v>-35.512449978367343</c:v>
                </c:pt>
                <c:pt idx="428">
                  <c:v>-35.756721386743848</c:v>
                </c:pt>
                <c:pt idx="429">
                  <c:v>-35.999647222856836</c:v>
                </c:pt>
                <c:pt idx="430">
                  <c:v>-36.241274576204127</c:v>
                </c:pt>
                <c:pt idx="431">
                  <c:v>-36.481650644227784</c:v>
                </c:pt>
                <c:pt idx="432">
                  <c:v>-36.720822669955623</c:v>
                </c:pt>
                <c:pt idx="433">
                  <c:v>-36.958837884958704</c:v>
                </c:pt>
                <c:pt idx="434">
                  <c:v>-37.195743457646074</c:v>
                </c:pt>
                <c:pt idx="435">
                  <c:v>-37.431586446887714</c:v>
                </c:pt>
                <c:pt idx="436">
                  <c:v>-37.666413760915972</c:v>
                </c:pt>
                <c:pt idx="437">
                  <c:v>-37.90027212142936</c:v>
                </c:pt>
                <c:pt idx="438">
                  <c:v>-38.133208032791451</c:v>
                </c:pt>
                <c:pt idx="439">
                  <c:v>-38.365267756192154</c:v>
                </c:pt>
                <c:pt idx="440">
                  <c:v>-38.596497288620967</c:v>
                </c:pt>
                <c:pt idx="441">
                  <c:v>-38.826942346478106</c:v>
                </c:pt>
                <c:pt idx="442">
                  <c:v>-39.056648353637009</c:v>
                </c:pt>
                <c:pt idx="443">
                  <c:v>-39.285660433755353</c:v>
                </c:pt>
                <c:pt idx="444">
                  <c:v>-39.514023406623295</c:v>
                </c:pt>
                <c:pt idx="445">
                  <c:v>-39.741781788328424</c:v>
                </c:pt>
                <c:pt idx="446">
                  <c:v>-39.968979795006781</c:v>
                </c:pt>
                <c:pt idx="447">
                  <c:v>-40.195661349948892</c:v>
                </c:pt>
                <c:pt idx="448">
                  <c:v>-40.421870093823756</c:v>
                </c:pt>
                <c:pt idx="449">
                  <c:v>-40.647649397779716</c:v>
                </c:pt>
                <c:pt idx="450">
                  <c:v>-40.873042379183609</c:v>
                </c:pt>
                <c:pt idx="451">
                  <c:v>-41.098091919755518</c:v>
                </c:pt>
                <c:pt idx="452">
                  <c:v>-41.322840685859617</c:v>
                </c:pt>
                <c:pt idx="453">
                  <c:v>-41.547331150709581</c:v>
                </c:pt>
                <c:pt idx="454">
                  <c:v>-41.771605618250518</c:v>
                </c:pt>
                <c:pt idx="455">
                  <c:v>-41.995706248479657</c:v>
                </c:pt>
                <c:pt idx="456">
                  <c:v>-42.219675083967857</c:v>
                </c:pt>
                <c:pt idx="457">
                  <c:v>-42.443554077349162</c:v>
                </c:pt>
                <c:pt idx="458">
                  <c:v>-42.667385119542374</c:v>
                </c:pt>
                <c:pt idx="459">
                  <c:v>-42.891210068472418</c:v>
                </c:pt>
                <c:pt idx="460">
                  <c:v>-43.11507077805927</c:v>
                </c:pt>
                <c:pt idx="461">
                  <c:v>-43.33900912724161</c:v>
                </c:pt>
                <c:pt idx="462">
                  <c:v>-43.563067048805031</c:v>
                </c:pt>
                <c:pt idx="463">
                  <c:v>-43.787286557780291</c:v>
                </c:pt>
                <c:pt idx="464">
                  <c:v>-44.011709779180265</c:v>
                </c:pt>
                <c:pt idx="465">
                  <c:v>-44.23637897484199</c:v>
                </c:pt>
                <c:pt idx="466">
                  <c:v>-44.461336569138169</c:v>
                </c:pt>
                <c:pt idx="467">
                  <c:v>-44.686625173322625</c:v>
                </c:pt>
                <c:pt idx="468">
                  <c:v>-44.912287608272308</c:v>
                </c:pt>
                <c:pt idx="469">
                  <c:v>-45.138366925386919</c:v>
                </c:pt>
                <c:pt idx="470">
                  <c:v>-45.364906425406623</c:v>
                </c:pt>
                <c:pt idx="471">
                  <c:v>-45.591949674907042</c:v>
                </c:pt>
                <c:pt idx="472">
                  <c:v>-45.819540520230682</c:v>
                </c:pt>
                <c:pt idx="473">
                  <c:v>-46.047723098612835</c:v>
                </c:pt>
                <c:pt idx="474">
                  <c:v>-46.276541846264777</c:v>
                </c:pt>
                <c:pt idx="475">
                  <c:v>-46.50604150317271</c:v>
                </c:pt>
                <c:pt idx="476">
                  <c:v>-46.73626711438223</c:v>
                </c:pt>
                <c:pt idx="477">
                  <c:v>-46.967264027534355</c:v>
                </c:pt>
                <c:pt idx="478">
                  <c:v>-47.199077886433244</c:v>
                </c:pt>
                <c:pt idx="479">
                  <c:v>-47.43175462042818</c:v>
                </c:pt>
                <c:pt idx="480">
                  <c:v>-47.665340429405525</c:v>
                </c:pt>
                <c:pt idx="481">
                  <c:v>-47.89988176419903</c:v>
                </c:pt>
                <c:pt idx="482">
                  <c:v>-48.135425302240911</c:v>
                </c:pt>
                <c:pt idx="483">
                  <c:v>-48.37201791829537</c:v>
                </c:pt>
                <c:pt idx="484">
                  <c:v>-48.609706650135692</c:v>
                </c:pt>
                <c:pt idx="485">
                  <c:v>-48.848538659051542</c:v>
                </c:pt>
                <c:pt idx="486">
                  <c:v>-49.088561185099103</c:v>
                </c:pt>
                <c:pt idx="487">
                  <c:v>-49.329821497038083</c:v>
                </c:pt>
                <c:pt idx="488">
                  <c:v>-49.572366836930762</c:v>
                </c:pt>
                <c:pt idx="489">
                  <c:v>-49.816244359420203</c:v>
                </c:pt>
                <c:pt idx="490">
                  <c:v>-50.061501065737701</c:v>
                </c:pt>
                <c:pt idx="491">
                  <c:v>-50.308183732540741</c:v>
                </c:pt>
                <c:pt idx="492">
                  <c:v>-50.55633883572041</c:v>
                </c:pt>
                <c:pt idx="493">
                  <c:v>-50.806012469371602</c:v>
                </c:pt>
                <c:pt idx="494">
                  <c:v>-51.057250260167436</c:v>
                </c:pt>
                <c:pt idx="495">
                  <c:v>-51.310097277429982</c:v>
                </c:pt>
                <c:pt idx="496">
                  <c:v>-51.564597939245083</c:v>
                </c:pt>
                <c:pt idx="497">
                  <c:v>-51.820795915019815</c:v>
                </c:pt>
                <c:pt idx="498">
                  <c:v>-52.078734024936352</c:v>
                </c:pt>
                <c:pt idx="499">
                  <c:v>-52.338454136806433</c:v>
                </c:pt>
                <c:pt idx="500">
                  <c:v>-52.599997060882693</c:v>
                </c:pt>
                <c:pt idx="501">
                  <c:v>-52.863402443227415</c:v>
                </c:pt>
                <c:pt idx="502">
                  <c:v>-53.128708658287771</c:v>
                </c:pt>
                <c:pt idx="503">
                  <c:v>-53.395952701360429</c:v>
                </c:pt>
                <c:pt idx="504">
                  <c:v>-53.665170081667398</c:v>
                </c:pt>
                <c:pt idx="505">
                  <c:v>-53.936394716789152</c:v>
                </c:pt>
                <c:pt idx="506">
                  <c:v>-54.20965882922183</c:v>
                </c:pt>
                <c:pt idx="507">
                  <c:v>-54.484992845840168</c:v>
                </c:pt>
                <c:pt idx="508">
                  <c:v>-54.762425301050179</c:v>
                </c:pt>
                <c:pt idx="509">
                  <c:v>-55.041982744409594</c:v>
                </c:pt>
                <c:pt idx="510">
                  <c:v>-55.323689653483719</c:v>
                </c:pt>
                <c:pt idx="511">
                  <c:v>-55.607568352675798</c:v>
                </c:pt>
                <c:pt idx="512">
                  <c:v>-55.893638938743024</c:v>
                </c:pt>
                <c:pt idx="513">
                  <c:v>-56.18191921366008</c:v>
                </c:pt>
                <c:pt idx="514">
                  <c:v>-56.472424625447701</c:v>
                </c:pt>
                <c:pt idx="515">
                  <c:v>-56.76516821751504</c:v>
                </c:pt>
                <c:pt idx="516">
                  <c:v>-57.06016058700402</c:v>
                </c:pt>
                <c:pt idx="517">
                  <c:v>-57.357409852541601</c:v>
                </c:pt>
                <c:pt idx="518">
                  <c:v>-57.656921631729155</c:v>
                </c:pt>
                <c:pt idx="519">
                  <c:v>-57.958699028608606</c:v>
                </c:pt>
                <c:pt idx="520">
                  <c:v>-58.262742631257353</c:v>
                </c:pt>
                <c:pt idx="521">
                  <c:v>-58.569050519569558</c:v>
                </c:pt>
                <c:pt idx="522">
                  <c:v>-58.877618283189776</c:v>
                </c:pt>
                <c:pt idx="523">
                  <c:v>-59.188439049471818</c:v>
                </c:pt>
                <c:pt idx="524">
                  <c:v>-59.501503521247379</c:v>
                </c:pt>
                <c:pt idx="525">
                  <c:v>-59.816800024096722</c:v>
                </c:pt>
                <c:pt idx="526">
                  <c:v>-60.134314562738417</c:v>
                </c:pt>
                <c:pt idx="527">
                  <c:v>-60.454030886073269</c:v>
                </c:pt>
                <c:pt idx="528">
                  <c:v>-60.7759305603497</c:v>
                </c:pt>
                <c:pt idx="529">
                  <c:v>-61.099993049859862</c:v>
                </c:pt>
                <c:pt idx="530">
                  <c:v>-61.426195804512389</c:v>
                </c:pt>
                <c:pt idx="531">
                  <c:v>-61.754514353599177</c:v>
                </c:pt>
                <c:pt idx="532">
                  <c:v>-62.084922405021643</c:v>
                </c:pt>
                <c:pt idx="533">
                  <c:v>-62.417391949232702</c:v>
                </c:pt>
                <c:pt idx="534">
                  <c:v>-62.751893367121987</c:v>
                </c:pt>
                <c:pt idx="535">
                  <c:v>-63.088395541076636</c:v>
                </c:pt>
                <c:pt idx="536">
                  <c:v>-63.426865968442819</c:v>
                </c:pt>
                <c:pt idx="537">
                  <c:v>-63.767270876635081</c:v>
                </c:pt>
                <c:pt idx="538">
                  <c:v>-64.10957533915051</c:v>
                </c:pt>
                <c:pt idx="539">
                  <c:v>-64.453743391776825</c:v>
                </c:pt>
                <c:pt idx="540">
                  <c:v>-64.799738148314717</c:v>
                </c:pt>
                <c:pt idx="541">
                  <c:v>-65.147521915174224</c:v>
                </c:pt>
              </c:numCache>
            </c:numRef>
          </c:yVal>
          <c:smooth val="1"/>
          <c:extLst>
            <c:ext xmlns:c16="http://schemas.microsoft.com/office/drawing/2014/chart" uri="{C3380CC4-5D6E-409C-BE32-E72D297353CC}">
              <c16:uniqueId val="{00000000-D13D-4F31-A1F4-F359C82058E5}"/>
            </c:ext>
          </c:extLst>
        </c:ser>
        <c:dLbls>
          <c:showLegendKey val="0"/>
          <c:showVal val="0"/>
          <c:showCatName val="0"/>
          <c:showSerName val="0"/>
          <c:showPercent val="0"/>
          <c:showBubbleSize val="0"/>
        </c:dLbls>
        <c:axId val="331786112"/>
        <c:axId val="331788288"/>
      </c:scatterChart>
      <c:scatterChart>
        <c:scatterStyle val="smoothMarker"/>
        <c:varyColors val="0"/>
        <c:ser>
          <c:idx val="1"/>
          <c:order val="1"/>
          <c:tx>
            <c:v>Phase (deg)</c:v>
          </c:tx>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CCM_Loop_Modeling_Isolated!$AE$19:$AE$560</c:f>
              <c:numCache>
                <c:formatCode>General</c:formatCode>
                <c:ptCount val="542"/>
                <c:pt idx="0">
                  <c:v>-71.961360491409962</c:v>
                </c:pt>
                <c:pt idx="1">
                  <c:v>-72.361651680152036</c:v>
                </c:pt>
                <c:pt idx="2">
                  <c:v>-72.75491850468697</c:v>
                </c:pt>
                <c:pt idx="3">
                  <c:v>-73.141230963498671</c:v>
                </c:pt>
                <c:pt idx="4">
                  <c:v>-73.520662962403975</c:v>
                </c:pt>
                <c:pt idx="5">
                  <c:v>-73.893292001721989</c:v>
                </c:pt>
                <c:pt idx="6">
                  <c:v>-74.25919887522808</c:v>
                </c:pt>
                <c:pt idx="7">
                  <c:v>-74.618467381146658</c:v>
                </c:pt>
                <c:pt idx="8">
                  <c:v>-74.97118404534389</c:v>
                </c:pt>
                <c:pt idx="9">
                  <c:v>-75.317437856807373</c:v>
                </c:pt>
                <c:pt idx="10">
                  <c:v>-75.657320015421618</c:v>
                </c:pt>
                <c:pt idx="11">
                  <c:v>-75.990923691987874</c:v>
                </c:pt>
                <c:pt idx="12">
                  <c:v>-76.318343800377519</c:v>
                </c:pt>
                <c:pt idx="13">
                  <c:v>-76.639676781659716</c:v>
                </c:pt>
                <c:pt idx="14">
                  <c:v>-76.955020399997579</c:v>
                </c:pt>
                <c:pt idx="15">
                  <c:v>-77.264473550073802</c:v>
                </c:pt>
                <c:pt idx="16">
                  <c:v>-77.568136075770525</c:v>
                </c:pt>
                <c:pt idx="17">
                  <c:v>-77.866108599804278</c:v>
                </c:pt>
                <c:pt idx="18">
                  <c:v>-78.158492363994426</c:v>
                </c:pt>
                <c:pt idx="19">
                  <c:v>-78.445389079826441</c:v>
                </c:pt>
                <c:pt idx="20">
                  <c:v>-78.72690078895603</c:v>
                </c:pt>
                <c:pt idx="21">
                  <c:v>-79.003129733293775</c:v>
                </c:pt>
                <c:pt idx="22">
                  <c:v>-79.274178234299299</c:v>
                </c:pt>
                <c:pt idx="23">
                  <c:v>-79.540148581115446</c:v>
                </c:pt>
                <c:pt idx="24">
                  <c:v>-79.801142927164847</c:v>
                </c:pt>
                <c:pt idx="25">
                  <c:v>-80.057263194840758</c:v>
                </c:pt>
                <c:pt idx="26">
                  <c:v>-80.3086109879182</c:v>
                </c:pt>
                <c:pt idx="27">
                  <c:v>-80.555287511325389</c:v>
                </c:pt>
                <c:pt idx="28">
                  <c:v>-80.797393497912793</c:v>
                </c:pt>
                <c:pt idx="29">
                  <c:v>-81.035029141872428</c:v>
                </c:pt>
                <c:pt idx="30">
                  <c:v>-81.268294038462201</c:v>
                </c:pt>
                <c:pt idx="31">
                  <c:v>-81.49728712970483</c:v>
                </c:pt>
                <c:pt idx="32">
                  <c:v>-81.722106655735587</c:v>
                </c:pt>
                <c:pt idx="33">
                  <c:v>-81.942850111489378</c:v>
                </c:pt>
                <c:pt idx="34">
                  <c:v>-82.159614208423349</c:v>
                </c:pt>
                <c:pt idx="35">
                  <c:v>-82.372494840985851</c:v>
                </c:pt>
                <c:pt idx="36">
                  <c:v>-82.581587057553577</c:v>
                </c:pt>
                <c:pt idx="37">
                  <c:v>-82.786985035568406</c:v>
                </c:pt>
                <c:pt idx="38">
                  <c:v>-82.988782060619371</c:v>
                </c:pt>
                <c:pt idx="39">
                  <c:v>-83.187070509225023</c:v>
                </c:pt>
                <c:pt idx="40">
                  <c:v>-83.381941835083254</c:v>
                </c:pt>
                <c:pt idx="41">
                  <c:v>-83.573486558567637</c:v>
                </c:pt>
                <c:pt idx="42">
                  <c:v>-83.761794259258778</c:v>
                </c:pt>
                <c:pt idx="43">
                  <c:v>-83.946953571310814</c:v>
                </c:pt>
                <c:pt idx="44">
                  <c:v>-84.129052181464232</c:v>
                </c:pt>
                <c:pt idx="45">
                  <c:v>-84.308176829524655</c:v>
                </c:pt>
                <c:pt idx="46">
                  <c:v>-84.484413311138411</c:v>
                </c:pt>
                <c:pt idx="47">
                  <c:v>-84.657846482705096</c:v>
                </c:pt>
                <c:pt idx="48">
                  <c:v>-84.82856026827514</c:v>
                </c:pt>
                <c:pt idx="49">
                  <c:v>-84.996637668291271</c:v>
                </c:pt>
                <c:pt idx="50">
                  <c:v>-85.162160770039335</c:v>
                </c:pt>
                <c:pt idx="51">
                  <c:v>-85.325210759682832</c:v>
                </c:pt>
                <c:pt idx="52">
                  <c:v>-85.485867935763295</c:v>
                </c:pt>
                <c:pt idx="53">
                  <c:v>-85.644211724056021</c:v>
                </c:pt>
                <c:pt idx="54">
                  <c:v>-85.800320693676767</c:v>
                </c:pt>
                <c:pt idx="55">
                  <c:v>-85.954272574343122</c:v>
                </c:pt>
                <c:pt idx="56">
                  <c:v>-86.106144274699801</c:v>
                </c:pt>
                <c:pt idx="57">
                  <c:v>-86.256011901623069</c:v>
                </c:pt>
                <c:pt idx="58">
                  <c:v>-86.40395078042522</c:v>
                </c:pt>
                <c:pt idx="59">
                  <c:v>-86.550035475886119</c:v>
                </c:pt>
                <c:pt idx="60">
                  <c:v>-86.694339814043062</c:v>
                </c:pt>
                <c:pt idx="61">
                  <c:v>-86.836936904675099</c:v>
                </c:pt>
                <c:pt idx="62">
                  <c:v>-86.977899164423576</c:v>
                </c:pt>
                <c:pt idx="63">
                  <c:v>-87.117298340493306</c:v>
                </c:pt>
                <c:pt idx="64">
                  <c:v>-87.255205534884098</c:v>
                </c:pt>
                <c:pt idx="65">
                  <c:v>-87.391691229105703</c:v>
                </c:pt>
                <c:pt idx="66">
                  <c:v>-87.526825309332551</c:v>
                </c:pt>
                <c:pt idx="67">
                  <c:v>-87.660677091958405</c:v>
                </c:pt>
                <c:pt idx="68">
                  <c:v>-87.793315349513989</c:v>
                </c:pt>
                <c:pt idx="69">
                  <c:v>-87.924808336913159</c:v>
                </c:pt>
                <c:pt idx="70">
                  <c:v>-88.05522381799733</c:v>
                </c:pt>
                <c:pt idx="71">
                  <c:v>-88.184629092347549</c:v>
                </c:pt>
                <c:pt idx="72">
                  <c:v>-88.31309102233989</c:v>
                </c:pt>
                <c:pt idx="73">
                  <c:v>-88.440676060418056</c:v>
                </c:pt>
                <c:pt idx="74">
                  <c:v>-88.567450276561743</c:v>
                </c:pt>
                <c:pt idx="75">
                  <c:v>-88.693479385930459</c:v>
                </c:pt>
                <c:pt idx="76">
                  <c:v>-88.818828776663509</c:v>
                </c:pt>
                <c:pt idx="77">
                  <c:v>-88.943563537819188</c:v>
                </c:pt>
                <c:pt idx="78">
                  <c:v>-89.067748487437527</c:v>
                </c:pt>
                <c:pt idx="79">
                  <c:v>-89.191448200711861</c:v>
                </c:pt>
                <c:pt idx="80">
                  <c:v>-89.314727038255668</c:v>
                </c:pt>
                <c:pt idx="81">
                  <c:v>-89.437649174452844</c:v>
                </c:pt>
                <c:pt idx="82">
                  <c:v>-89.56027862587932</c:v>
                </c:pt>
                <c:pt idx="83">
                  <c:v>-89.682679279785901</c:v>
                </c:pt>
                <c:pt idx="84">
                  <c:v>-89.80491492263171</c:v>
                </c:pt>
                <c:pt idx="85">
                  <c:v>-89.927049268659047</c:v>
                </c:pt>
                <c:pt idx="86">
                  <c:v>-90.04914598850084</c:v>
                </c:pt>
                <c:pt idx="87">
                  <c:v>-90.171268737811261</c:v>
                </c:pt>
                <c:pt idx="88">
                  <c:v>-90.29348118591173</c:v>
                </c:pt>
                <c:pt idx="89">
                  <c:v>-90.415847044443325</c:v>
                </c:pt>
                <c:pt idx="90">
                  <c:v>-90.53843009601745</c:v>
                </c:pt>
                <c:pt idx="91">
                  <c:v>-90.66129422285637</c:v>
                </c:pt>
                <c:pt idx="92">
                  <c:v>-90.784503435414436</c:v>
                </c:pt>
                <c:pt idx="93">
                  <c:v>-90.908121900971196</c:v>
                </c:pt>
                <c:pt idx="94">
                  <c:v>-91.032213972187307</c:v>
                </c:pt>
                <c:pt idx="95">
                  <c:v>-91.156844215612196</c:v>
                </c:pt>
                <c:pt idx="96">
                  <c:v>-91.282077440133904</c:v>
                </c:pt>
                <c:pt idx="97">
                  <c:v>-91.407978725358731</c:v>
                </c:pt>
                <c:pt idx="98">
                  <c:v>-91.534613449909102</c:v>
                </c:pt>
                <c:pt idx="99">
                  <c:v>-91.662047319625557</c:v>
                </c:pt>
                <c:pt idx="100">
                  <c:v>-91.790346395658787</c:v>
                </c:pt>
                <c:pt idx="101">
                  <c:v>-91.919577122435982</c:v>
                </c:pt>
                <c:pt idx="102">
                  <c:v>-92.049806355483838</c:v>
                </c:pt>
                <c:pt idx="103">
                  <c:v>-92.181101389090003</c:v>
                </c:pt>
                <c:pt idx="104">
                  <c:v>-92.31352998378226</c:v>
                </c:pt>
                <c:pt idx="105">
                  <c:v>-92.44716039360307</c:v>
                </c:pt>
                <c:pt idx="106">
                  <c:v>-92.582061393155371</c:v>
                </c:pt>
                <c:pt idx="107">
                  <c:v>-92.718302304393191</c:v>
                </c:pt>
                <c:pt idx="108">
                  <c:v>-92.855953023128023</c:v>
                </c:pt>
                <c:pt idx="109">
                  <c:v>-92.995084045219969</c:v>
                </c:pt>
                <c:pt idx="110">
                  <c:v>-93.135766492419293</c:v>
                </c:pt>
                <c:pt idx="111">
                  <c:v>-93.278072137821624</c:v>
                </c:pt>
                <c:pt idx="112">
                  <c:v>-93.422073430896745</c:v>
                </c:pt>
                <c:pt idx="113">
                  <c:v>-93.567843522047539</c:v>
                </c:pt>
                <c:pt idx="114">
                  <c:v>-93.715456286652085</c:v>
                </c:pt>
                <c:pt idx="115">
                  <c:v>-93.864986348538238</c:v>
                </c:pt>
                <c:pt idx="116">
                  <c:v>-94.016509102835926</c:v>
                </c:pt>
                <c:pt idx="117">
                  <c:v>-94.170100738148022</c:v>
                </c:pt>
                <c:pt idx="118">
                  <c:v>-94.325838257976528</c:v>
                </c:pt>
                <c:pt idx="119">
                  <c:v>-94.483799501334886</c:v>
                </c:pt>
                <c:pt idx="120">
                  <c:v>-94.644063162473671</c:v>
                </c:pt>
                <c:pt idx="121">
                  <c:v>-94.806708809640483</c:v>
                </c:pt>
                <c:pt idx="122">
                  <c:v>-94.971816902789001</c:v>
                </c:pt>
                <c:pt idx="123">
                  <c:v>-95.139468810146639</c:v>
                </c:pt>
                <c:pt idx="124">
                  <c:v>-95.309746823544657</c:v>
                </c:pt>
                <c:pt idx="125">
                  <c:v>-95.482734172405046</c:v>
                </c:pt>
                <c:pt idx="126">
                  <c:v>-95.658515036275844</c:v>
                </c:pt>
                <c:pt idx="127">
                  <c:v>-95.837174555794604</c:v>
                </c:pt>
                <c:pt idx="128">
                  <c:v>-96.018798841955203</c:v>
                </c:pt>
                <c:pt idx="129">
                  <c:v>-96.203474983544751</c:v>
                </c:pt>
                <c:pt idx="130">
                  <c:v>-96.391291052606277</c:v>
                </c:pt>
                <c:pt idx="131">
                  <c:v>-96.582336107778318</c:v>
                </c:pt>
                <c:pt idx="132">
                  <c:v>-96.776700195348852</c:v>
                </c:pt>
                <c:pt idx="133">
                  <c:v>-96.974474347856557</c:v>
                </c:pt>
                <c:pt idx="134">
                  <c:v>-97.17575058005697</c:v>
                </c:pt>
                <c:pt idx="135">
                  <c:v>-97.380621882065782</c:v>
                </c:pt>
                <c:pt idx="136">
                  <c:v>-97.589182209478395</c:v>
                </c:pt>
                <c:pt idx="137">
                  <c:v>-97.801526470255467</c:v>
                </c:pt>
                <c:pt idx="138">
                  <c:v>-98.017750508151352</c:v>
                </c:pt>
                <c:pt idx="139">
                  <c:v>-98.237951082453989</c:v>
                </c:pt>
                <c:pt idx="140">
                  <c:v>-98.462225843790989</c:v>
                </c:pt>
                <c:pt idx="141">
                  <c:v>-98.690673305746387</c:v>
                </c:pt>
                <c:pt idx="142">
                  <c:v>-98.923392812020651</c:v>
                </c:pt>
                <c:pt idx="143">
                  <c:v>-99.16048449885507</c:v>
                </c:pt>
                <c:pt idx="144">
                  <c:v>-99.402049252430331</c:v>
                </c:pt>
                <c:pt idx="145">
                  <c:v>-99.64818866093826</c:v>
                </c:pt>
                <c:pt idx="146">
                  <c:v>-99.899004961013219</c:v>
                </c:pt>
                <c:pt idx="147">
                  <c:v>-100.15460097820088</c:v>
                </c:pt>
                <c:pt idx="148">
                  <c:v>-100.41508006113217</c:v>
                </c:pt>
                <c:pt idx="149">
                  <c:v>-100.68054600905791</c:v>
                </c:pt>
                <c:pt idx="150">
                  <c:v>-100.95110299239545</c:v>
                </c:pt>
                <c:pt idx="151">
                  <c:v>-101.22685546592894</c:v>
                </c:pt>
                <c:pt idx="152">
                  <c:v>-101.50790807429759</c:v>
                </c:pt>
                <c:pt idx="153">
                  <c:v>-101.79436554940452</c:v>
                </c:pt>
                <c:pt idx="154">
                  <c:v>-102.08633259937285</c:v>
                </c:pt>
                <c:pt idx="155">
                  <c:v>-102.38391378867726</c:v>
                </c:pt>
                <c:pt idx="156">
                  <c:v>-102.68721340907854</c:v>
                </c:pt>
                <c:pt idx="157">
                  <c:v>-102.99633534099377</c:v>
                </c:pt>
                <c:pt idx="158">
                  <c:v>-103.31138290494039</c:v>
                </c:pt>
                <c:pt idx="159">
                  <c:v>-103.63245870270403</c:v>
                </c:pt>
                <c:pt idx="160">
                  <c:v>-103.95966444789059</c:v>
                </c:pt>
                <c:pt idx="161">
                  <c:v>-104.29310078554596</c:v>
                </c:pt>
                <c:pt idx="162">
                  <c:v>-104.63286710054216</c:v>
                </c:pt>
                <c:pt idx="163">
                  <c:v>-104.97906131446172</c:v>
                </c:pt>
                <c:pt idx="164">
                  <c:v>-105.3317796707386</c:v>
                </c:pt>
                <c:pt idx="165">
                  <c:v>-105.69111650785828</c:v>
                </c:pt>
                <c:pt idx="166">
                  <c:v>-106.05716402045732</c:v>
                </c:pt>
                <c:pt idx="167">
                  <c:v>-106.43001200821666</c:v>
                </c:pt>
                <c:pt idx="168">
                  <c:v>-106.80974761250124</c:v>
                </c:pt>
                <c:pt idx="169">
                  <c:v>-107.19645504075959</c:v>
                </c:pt>
                <c:pt idx="170">
                  <c:v>-107.59021527877469</c:v>
                </c:pt>
                <c:pt idx="171">
                  <c:v>-107.99110579093308</c:v>
                </c:pt>
                <c:pt idx="172">
                  <c:v>-108.39920020877254</c:v>
                </c:pt>
                <c:pt idx="173">
                  <c:v>-108.81456800816333</c:v>
                </c:pt>
                <c:pt idx="174">
                  <c:v>-109.23727417558482</c:v>
                </c:pt>
                <c:pt idx="175">
                  <c:v>-109.66737886407498</c:v>
                </c:pt>
                <c:pt idx="176">
                  <c:v>-110.10493703955169</c:v>
                </c:pt>
                <c:pt idx="177">
                  <c:v>-110.54999811833837</c:v>
                </c:pt>
                <c:pt idx="178">
                  <c:v>-111.00260559686487</c:v>
                </c:pt>
                <c:pt idx="179">
                  <c:v>-111.46279667466004</c:v>
                </c:pt>
                <c:pt idx="180">
                  <c:v>-111.93060187190858</c:v>
                </c:pt>
                <c:pt idx="181">
                  <c:v>-112.40604464300192</c:v>
                </c:pt>
                <c:pt idx="182">
                  <c:v>-112.88914098767519</c:v>
                </c:pt>
                <c:pt idx="183">
                  <c:v>-113.37989906149301</c:v>
                </c:pt>
                <c:pt idx="184">
                  <c:v>-113.87831878761001</c:v>
                </c:pt>
                <c:pt idx="185">
                  <c:v>-114.38439147190229</c:v>
                </c:pt>
                <c:pt idx="186">
                  <c:v>-114.89809942373275</c:v>
                </c:pt>
                <c:pt idx="187">
                  <c:v>-115.41941558476759</c:v>
                </c:pt>
                <c:pt idx="188">
                  <c:v>-115.94830316842192</c:v>
                </c:pt>
                <c:pt idx="189">
                  <c:v>-116.48471531264835</c:v>
                </c:pt>
                <c:pt idx="190">
                  <c:v>-117.02859474891339</c:v>
                </c:pt>
                <c:pt idx="191">
                  <c:v>-117.57987349032265</c:v>
                </c:pt>
                <c:pt idx="192">
                  <c:v>-118.1384725419442</c:v>
                </c:pt>
                <c:pt idx="193">
                  <c:v>-118.70430163645027</c:v>
                </c:pt>
                <c:pt idx="194">
                  <c:v>-119.27725899824416</c:v>
                </c:pt>
                <c:pt idx="195">
                  <c:v>-119.85723113925066</c:v>
                </c:pt>
                <c:pt idx="196">
                  <c:v>-120.44409268952951</c:v>
                </c:pt>
                <c:pt idx="197">
                  <c:v>-121.03770626581917</c:v>
                </c:pt>
                <c:pt idx="198">
                  <c:v>-121.63792238102064</c:v>
                </c:pt>
                <c:pt idx="199">
                  <c:v>-122.24457939750978</c:v>
                </c:pt>
                <c:pt idx="200">
                  <c:v>-122.85750352697437</c:v>
                </c:pt>
                <c:pt idx="201">
                  <c:v>-123.47650887927145</c:v>
                </c:pt>
                <c:pt idx="202">
                  <c:v>-124.10139756252865</c:v>
                </c:pt>
                <c:pt idx="203">
                  <c:v>-124.73195983641287</c:v>
                </c:pt>
                <c:pt idx="204">
                  <c:v>-125.36797432014366</c:v>
                </c:pt>
                <c:pt idx="205">
                  <c:v>-126.00920825643934</c:v>
                </c:pt>
                <c:pt idx="206">
                  <c:v>-126.65541783216595</c:v>
                </c:pt>
                <c:pt idx="207">
                  <c:v>-127.30634855600353</c:v>
                </c:pt>
                <c:pt idx="208">
                  <c:v>-127.96173569294983</c:v>
                </c:pt>
                <c:pt idx="209">
                  <c:v>-128.62130475499256</c:v>
                </c:pt>
                <c:pt idx="210">
                  <c:v>-129.28477204674223</c:v>
                </c:pt>
                <c:pt idx="211">
                  <c:v>-129.95184526429566</c:v>
                </c:pt>
                <c:pt idx="212">
                  <c:v>-130.62222414506311</c:v>
                </c:pt>
                <c:pt idx="213">
                  <c:v>-131.29560116576684</c:v>
                </c:pt>
                <c:pt idx="214">
                  <c:v>-131.97166228530492</c:v>
                </c:pt>
                <c:pt idx="215">
                  <c:v>-132.65008772869109</c:v>
                </c:pt>
                <c:pt idx="216">
                  <c:v>-133.33055280781866</c:v>
                </c:pt>
                <c:pt idx="217">
                  <c:v>-134.01272877438504</c:v>
                </c:pt>
                <c:pt idx="218">
                  <c:v>-134.69628369994192</c:v>
                </c:pt>
                <c:pt idx="219">
                  <c:v>-135.38088337772101</c:v>
                </c:pt>
                <c:pt idx="220">
                  <c:v>-136.06619224062902</c:v>
                </c:pt>
                <c:pt idx="221">
                  <c:v>-136.75187428961712</c:v>
                </c:pt>
                <c:pt idx="222">
                  <c:v>-137.43759402650485</c:v>
                </c:pt>
                <c:pt idx="223">
                  <c:v>-138.12301738528632</c:v>
                </c:pt>
                <c:pt idx="224">
                  <c:v>-138.80781265597093</c:v>
                </c:pt>
                <c:pt idx="225">
                  <c:v>-139.49165139509404</c:v>
                </c:pt>
                <c:pt idx="226">
                  <c:v>-140.1742093172023</c:v>
                </c:pt>
                <c:pt idx="227">
                  <c:v>-140.85516716183531</c:v>
                </c:pt>
                <c:pt idx="228">
                  <c:v>-141.53421153082442</c:v>
                </c:pt>
                <c:pt idx="229">
                  <c:v>-142.21103569106953</c:v>
                </c:pt>
                <c:pt idx="230">
                  <c:v>-142.88534033834853</c:v>
                </c:pt>
                <c:pt idx="231">
                  <c:v>-143.55683431816368</c:v>
                </c:pt>
                <c:pt idx="232">
                  <c:v>-144.22523530008738</c:v>
                </c:pt>
                <c:pt idx="233">
                  <c:v>-144.89027040259333</c:v>
                </c:pt>
                <c:pt idx="234">
                  <c:v>-145.55167676585774</c:v>
                </c:pt>
                <c:pt idx="235">
                  <c:v>-146.20920207056355</c:v>
                </c:pt>
                <c:pt idx="236">
                  <c:v>-146.8626050012638</c:v>
                </c:pt>
                <c:pt idx="237">
                  <c:v>-147.51165565339494</c:v>
                </c:pt>
                <c:pt idx="238">
                  <c:v>-148.15613588354105</c:v>
                </c:pt>
                <c:pt idx="239">
                  <c:v>-148.79583960304299</c:v>
                </c:pt>
                <c:pt idx="240">
                  <c:v>-149.43057301552545</c:v>
                </c:pt>
                <c:pt idx="241">
                  <c:v>-150.06015479934132</c:v>
                </c:pt>
                <c:pt idx="242">
                  <c:v>-150.68441623634325</c:v>
                </c:pt>
                <c:pt idx="243">
                  <c:v>-151.3032012887528</c:v>
                </c:pt>
                <c:pt idx="244">
                  <c:v>-151.91636662622528</c:v>
                </c:pt>
                <c:pt idx="245">
                  <c:v>-152.52378160548176</c:v>
                </c:pt>
                <c:pt idx="246">
                  <c:v>-153.12532820512843</c:v>
                </c:pt>
                <c:pt idx="247">
                  <c:v>-153.72090091846246</c:v>
                </c:pt>
                <c:pt idx="248">
                  <c:v>-154.3104066072315</c:v>
                </c:pt>
                <c:pt idx="249">
                  <c:v>-154.89376431940931</c:v>
                </c:pt>
                <c:pt idx="250">
                  <c:v>-155.47090507413134</c:v>
                </c:pt>
                <c:pt idx="251">
                  <c:v>-156.0417716169662</c:v>
                </c:pt>
                <c:pt idx="252">
                  <c:v>-156.60631814869359</c:v>
                </c:pt>
                <c:pt idx="253">
                  <c:v>-157.16451003073684</c:v>
                </c:pt>
                <c:pt idx="254">
                  <c:v>-157.71632347033304</c:v>
                </c:pt>
                <c:pt idx="255">
                  <c:v>-158.26174518844473</c:v>
                </c:pt>
                <c:pt idx="256">
                  <c:v>-158.80077207330848</c:v>
                </c:pt>
                <c:pt idx="257">
                  <c:v>-159.33341082239852</c:v>
                </c:pt>
                <c:pt idx="258">
                  <c:v>-159.85967757544168</c:v>
                </c:pt>
                <c:pt idx="259">
                  <c:v>-160.37959754097429</c:v>
                </c:pt>
                <c:pt idx="260">
                  <c:v>-160.89320461877145</c:v>
                </c:pt>
                <c:pt idx="261">
                  <c:v>-161.40054102031999</c:v>
                </c:pt>
                <c:pt idx="262">
                  <c:v>-161.90165688933291</c:v>
                </c:pt>
                <c:pt idx="263">
                  <c:v>-162.39660992414207</c:v>
                </c:pt>
                <c:pt idx="264">
                  <c:v>-162.88546500362983</c:v>
                </c:pt>
                <c:pt idx="265">
                  <c:v>-163.36829381820195</c:v>
                </c:pt>
                <c:pt idx="266">
                  <c:v>-163.84517450713832</c:v>
                </c:pt>
                <c:pt idx="267">
                  <c:v>-164.31619130350305</c:v>
                </c:pt>
                <c:pt idx="268">
                  <c:v>-164.78143418764202</c:v>
                </c:pt>
                <c:pt idx="269">
                  <c:v>-165.24099855015913</c:v>
                </c:pt>
                <c:pt idx="270">
                  <c:v>-165.69498486511719</c:v>
                </c:pt>
                <c:pt idx="271">
                  <c:v>-166.14349837409222</c:v>
                </c:pt>
                <c:pt idx="272">
                  <c:v>-166.58664878157811</c:v>
                </c:pt>
                <c:pt idx="273">
                  <c:v>-167.02454996214192</c:v>
                </c:pt>
                <c:pt idx="274">
                  <c:v>-167.45731967961319</c:v>
                </c:pt>
                <c:pt idx="275">
                  <c:v>-167.88507931850833</c:v>
                </c:pt>
                <c:pt idx="276">
                  <c:v>-168.30795362779895</c:v>
                </c:pt>
                <c:pt idx="277">
                  <c:v>-168.72607047705756</c:v>
                </c:pt>
                <c:pt idx="278">
                  <c:v>-169.13956062494333</c:v>
                </c:pt>
                <c:pt idx="279">
                  <c:v>-169.54855749993186</c:v>
                </c:pt>
                <c:pt idx="280">
                  <c:v>-169.95319699313117</c:v>
                </c:pt>
                <c:pt idx="281">
                  <c:v>-170.35361726298413</c:v>
                </c:pt>
                <c:pt idx="282">
                  <c:v>-170.7499585516108</c:v>
                </c:pt>
                <c:pt idx="283">
                  <c:v>-171.14236301250941</c:v>
                </c:pt>
                <c:pt idx="284">
                  <c:v>-171.53097454930318</c:v>
                </c:pt>
                <c:pt idx="285">
                  <c:v>-171.9159386651929</c:v>
                </c:pt>
                <c:pt idx="286">
                  <c:v>-172.29740232275392</c:v>
                </c:pt>
                <c:pt idx="287">
                  <c:v>-172.67551381369964</c:v>
                </c:pt>
                <c:pt idx="288">
                  <c:v>-173.05042263821446</c:v>
                </c:pt>
                <c:pt idx="289">
                  <c:v>-173.42227939345574</c:v>
                </c:pt>
                <c:pt idx="290">
                  <c:v>-173.79123567080805</c:v>
                </c:pt>
                <c:pt idx="291">
                  <c:v>-174.15744396147306</c:v>
                </c:pt>
                <c:pt idx="292">
                  <c:v>-174.52105756997273</c:v>
                </c:pt>
                <c:pt idx="293">
                  <c:v>-174.88223053514082</c:v>
                </c:pt>
                <c:pt idx="294">
                  <c:v>-175.24111755818049</c:v>
                </c:pt>
                <c:pt idx="295">
                  <c:v>-175.59787393736462</c:v>
                </c:pt>
                <c:pt idx="296">
                  <c:v>-175.95265550895914</c:v>
                </c:pt>
                <c:pt idx="297">
                  <c:v>-176.30561859395164</c:v>
                </c:pt>
                <c:pt idx="298">
                  <c:v>-176.65691995017457</c:v>
                </c:pt>
                <c:pt idx="299">
                  <c:v>-177.00671672941181</c:v>
                </c:pt>
                <c:pt idx="300">
                  <c:v>-177.35516643908826</c:v>
                </c:pt>
                <c:pt idx="301">
                  <c:v>-177.70242690813942</c:v>
                </c:pt>
                <c:pt idx="302">
                  <c:v>-178.04865625667233</c:v>
                </c:pt>
                <c:pt idx="303">
                  <c:v>-178.39401286902384</c:v>
                </c:pt>
                <c:pt idx="304">
                  <c:v>-178.73865536983564</c:v>
                </c:pt>
                <c:pt idx="305">
                  <c:v>-179.08274260276363</c:v>
                </c:pt>
                <c:pt idx="306">
                  <c:v>-179.42643361144695</c:v>
                </c:pt>
                <c:pt idx="307">
                  <c:v>-179.76988762236346</c:v>
                </c:pt>
                <c:pt idx="308">
                  <c:v>179.88673597079756</c:v>
                </c:pt>
                <c:pt idx="309">
                  <c:v>179.54327762161279</c:v>
                </c:pt>
                <c:pt idx="310">
                  <c:v>179.19957764461688</c:v>
                </c:pt>
                <c:pt idx="311">
                  <c:v>178.85547622857399</c:v>
                </c:pt>
                <c:pt idx="312">
                  <c:v>178.51081344969052</c:v>
                </c:pt>
                <c:pt idx="313">
                  <c:v>178.16542928513402</c:v>
                </c:pt>
                <c:pt idx="314">
                  <c:v>177.81916362722055</c:v>
                </c:pt>
                <c:pt idx="315">
                  <c:v>177.47185629863623</c:v>
                </c:pt>
                <c:pt idx="316">
                  <c:v>177.12334706906003</c:v>
                </c:pt>
                <c:pt idx="317">
                  <c:v>176.77347567355665</c:v>
                </c:pt>
                <c:pt idx="318">
                  <c:v>176.42208183311257</c:v>
                </c:pt>
                <c:pt idx="319">
                  <c:v>176.06900527768997</c:v>
                </c:pt>
                <c:pt idx="320">
                  <c:v>175.7140857721796</c:v>
                </c:pt>
                <c:pt idx="321">
                  <c:v>175.35716314563541</c:v>
                </c:pt>
                <c:pt idx="322">
                  <c:v>174.99807732418088</c:v>
                </c:pt>
                <c:pt idx="323">
                  <c:v>174.63666836797927</c:v>
                </c:pt>
                <c:pt idx="324">
                  <c:v>174.27277651266587</c:v>
                </c:pt>
                <c:pt idx="325">
                  <c:v>173.90624221564747</c:v>
                </c:pt>
                <c:pt idx="326">
                  <c:v>173.53690620767475</c:v>
                </c:pt>
                <c:pt idx="327">
                  <c:v>173.16460955009961</c:v>
                </c:pt>
                <c:pt idx="328">
                  <c:v>172.78919369823575</c:v>
                </c:pt>
                <c:pt idx="329">
                  <c:v>172.41050057123846</c:v>
                </c:pt>
                <c:pt idx="330">
                  <c:v>172.02837262892803</c:v>
                </c:pt>
                <c:pt idx="331">
                  <c:v>171.64265295597778</c:v>
                </c:pt>
                <c:pt idx="332">
                  <c:v>171.25318535389053</c:v>
                </c:pt>
                <c:pt idx="333">
                  <c:v>170.8598144411821</c:v>
                </c:pt>
                <c:pt idx="334">
                  <c:v>170.46238576219173</c:v>
                </c:pt>
                <c:pt idx="335">
                  <c:v>170.06074590492992</c:v>
                </c:pt>
                <c:pt idx="336">
                  <c:v>169.65474262836565</c:v>
                </c:pt>
                <c:pt idx="337">
                  <c:v>169.24422499954528</c:v>
                </c:pt>
                <c:pt idx="338">
                  <c:v>168.82904354092085</c:v>
                </c:pt>
                <c:pt idx="339">
                  <c:v>168.40905038824647</c:v>
                </c:pt>
                <c:pt idx="340">
                  <c:v>167.98409945937971</c:v>
                </c:pt>
                <c:pt idx="341">
                  <c:v>167.55404663429704</c:v>
                </c:pt>
                <c:pt idx="342">
                  <c:v>167.11874994660377</c:v>
                </c:pt>
                <c:pt idx="343">
                  <c:v>166.67806978677925</c:v>
                </c:pt>
                <c:pt idx="344">
                  <c:v>166.23186911735468</c:v>
                </c:pt>
                <c:pt idx="345">
                  <c:v>165.78001370017734</c:v>
                </c:pt>
                <c:pt idx="346">
                  <c:v>165.32237233585039</c:v>
                </c:pt>
                <c:pt idx="347">
                  <c:v>164.85881711538562</c:v>
                </c:pt>
                <c:pt idx="348">
                  <c:v>164.38922368402544</c:v>
                </c:pt>
                <c:pt idx="349">
                  <c:v>163.91347151712236</c:v>
                </c:pt>
                <c:pt idx="350">
                  <c:v>163.43144420787024</c:v>
                </c:pt>
                <c:pt idx="351">
                  <c:v>162.94302976659225</c:v>
                </c:pt>
                <c:pt idx="352">
                  <c:v>162.44812093118699</c:v>
                </c:pt>
                <c:pt idx="353">
                  <c:v>161.94661548821978</c:v>
                </c:pt>
                <c:pt idx="354">
                  <c:v>161.43841660402936</c:v>
                </c:pt>
                <c:pt idx="355">
                  <c:v>160.92343316509326</c:v>
                </c:pt>
                <c:pt idx="356">
                  <c:v>160.40158012675269</c:v>
                </c:pt>
                <c:pt idx="357">
                  <c:v>159.87277886926071</c:v>
                </c:pt>
                <c:pt idx="358">
                  <c:v>159.33695755996393</c:v>
                </c:pt>
                <c:pt idx="359">
                  <c:v>158.79405152026976</c:v>
                </c:pt>
                <c:pt idx="360">
                  <c:v>158.24400359589117</c:v>
                </c:pt>
                <c:pt idx="361">
                  <c:v>157.68676452869562</c:v>
                </c:pt>
                <c:pt idx="362">
                  <c:v>157.1222933283145</c:v>
                </c:pt>
                <c:pt idx="363">
                  <c:v>156.55055764150376</c:v>
                </c:pt>
                <c:pt idx="364">
                  <c:v>155.97153411707731</c:v>
                </c:pt>
                <c:pt idx="365">
                  <c:v>155.38520876407259</c:v>
                </c:pt>
                <c:pt idx="366">
                  <c:v>154.79157730064949</c:v>
                </c:pt>
                <c:pt idx="367">
                  <c:v>154.19064549107878</c:v>
                </c:pt>
                <c:pt idx="368">
                  <c:v>153.58242946803335</c:v>
                </c:pt>
                <c:pt idx="369">
                  <c:v>152.96695603728253</c:v>
                </c:pt>
                <c:pt idx="370">
                  <c:v>152.34426296177813</c:v>
                </c:pt>
                <c:pt idx="371">
                  <c:v>151.71439922204473</c:v>
                </c:pt>
                <c:pt idx="372">
                  <c:v>151.07742524972616</c:v>
                </c:pt>
                <c:pt idx="373">
                  <c:v>150.43341313111208</c:v>
                </c:pt>
                <c:pt idx="374">
                  <c:v>149.782446777469</c:v>
                </c:pt>
                <c:pt idx="375">
                  <c:v>149.12462205903881</c:v>
                </c:pt>
                <c:pt idx="376">
                  <c:v>148.46004689963792</c:v>
                </c:pt>
                <c:pt idx="377">
                  <c:v>147.78884132890389</c:v>
                </c:pt>
                <c:pt idx="378">
                  <c:v>147.1111374893915</c:v>
                </c:pt>
                <c:pt idx="379">
                  <c:v>146.42707959591183</c:v>
                </c:pt>
                <c:pt idx="380">
                  <c:v>145.73682384475362</c:v>
                </c:pt>
                <c:pt idx="381">
                  <c:v>145.0405382707053</c:v>
                </c:pt>
                <c:pt idx="382">
                  <c:v>144.33840255012055</c:v>
                </c:pt>
                <c:pt idx="383">
                  <c:v>143.63060774864073</c:v>
                </c:pt>
                <c:pt idx="384">
                  <c:v>142.9173560125902</c:v>
                </c:pt>
                <c:pt idx="385">
                  <c:v>142.19886020350143</c:v>
                </c:pt>
                <c:pt idx="386">
                  <c:v>141.47534347569578</c:v>
                </c:pt>
                <c:pt idx="387">
                  <c:v>140.74703879734611</c:v>
                </c:pt>
                <c:pt idx="388">
                  <c:v>140.01418841595964</c:v>
                </c:pt>
                <c:pt idx="389">
                  <c:v>139.27704326975214</c:v>
                </c:pt>
                <c:pt idx="390">
                  <c:v>138.5358623469142</c:v>
                </c:pt>
                <c:pt idx="391">
                  <c:v>137.79091199530785</c:v>
                </c:pt>
                <c:pt idx="392">
                  <c:v>137.04246518564642</c:v>
                </c:pt>
                <c:pt idx="393">
                  <c:v>136.29080073171937</c:v>
                </c:pt>
                <c:pt idx="394">
                  <c:v>135.53620247169295</c:v>
                </c:pt>
                <c:pt idx="395">
                  <c:v>134.77895841495811</c:v>
                </c:pt>
                <c:pt idx="396">
                  <c:v>134.01935985939377</c:v>
                </c:pt>
                <c:pt idx="397">
                  <c:v>133.25770048425605</c:v>
                </c:pt>
                <c:pt idx="398">
                  <c:v>132.49427542419468</c:v>
                </c:pt>
                <c:pt idx="399">
                  <c:v>131.729380330118</c:v>
                </c:pt>
                <c:pt idx="400">
                  <c:v>130.96331042279601</c:v>
                </c:pt>
                <c:pt idx="401">
                  <c:v>130.19635954517142</c:v>
                </c:pt>
                <c:pt idx="402">
                  <c:v>129.42881921937226</c:v>
                </c:pt>
                <c:pt idx="403">
                  <c:v>128.66097771436392</c:v>
                </c:pt>
                <c:pt idx="404">
                  <c:v>127.89311913005952</c:v>
                </c:pt>
                <c:pt idx="405">
                  <c:v>127.12552250350966</c:v>
                </c:pt>
                <c:pt idx="406">
                  <c:v>126.35846094254094</c:v>
                </c:pt>
                <c:pt idx="407">
                  <c:v>125.59220079189684</c:v>
                </c:pt>
                <c:pt idx="408">
                  <c:v>124.82700083656333</c:v>
                </c:pt>
                <c:pt idx="409">
                  <c:v>124.06311154655265</c:v>
                </c:pt>
                <c:pt idx="410">
                  <c:v>123.30077436695301</c:v>
                </c:pt>
                <c:pt idx="411">
                  <c:v>122.54022105657758</c:v>
                </c:pt>
                <c:pt idx="412">
                  <c:v>121.78167307802809</c:v>
                </c:pt>
                <c:pt idx="413">
                  <c:v>121.02534104147369</c:v>
                </c:pt>
                <c:pt idx="414">
                  <c:v>120.27142420390724</c:v>
                </c:pt>
                <c:pt idx="415">
                  <c:v>119.52011002512008</c:v>
                </c:pt>
                <c:pt idx="416">
                  <c:v>118.77157378111856</c:v>
                </c:pt>
                <c:pt idx="417">
                  <c:v>118.02597823520023</c:v>
                </c:pt>
                <c:pt idx="418">
                  <c:v>117.28347336643695</c:v>
                </c:pt>
                <c:pt idx="419">
                  <c:v>116.54419615485156</c:v>
                </c:pt>
                <c:pt idx="420">
                  <c:v>115.80827042217614</c:v>
                </c:pt>
                <c:pt idx="421">
                  <c:v>115.07580672668277</c:v>
                </c:pt>
                <c:pt idx="422">
                  <c:v>114.34690231025581</c:v>
                </c:pt>
                <c:pt idx="423">
                  <c:v>113.62164109556454</c:v>
                </c:pt>
                <c:pt idx="424">
                  <c:v>112.90009373096004</c:v>
                </c:pt>
                <c:pt idx="425">
                  <c:v>112.18231768048933</c:v>
                </c:pt>
                <c:pt idx="426">
                  <c:v>111.46835735627502</c:v>
                </c:pt>
                <c:pt idx="427">
                  <c:v>110.75824429037597</c:v>
                </c:pt>
                <c:pt idx="428">
                  <c:v>110.05199734316128</c:v>
                </c:pt>
                <c:pt idx="429">
                  <c:v>109.34962294518581</c:v>
                </c:pt>
                <c:pt idx="430">
                  <c:v>108.65111536955658</c:v>
                </c:pt>
                <c:pt idx="431">
                  <c:v>107.95645703179051</c:v>
                </c:pt>
                <c:pt idx="432">
                  <c:v>107.26561881422782</c:v>
                </c:pt>
                <c:pt idx="433">
                  <c:v>106.57856041214116</c:v>
                </c:pt>
                <c:pt idx="434">
                  <c:v>105.89523069879085</c:v>
                </c:pt>
                <c:pt idx="435">
                  <c:v>105.21556810679684</c:v>
                </c:pt>
                <c:pt idx="436">
                  <c:v>104.53950102333285</c:v>
                </c:pt>
                <c:pt idx="437">
                  <c:v>103.86694819681864</c:v>
                </c:pt>
                <c:pt idx="438">
                  <c:v>103.19781915293171</c:v>
                </c:pt>
                <c:pt idx="439">
                  <c:v>102.53201461794424</c:v>
                </c:pt>
                <c:pt idx="440">
                  <c:v>101.86942694756587</c:v>
                </c:pt>
                <c:pt idx="441">
                  <c:v>101.20994055964405</c:v>
                </c:pt>
                <c:pt idx="442">
                  <c:v>100.55343236926802</c:v>
                </c:pt>
                <c:pt idx="443">
                  <c:v>99.899772224983991</c:v>
                </c:pt>
                <c:pt idx="444">
                  <c:v>99.248823345014827</c:v>
                </c:pt>
                <c:pt idx="445">
                  <c:v>98.600442752544851</c:v>
                </c:pt>
                <c:pt idx="446">
                  <c:v>97.954481709287265</c:v>
                </c:pt>
                <c:pt idx="447">
                  <c:v>97.310786146716836</c:v>
                </c:pt>
                <c:pt idx="448">
                  <c:v>96.669197094493356</c:v>
                </c:pt>
                <c:pt idx="449">
                  <c:v>96.02955110573923</c:v>
                </c:pt>
                <c:pt idx="450">
                  <c:v>95.391680678967305</c:v>
                </c:pt>
                <c:pt idx="451">
                  <c:v>94.75541467657338</c:v>
                </c:pt>
                <c:pt idx="452">
                  <c:v>94.12057873991715</c:v>
                </c:pt>
                <c:pt idx="453">
                  <c:v>93.486995701111923</c:v>
                </c:pt>
                <c:pt idx="454">
                  <c:v>92.854485991737448</c:v>
                </c:pt>
                <c:pt idx="455">
                  <c:v>92.222868048759238</c:v>
                </c:pt>
                <c:pt idx="456">
                  <c:v>91.591958718015846</c:v>
                </c:pt>
                <c:pt idx="457">
                  <c:v>90.961573655675267</c:v>
                </c:pt>
                <c:pt idx="458">
                  <c:v>90.331527728125025</c:v>
                </c:pt>
                <c:pt idx="459">
                  <c:v>89.701635410778522</c:v>
                </c:pt>
                <c:pt idx="460">
                  <c:v>89.071711186313621</c:v>
                </c:pt>
                <c:pt idx="461">
                  <c:v>88.441569942868242</c:v>
                </c:pt>
                <c:pt idx="462">
                  <c:v>87.811027372718229</c:v>
                </c:pt>
                <c:pt idx="463">
                  <c:v>87.179900371956052</c:v>
                </c:pt>
                <c:pt idx="464">
                  <c:v>86.548007441667295</c:v>
                </c:pt>
                <c:pt idx="465">
                  <c:v>85.915169091072855</c:v>
                </c:pt>
                <c:pt idx="466">
                  <c:v>85.281208243060192</c:v>
                </c:pt>
                <c:pt idx="467">
                  <c:v>84.645950642476734</c:v>
                </c:pt>
                <c:pt idx="468">
                  <c:v>84.009225267497129</c:v>
                </c:pt>
                <c:pt idx="469">
                  <c:v>83.370864744294792</c:v>
                </c:pt>
                <c:pt idx="470">
                  <c:v>82.730705765173127</c:v>
                </c:pt>
                <c:pt idx="471">
                  <c:v>82.088589510206305</c:v>
                </c:pt>
                <c:pt idx="472">
                  <c:v>81.444362072342869</c:v>
                </c:pt>
                <c:pt idx="473">
                  <c:v>80.797874885799573</c:v>
                </c:pt>
                <c:pt idx="474">
                  <c:v>80.148985157452913</c:v>
                </c:pt>
                <c:pt idx="475">
                  <c:v>79.497556300798863</c:v>
                </c:pt>
                <c:pt idx="476">
                  <c:v>78.843458371901292</c:v>
                </c:pt>
                <c:pt idx="477">
                  <c:v>78.18656850660274</c:v>
                </c:pt>
                <c:pt idx="478">
                  <c:v>77.526771358105393</c:v>
                </c:pt>
                <c:pt idx="479">
                  <c:v>76.863959533862825</c:v>
                </c:pt>
                <c:pt idx="480">
                  <c:v>76.198034030552748</c:v>
                </c:pt>
                <c:pt idx="481">
                  <c:v>75.528904665721043</c:v>
                </c:pt>
                <c:pt idx="482">
                  <c:v>74.85649050450985</c:v>
                </c:pt>
                <c:pt idx="483">
                  <c:v>74.180720279703166</c:v>
                </c:pt>
                <c:pt idx="484">
                  <c:v>73.501532803143732</c:v>
                </c:pt>
                <c:pt idx="485">
                  <c:v>72.818877366405417</c:v>
                </c:pt>
                <c:pt idx="486">
                  <c:v>72.132714128433349</c:v>
                </c:pt>
                <c:pt idx="487">
                  <c:v>71.443014487709547</c:v>
                </c:pt>
                <c:pt idx="488">
                  <c:v>70.749761436359577</c:v>
                </c:pt>
                <c:pt idx="489">
                  <c:v>70.052949893477319</c:v>
                </c:pt>
                <c:pt idx="490">
                  <c:v>69.352587014846364</c:v>
                </c:pt>
                <c:pt idx="491">
                  <c:v>68.648692476139516</c:v>
                </c:pt>
                <c:pt idx="492">
                  <c:v>67.941298726615898</c:v>
                </c:pt>
                <c:pt idx="493">
                  <c:v>67.230451210307152</c:v>
                </c:pt>
                <c:pt idx="494">
                  <c:v>66.516208551675106</c:v>
                </c:pt>
                <c:pt idx="495">
                  <c:v>65.798642702761484</c:v>
                </c:pt>
                <c:pt idx="496">
                  <c:v>65.077839048916843</c:v>
                </c:pt>
                <c:pt idx="497">
                  <c:v>64.353896470310289</c:v>
                </c:pt>
                <c:pt idx="498">
                  <c:v>63.626927356572253</c:v>
                </c:pt>
                <c:pt idx="499">
                  <c:v>62.897057572119799</c:v>
                </c:pt>
                <c:pt idx="500">
                  <c:v>62.164426369947208</c:v>
                </c:pt>
                <c:pt idx="501">
                  <c:v>61.42918625196036</c:v>
                </c:pt>
                <c:pt idx="502">
                  <c:v>60.691502774245556</c:v>
                </c:pt>
                <c:pt idx="503">
                  <c:v>59.951554296032796</c:v>
                </c:pt>
                <c:pt idx="504">
                  <c:v>59.209531671532417</c:v>
                </c:pt>
                <c:pt idx="505">
                  <c:v>58.465637884240763</c:v>
                </c:pt>
                <c:pt idx="506">
                  <c:v>57.720087623796829</c:v>
                </c:pt>
                <c:pt idx="507">
                  <c:v>56.973106805965116</c:v>
                </c:pt>
                <c:pt idx="508">
                  <c:v>56.224932036822118</c:v>
                </c:pt>
                <c:pt idx="509">
                  <c:v>55.475810022763625</c:v>
                </c:pt>
                <c:pt idx="510">
                  <c:v>54.725996928470693</c:v>
                </c:pt>
                <c:pt idx="511">
                  <c:v>53.975757685500035</c:v>
                </c:pt>
                <c:pt idx="512">
                  <c:v>53.225365254678771</c:v>
                </c:pt>
                <c:pt idx="513">
                  <c:v>52.47509984597901</c:v>
                </c:pt>
                <c:pt idx="514">
                  <c:v>51.725248100008677</c:v>
                </c:pt>
                <c:pt idx="515">
                  <c:v>50.976102235688984</c:v>
                </c:pt>
                <c:pt idx="516">
                  <c:v>50.227959169064484</c:v>
                </c:pt>
                <c:pt idx="517">
                  <c:v>49.481119608532431</c:v>
                </c:pt>
                <c:pt idx="518">
                  <c:v>48.735887132044788</c:v>
                </c:pt>
                <c:pt idx="519">
                  <c:v>47.992567252053306</c:v>
                </c:pt>
                <c:pt idx="520">
                  <c:v>47.25146647410736</c:v>
                </c:pt>
                <c:pt idx="521">
                  <c:v>46.512891355090311</c:v>
                </c:pt>
                <c:pt idx="522">
                  <c:v>45.777147567090033</c:v>
                </c:pt>
                <c:pt idx="523">
                  <c:v>45.044538972812632</c:v>
                </c:pt>
                <c:pt idx="524">
                  <c:v>44.315366718333522</c:v>
                </c:pt>
                <c:pt idx="525">
                  <c:v>43.58992834875518</c:v>
                </c:pt>
                <c:pt idx="526">
                  <c:v>42.868516952079155</c:v>
                </c:pt>
                <c:pt idx="527">
                  <c:v>42.151420336272274</c:v>
                </c:pt>
                <c:pt idx="528">
                  <c:v>41.438920244123842</c:v>
                </c:pt>
                <c:pt idx="529">
                  <c:v>40.731291610057824</c:v>
                </c:pt>
                <c:pt idx="530">
                  <c:v>40.028801862620867</c:v>
                </c:pt>
                <c:pt idx="531">
                  <c:v>39.33171027584045</c:v>
                </c:pt>
                <c:pt idx="532">
                  <c:v>38.640267372160515</c:v>
                </c:pt>
                <c:pt idx="533">
                  <c:v>37.954714379113099</c:v>
                </c:pt>
                <c:pt idx="534">
                  <c:v>37.275282741361302</c:v>
                </c:pt>
                <c:pt idx="535">
                  <c:v>36.602193689210488</c:v>
                </c:pt>
                <c:pt idx="536">
                  <c:v>35.93565786417058</c:v>
                </c:pt>
                <c:pt idx="537">
                  <c:v>35.275875001638859</c:v>
                </c:pt>
                <c:pt idx="538">
                  <c:v>34.623033670309354</c:v>
                </c:pt>
                <c:pt idx="539">
                  <c:v>33.977311067445811</c:v>
                </c:pt>
                <c:pt idx="540">
                  <c:v>33.338872868759324</c:v>
                </c:pt>
                <c:pt idx="541">
                  <c:v>32.707873131232908</c:v>
                </c:pt>
              </c:numCache>
            </c:numRef>
          </c:yVal>
          <c:smooth val="1"/>
          <c:extLst>
            <c:ext xmlns:c16="http://schemas.microsoft.com/office/drawing/2014/chart" uri="{C3380CC4-5D6E-409C-BE32-E72D297353CC}">
              <c16:uniqueId val="{00000001-D13D-4F31-A1F4-F359C82058E5}"/>
            </c:ext>
          </c:extLst>
        </c:ser>
        <c:dLbls>
          <c:showLegendKey val="0"/>
          <c:showVal val="0"/>
          <c:showCatName val="0"/>
          <c:showSerName val="0"/>
          <c:showPercent val="0"/>
          <c:showBubbleSize val="0"/>
        </c:dLbls>
        <c:axId val="331791744"/>
        <c:axId val="331790208"/>
      </c:scatterChart>
      <c:valAx>
        <c:axId val="331786112"/>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31788288"/>
        <c:crosses val="autoZero"/>
        <c:crossBetween val="midCat"/>
      </c:valAx>
      <c:valAx>
        <c:axId val="331788288"/>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31786112"/>
        <c:crosses val="autoZero"/>
        <c:crossBetween val="midCat"/>
        <c:majorUnit val="20"/>
        <c:minorUnit val="10"/>
      </c:valAx>
      <c:valAx>
        <c:axId val="331790208"/>
        <c:scaling>
          <c:orientation val="minMax"/>
          <c:max val="180"/>
          <c:min val="-180"/>
        </c:scaling>
        <c:delete val="0"/>
        <c:axPos val="r"/>
        <c:numFmt formatCode="General" sourceLinked="1"/>
        <c:majorTickMark val="out"/>
        <c:minorTickMark val="none"/>
        <c:tickLblPos val="nextTo"/>
        <c:crossAx val="331791744"/>
        <c:crosses val="max"/>
        <c:crossBetween val="midCat"/>
        <c:majorUnit val="90"/>
        <c:minorUnit val="45"/>
      </c:valAx>
      <c:valAx>
        <c:axId val="331791744"/>
        <c:scaling>
          <c:logBase val="10"/>
          <c:orientation val="minMax"/>
        </c:scaling>
        <c:delete val="1"/>
        <c:axPos val="b"/>
        <c:numFmt formatCode="0.00" sourceLinked="1"/>
        <c:majorTickMark val="out"/>
        <c:minorTickMark val="none"/>
        <c:tickLblPos val="nextTo"/>
        <c:crossAx val="331790208"/>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Eff_vs_IOUT!$BZ$7:$BZ$157</c:f>
              <c:numCache>
                <c:formatCode>General</c:formatCode>
                <c:ptCount val="151"/>
                <c:pt idx="0">
                  <c:v>0</c:v>
                </c:pt>
                <c:pt idx="1">
                  <c:v>78.462764772552731</c:v>
                </c:pt>
                <c:pt idx="2">
                  <c:v>85.564317509840961</c:v>
                </c:pt>
                <c:pt idx="3">
                  <c:v>88.156898650888152</c:v>
                </c:pt>
                <c:pt idx="4">
                  <c:v>89.459874665785208</c:v>
                </c:pt>
                <c:pt idx="5">
                  <c:v>90.21976604612189</c:v>
                </c:pt>
                <c:pt idx="6">
                  <c:v>90.701656300592546</c:v>
                </c:pt>
                <c:pt idx="7">
                  <c:v>91.023163178559727</c:v>
                </c:pt>
                <c:pt idx="8">
                  <c:v>91.24432563759926</c:v>
                </c:pt>
                <c:pt idx="9">
                  <c:v>91.398917002639948</c:v>
                </c:pt>
                <c:pt idx="10">
                  <c:v>91.507344238123778</c:v>
                </c:pt>
                <c:pt idx="11">
                  <c:v>91.582634518740747</c:v>
                </c:pt>
                <c:pt idx="12">
                  <c:v>91.63347432974119</c:v>
                </c:pt>
                <c:pt idx="13">
                  <c:v>91.665864440172228</c:v>
                </c:pt>
                <c:pt idx="14">
                  <c:v>91.68407354905267</c:v>
                </c:pt>
                <c:pt idx="15">
                  <c:v>91.691214001392112</c:v>
                </c:pt>
                <c:pt idx="16">
                  <c:v>91.689603192476525</c:v>
                </c:pt>
                <c:pt idx="17">
                  <c:v>91.680998108920321</c:v>
                </c:pt>
                <c:pt idx="18">
                  <c:v>91.666751964035626</c:v>
                </c:pt>
                <c:pt idx="19">
                  <c:v>91.647921448470711</c:v>
                </c:pt>
                <c:pt idx="20">
                  <c:v>91.625341794908323</c:v>
                </c:pt>
                <c:pt idx="21">
                  <c:v>91.599680346551594</c:v>
                </c:pt>
                <c:pt idx="22">
                  <c:v>91.571475453470313</c:v>
                </c:pt>
                <c:pt idx="23">
                  <c:v>91.541165158063194</c:v>
                </c:pt>
                <c:pt idx="24">
                  <c:v>91.509108649076524</c:v>
                </c:pt>
                <c:pt idx="25">
                  <c:v>91.475602512629308</c:v>
                </c:pt>
                <c:pt idx="26">
                  <c:v>91.440893185526065</c:v>
                </c:pt>
                <c:pt idx="27">
                  <c:v>91.405186599986578</c:v>
                </c:pt>
                <c:pt idx="28">
                  <c:v>91.368655726184329</c:v>
                </c:pt>
                <c:pt idx="29">
                  <c:v>91.331446523829186</c:v>
                </c:pt>
                <c:pt idx="30">
                  <c:v>91.293682677358973</c:v>
                </c:pt>
                <c:pt idx="31">
                  <c:v>91.255469392298053</c:v>
                </c:pt>
                <c:pt idx="32">
                  <c:v>91.216896460632427</c:v>
                </c:pt>
                <c:pt idx="33">
                  <c:v>91.178040752375694</c:v>
                </c:pt>
                <c:pt idx="34">
                  <c:v>91.138968253268231</c:v>
                </c:pt>
                <c:pt idx="35">
                  <c:v>91.099735740919513</c:v>
                </c:pt>
                <c:pt idx="36">
                  <c:v>91.06039217100664</c:v>
                </c:pt>
                <c:pt idx="37">
                  <c:v>91.020979829499495</c:v>
                </c:pt>
                <c:pt idx="38">
                  <c:v>90.981535294967472</c:v>
                </c:pt>
                <c:pt idx="39">
                  <c:v>90.942090245872379</c:v>
                </c:pt>
                <c:pt idx="40">
                  <c:v>90.902672140675037</c:v>
                </c:pt>
                <c:pt idx="41">
                  <c:v>90.8633047930728</c:v>
                </c:pt>
                <c:pt idx="42">
                  <c:v>90.824008860364842</c:v>
                </c:pt>
                <c:pt idx="43">
                  <c:v>90.784802259535638</c:v>
                </c:pt>
                <c:pt idx="44">
                  <c:v>90.745700522943864</c:v>
                </c:pt>
                <c:pt idx="45">
                  <c:v>90.706717103348893</c:v>
                </c:pt>
                <c:pt idx="46">
                  <c:v>90.667863636277076</c:v>
                </c:pt>
                <c:pt idx="47">
                  <c:v>90.629150166337652</c:v>
                </c:pt>
                <c:pt idx="48">
                  <c:v>90.590585342969092</c:v>
                </c:pt>
                <c:pt idx="49">
                  <c:v>90.552176590179329</c:v>
                </c:pt>
                <c:pt idx="50">
                  <c:v>90.513930254092401</c:v>
                </c:pt>
                <c:pt idx="51">
                  <c:v>90.475851731499873</c:v>
                </c:pt>
                <c:pt idx="52">
                  <c:v>90.437945582107645</c:v>
                </c:pt>
                <c:pt idx="53">
                  <c:v>90.400215626749898</c:v>
                </c:pt>
                <c:pt idx="54">
                  <c:v>90.362665033494082</c:v>
                </c:pt>
                <c:pt idx="55">
                  <c:v>90.325296393271188</c:v>
                </c:pt>
                <c:pt idx="56">
                  <c:v>90.288111786423656</c:v>
                </c:pt>
                <c:pt idx="57">
                  <c:v>90.251112841359586</c:v>
                </c:pt>
                <c:pt idx="58">
                  <c:v>90.214300786332529</c:v>
                </c:pt>
                <c:pt idx="59">
                  <c:v>90.177676495220837</c:v>
                </c:pt>
                <c:pt idx="60">
                  <c:v>90.141240528059953</c:v>
                </c:pt>
                <c:pt idx="61">
                  <c:v>90.104993166976641</c:v>
                </c:pt>
                <c:pt idx="62">
                  <c:v>90.068934448087717</c:v>
                </c:pt>
                <c:pt idx="63">
                  <c:v>90.03306418984937</c:v>
                </c:pt>
                <c:pt idx="64">
                  <c:v>89.997382018280234</c:v>
                </c:pt>
                <c:pt idx="65">
                  <c:v>89.961887389426479</c:v>
                </c:pt>
                <c:pt idx="66">
                  <c:v>89.926579609389208</c:v>
                </c:pt>
                <c:pt idx="67">
                  <c:v>89.891457852195046</c:v>
                </c:pt>
                <c:pt idx="68">
                  <c:v>89.85652117575485</c:v>
                </c:pt>
                <c:pt idx="69">
                  <c:v>89.821768536126044</c:v>
                </c:pt>
                <c:pt idx="70">
                  <c:v>89.787198800267049</c:v>
                </c:pt>
                <c:pt idx="71">
                  <c:v>89.752810757450504</c:v>
                </c:pt>
                <c:pt idx="72">
                  <c:v>89.718603129481281</c:v>
                </c:pt>
                <c:pt idx="73">
                  <c:v>89.684574579848743</c:v>
                </c:pt>
                <c:pt idx="74">
                  <c:v>89.65072372192742</c:v>
                </c:pt>
                <c:pt idx="75">
                  <c:v>89.617049126327075</c:v>
                </c:pt>
                <c:pt idx="76">
                  <c:v>89.583549327481876</c:v>
                </c:pt>
                <c:pt idx="77">
                  <c:v>89.550222829557981</c:v>
                </c:pt>
                <c:pt idx="78">
                  <c:v>89.517068111750177</c:v>
                </c:pt>
                <c:pt idx="79">
                  <c:v>89.484083633030693</c:v>
                </c:pt>
                <c:pt idx="80">
                  <c:v>89.451267836405705</c:v>
                </c:pt>
                <c:pt idx="81">
                  <c:v>89.418619152729775</c:v>
                </c:pt>
                <c:pt idx="82">
                  <c:v>89.386136004122676</c:v>
                </c:pt>
                <c:pt idx="83">
                  <c:v>89.35381680702838</c:v>
                </c:pt>
                <c:pt idx="84">
                  <c:v>89.321659974951828</c:v>
                </c:pt>
                <c:pt idx="85">
                  <c:v>89.289663920905554</c:v>
                </c:pt>
                <c:pt idx="86">
                  <c:v>89.257827059594675</c:v>
                </c:pt>
                <c:pt idx="87">
                  <c:v>89.226147809365614</c:v>
                </c:pt>
                <c:pt idx="88">
                  <c:v>89.194624593942237</c:v>
                </c:pt>
                <c:pt idx="89">
                  <c:v>89.163255843969552</c:v>
                </c:pt>
                <c:pt idx="90">
                  <c:v>89.132039998383874</c:v>
                </c:pt>
                <c:pt idx="91">
                  <c:v>89.100975505626238</c:v>
                </c:pt>
                <c:pt idx="92">
                  <c:v>89.070060824714076</c:v>
                </c:pt>
                <c:pt idx="93">
                  <c:v>89.039294426184796</c:v>
                </c:pt>
                <c:pt idx="94">
                  <c:v>89.008674792923927</c:v>
                </c:pt>
                <c:pt idx="95">
                  <c:v>88.978200420888228</c:v>
                </c:pt>
                <c:pt idx="96">
                  <c:v>88.947869819734464</c:v>
                </c:pt>
                <c:pt idx="97">
                  <c:v>88.917681513362751</c:v>
                </c:pt>
                <c:pt idx="98">
                  <c:v>88.887634040382366</c:v>
                </c:pt>
                <c:pt idx="99">
                  <c:v>88.857725954507998</c:v>
                </c:pt>
                <c:pt idx="100">
                  <c:v>88.827955824892555</c:v>
                </c:pt>
                <c:pt idx="101">
                  <c:v>88.79832223640328</c:v>
                </c:pt>
                <c:pt idx="102">
                  <c:v>88.768823789846167</c:v>
                </c:pt>
                <c:pt idx="103">
                  <c:v>88.739459102143954</c:v>
                </c:pt>
                <c:pt idx="104">
                  <c:v>88.710226806472278</c:v>
                </c:pt>
                <c:pt idx="105">
                  <c:v>88.681125552357969</c:v>
                </c:pt>
                <c:pt idx="106">
                  <c:v>88.652154005743299</c:v>
                </c:pt>
                <c:pt idx="107">
                  <c:v>88.623310849019688</c:v>
                </c:pt>
                <c:pt idx="108">
                  <c:v>88.594594781033791</c:v>
                </c:pt>
                <c:pt idx="109">
                  <c:v>88.566004517068905</c:v>
                </c:pt>
                <c:pt idx="110">
                  <c:v>88.537538788804284</c:v>
                </c:pt>
                <c:pt idx="111">
                  <c:v>88.509196344254477</c:v>
                </c:pt>
                <c:pt idx="112">
                  <c:v>88.480975947691064</c:v>
                </c:pt>
                <c:pt idx="113">
                  <c:v>88.452876379548556</c:v>
                </c:pt>
                <c:pt idx="114">
                  <c:v>88.424896436316246</c:v>
                </c:pt>
                <c:pt idx="115">
                  <c:v>88.397034930417604</c:v>
                </c:pt>
                <c:pt idx="116">
                  <c:v>88.369290690078628</c:v>
                </c:pt>
                <c:pt idx="117">
                  <c:v>88.34166255918656</c:v>
                </c:pt>
                <c:pt idx="118">
                  <c:v>88.314149397140042</c:v>
                </c:pt>
                <c:pt idx="119">
                  <c:v>88.286750078691881</c:v>
                </c:pt>
                <c:pt idx="120">
                  <c:v>88.259463493785333</c:v>
                </c:pt>
                <c:pt idx="121">
                  <c:v>88.232288547385039</c:v>
                </c:pt>
                <c:pt idx="122">
                  <c:v>88.205224159302915</c:v>
                </c:pt>
                <c:pt idx="123">
                  <c:v>88.178269264020457</c:v>
                </c:pt>
                <c:pt idx="124">
                  <c:v>88.151422810507356</c:v>
                </c:pt>
                <c:pt idx="125">
                  <c:v>88.124683762037762</c:v>
                </c:pt>
                <c:pt idx="126">
                  <c:v>88.098051096004184</c:v>
                </c:pt>
                <c:pt idx="127">
                  <c:v>88.071523803729789</c:v>
                </c:pt>
                <c:pt idx="128">
                  <c:v>88.045100890279642</c:v>
                </c:pt>
                <c:pt idx="129">
                  <c:v>88.018781374270958</c:v>
                </c:pt>
                <c:pt idx="130">
                  <c:v>87.992564287683081</c:v>
                </c:pt>
                <c:pt idx="131">
                  <c:v>87.966448675667394</c:v>
                </c:pt>
                <c:pt idx="132">
                  <c:v>87.94043359635738</c:v>
                </c:pt>
                <c:pt idx="133">
                  <c:v>87.914518120679276</c:v>
                </c:pt>
                <c:pt idx="134">
                  <c:v>87.888701332163279</c:v>
                </c:pt>
                <c:pt idx="135">
                  <c:v>87.862982326755969</c:v>
                </c:pt>
                <c:pt idx="136">
                  <c:v>87.837360212633698</c:v>
                </c:pt>
                <c:pt idx="137">
                  <c:v>87.811834110017301</c:v>
                </c:pt>
                <c:pt idx="138">
                  <c:v>87.78640315098842</c:v>
                </c:pt>
                <c:pt idx="139">
                  <c:v>87.761066479307274</c:v>
                </c:pt>
                <c:pt idx="140">
                  <c:v>87.735823250232315</c:v>
                </c:pt>
                <c:pt idx="141">
                  <c:v>87.710672630341591</c:v>
                </c:pt>
                <c:pt idx="142">
                  <c:v>87.685613797356183</c:v>
                </c:pt>
                <c:pt idx="143">
                  <c:v>87.660645939965505</c:v>
                </c:pt>
                <c:pt idx="144">
                  <c:v>87.63576825765486</c:v>
                </c:pt>
                <c:pt idx="145">
                  <c:v>87.610979960534891</c:v>
                </c:pt>
                <c:pt idx="146">
                  <c:v>87.586280269173528</c:v>
                </c:pt>
                <c:pt idx="147">
                  <c:v>87.561668414429931</c:v>
                </c:pt>
                <c:pt idx="148">
                  <c:v>87.537143637290811</c:v>
                </c:pt>
                <c:pt idx="149">
                  <c:v>87.512705188709063</c:v>
                </c:pt>
                <c:pt idx="150">
                  <c:v>87.488352329444609</c:v>
                </c:pt>
              </c:numCache>
            </c:numRef>
          </c:yVal>
          <c:smooth val="0"/>
          <c:extLst>
            <c:ext xmlns:c16="http://schemas.microsoft.com/office/drawing/2014/chart" uri="{C3380CC4-5D6E-409C-BE32-E72D297353CC}">
              <c16:uniqueId val="{00000000-2D92-4CB2-A641-52AD34A639BE}"/>
            </c:ext>
          </c:extLst>
        </c:ser>
        <c:dLbls>
          <c:showLegendKey val="0"/>
          <c:showVal val="0"/>
          <c:showCatName val="0"/>
          <c:showSerName val="0"/>
          <c:showPercent val="0"/>
          <c:showBubbleSize val="0"/>
        </c:dLbls>
        <c:axId val="586594176"/>
        <c:axId val="586595712"/>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Eff_vs_IOUT!$AJ$7:$AJ$157</c:f>
              <c:numCache>
                <c:formatCode>General</c:formatCode>
                <c:ptCount val="151"/>
                <c:pt idx="0">
                  <c:v>0</c:v>
                </c:pt>
                <c:pt idx="1">
                  <c:v>9.0884607686750557E-4</c:v>
                </c:pt>
                <c:pt idx="2">
                  <c:v>1.3180964385655013E-3</c:v>
                </c:pt>
                <c:pt idx="3">
                  <c:v>1.6544961248710637E-3</c:v>
                </c:pt>
                <c:pt idx="4">
                  <c:v>1.956825272334998E-3</c:v>
                </c:pt>
                <c:pt idx="5">
                  <c:v>2.2396490163671488E-3</c:v>
                </c:pt>
                <c:pt idx="6">
                  <c:v>2.5102134321324399E-3</c:v>
                </c:pt>
                <c:pt idx="7">
                  <c:v>2.7726923303765332E-3</c:v>
                </c:pt>
                <c:pt idx="8">
                  <c:v>3.0297207637297345E-3</c:v>
                </c:pt>
                <c:pt idx="9">
                  <c:v>3.2830707050024652E-3</c:v>
                </c:pt>
                <c:pt idx="10">
                  <c:v>3.5339899745172312E-3</c:v>
                </c:pt>
                <c:pt idx="11">
                  <c:v>3.7833886796696434E-3</c:v>
                </c:pt>
                <c:pt idx="12">
                  <c:v>4.0319491410341791E-3</c:v>
                </c:pt>
                <c:pt idx="13">
                  <c:v>4.2801943181050087E-3</c:v>
                </c:pt>
                <c:pt idx="14">
                  <c:v>4.5285323023533152E-3</c:v>
                </c:pt>
                <c:pt idx="15">
                  <c:v>4.7772863062089804E-3</c:v>
                </c:pt>
                <c:pt idx="16">
                  <c:v>5.026715493469891E-3</c:v>
                </c:pt>
                <c:pt idx="17">
                  <c:v>5.2770298230445153E-3</c:v>
                </c:pt>
                <c:pt idx="18">
                  <c:v>5.5284008620914305E-3</c:v>
                </c:pt>
                <c:pt idx="19">
                  <c:v>5.780969815329863E-3</c:v>
                </c:pt>
                <c:pt idx="20">
                  <c:v>6.0348535882898532E-3</c:v>
                </c:pt>
                <c:pt idx="21">
                  <c:v>6.2901494345080269E-3</c:v>
                </c:pt>
                <c:pt idx="22">
                  <c:v>6.5469385648747082E-3</c:v>
                </c:pt>
                <c:pt idx="23">
                  <c:v>6.805288984381902E-3</c:v>
                </c:pt>
                <c:pt idx="24">
                  <c:v>7.0652577456175002E-3</c:v>
                </c:pt>
                <c:pt idx="25">
                  <c:v>7.3268927563372669E-3</c:v>
                </c:pt>
                <c:pt idx="26">
                  <c:v>7.5902342421677958E-3</c:v>
                </c:pt>
                <c:pt idx="27">
                  <c:v>7.8553159397813967E-3</c:v>
                </c:pt>
                <c:pt idx="28">
                  <c:v>8.1221660773920113E-3</c:v>
                </c:pt>
                <c:pt idx="29">
                  <c:v>8.3908081859429169E-3</c:v>
                </c:pt>
                <c:pt idx="30">
                  <c:v>8.6612617744113683E-3</c:v>
                </c:pt>
                <c:pt idx="31">
                  <c:v>8.9335428952328245E-3</c:v>
                </c:pt>
                <c:pt idx="32">
                  <c:v>9.2076646202493215E-3</c:v>
                </c:pt>
                <c:pt idx="33">
                  <c:v>9.4836374433234644E-3</c:v>
                </c:pt>
                <c:pt idx="34">
                  <c:v>9.7614696224831137E-3</c:v>
                </c:pt>
                <c:pt idx="35">
                  <c:v>1.0041167471922824E-2</c:v>
                </c:pt>
                <c:pt idx="36">
                  <c:v>1.0322735612204578E-2</c:v>
                </c:pt>
                <c:pt idx="37">
                  <c:v>1.0606177185439433E-2</c:v>
                </c:pt>
                <c:pt idx="38">
                  <c:v>1.0891494040994903E-2</c:v>
                </c:pt>
                <c:pt idx="39">
                  <c:v>1.1178686896286165E-2</c:v>
                </c:pt>
                <c:pt idx="40">
                  <c:v>1.1467755476417424E-2</c:v>
                </c:pt>
                <c:pt idx="41">
                  <c:v>1.1758698635800723E-2</c:v>
                </c:pt>
                <c:pt idx="42">
                  <c:v>1.2051514464360407E-2</c:v>
                </c:pt>
                <c:pt idx="43">
                  <c:v>1.2346200380508553E-2</c:v>
                </c:pt>
                <c:pt idx="44">
                  <c:v>1.2642753212729209E-2</c:v>
                </c:pt>
                <c:pt idx="45">
                  <c:v>1.2941169271323671E-2</c:v>
                </c:pt>
                <c:pt idx="46">
                  <c:v>1.3241444411632374E-2</c:v>
                </c:pt>
                <c:pt idx="47">
                  <c:v>1.3543574089852264E-2</c:v>
                </c:pt>
                <c:pt idx="48">
                  <c:v>1.3847553412404769E-2</c:v>
                </c:pt>
                <c:pt idx="49">
                  <c:v>1.415337717967181E-2</c:v>
                </c:pt>
                <c:pt idx="50">
                  <c:v>1.4461039924802143E-2</c:v>
                </c:pt>
                <c:pt idx="51">
                  <c:v>1.4770535948192672E-2</c:v>
                </c:pt>
                <c:pt idx="52">
                  <c:v>1.5081859348167064E-2</c:v>
                </c:pt>
                <c:pt idx="53">
                  <c:v>1.5395004048304035E-2</c:v>
                </c:pt>
                <c:pt idx="54">
                  <c:v>1.5709963821807799E-2</c:v>
                </c:pt>
                <c:pt idx="55">
                  <c:v>1.6026732313262744E-2</c:v>
                </c:pt>
                <c:pt idx="56">
                  <c:v>1.6345303058070134E-2</c:v>
                </c:pt>
                <c:pt idx="57">
                  <c:v>1.6665669499827736E-2</c:v>
                </c:pt>
                <c:pt idx="58">
                  <c:v>1.6987825005880634E-2</c:v>
                </c:pt>
                <c:pt idx="59">
                  <c:v>1.7311762881243798E-2</c:v>
                </c:pt>
                <c:pt idx="60">
                  <c:v>1.7637476381072721E-2</c:v>
                </c:pt>
                <c:pt idx="61">
                  <c:v>1.7964958721837773E-2</c:v>
                </c:pt>
                <c:pt idx="62">
                  <c:v>1.8294203091339334E-2</c:v>
                </c:pt>
                <c:pt idx="63">
                  <c:v>1.8625202657685379E-2</c:v>
                </c:pt>
                <c:pt idx="64">
                  <c:v>1.8957950577338949E-2</c:v>
                </c:pt>
                <c:pt idx="65">
                  <c:v>1.9292440002331098E-2</c:v>
                </c:pt>
                <c:pt idx="66">
                  <c:v>1.9628664086724201E-2</c:v>
                </c:pt>
                <c:pt idx="67">
                  <c:v>1.9966615992401113E-2</c:v>
                </c:pt>
                <c:pt idx="68">
                  <c:v>2.030628889424773E-2</c:v>
                </c:pt>
                <c:pt idx="69">
                  <c:v>2.0647675984788866E-2</c:v>
                </c:pt>
                <c:pt idx="70">
                  <c:v>2.099077047833146E-2</c:v>
                </c:pt>
                <c:pt idx="71">
                  <c:v>2.1335565614663019E-2</c:v>
                </c:pt>
                <c:pt idx="72">
                  <c:v>2.1682054662348616E-2</c:v>
                </c:pt>
                <c:pt idx="73">
                  <c:v>2.2030230921665072E-2</c:v>
                </c:pt>
                <c:pt idx="74">
                  <c:v>2.2380087727207038E-2</c:v>
                </c:pt>
                <c:pt idx="75">
                  <c:v>2.2731618450196341E-2</c:v>
                </c:pt>
                <c:pt idx="76">
                  <c:v>2.3084816500522777E-2</c:v>
                </c:pt>
                <c:pt idx="77">
                  <c:v>2.3439675328541479E-2</c:v>
                </c:pt>
                <c:pt idx="78">
                  <c:v>2.3796188426650149E-2</c:v>
                </c:pt>
                <c:pt idx="79">
                  <c:v>2.4154349330666389E-2</c:v>
                </c:pt>
                <c:pt idx="80">
                  <c:v>2.4514151621024147E-2</c:v>
                </c:pt>
                <c:pt idx="81">
                  <c:v>2.4875588923805987E-2</c:v>
                </c:pt>
                <c:pt idx="82">
                  <c:v>2.5238654911626447E-2</c:v>
                </c:pt>
                <c:pt idx="83">
                  <c:v>2.5603343304380573E-2</c:v>
                </c:pt>
                <c:pt idx="84">
                  <c:v>2.5969647869869935E-2</c:v>
                </c:pt>
                <c:pt idx="85">
                  <c:v>2.6337562424317562E-2</c:v>
                </c:pt>
                <c:pt idx="86">
                  <c:v>2.6707080832782379E-2</c:v>
                </c:pt>
                <c:pt idx="87">
                  <c:v>2.7078197009482226E-2</c:v>
                </c:pt>
                <c:pt idx="88">
                  <c:v>2.7450904918034154E-2</c:v>
                </c:pt>
                <c:pt idx="89">
                  <c:v>2.7825198571619945E-2</c:v>
                </c:pt>
                <c:pt idx="90">
                  <c:v>2.8201072033083543E-2</c:v>
                </c:pt>
                <c:pt idx="91">
                  <c:v>2.8578519414967231E-2</c:v>
                </c:pt>
                <c:pt idx="92">
                  <c:v>2.8957534879492174E-2</c:v>
                </c:pt>
                <c:pt idx="93">
                  <c:v>2.9338112638488789E-2</c:v>
                </c:pt>
                <c:pt idx="94">
                  <c:v>2.9720246953281817E-2</c:v>
                </c:pt>
                <c:pt idx="95">
                  <c:v>3.0103932134534481E-2</c:v>
                </c:pt>
                <c:pt idx="96">
                  <c:v>3.0489162542055963E-2</c:v>
                </c:pt>
                <c:pt idx="97">
                  <c:v>3.0875932584575584E-2</c:v>
                </c:pt>
                <c:pt idx="98">
                  <c:v>3.1264236719487484E-2</c:v>
                </c:pt>
                <c:pt idx="99">
                  <c:v>3.1654069452568608E-2</c:v>
                </c:pt>
                <c:pt idx="100">
                  <c:v>3.2045425337672906E-2</c:v>
                </c:pt>
                <c:pt idx="101">
                  <c:v>3.2438298976404281E-2</c:v>
                </c:pt>
                <c:pt idx="102">
                  <c:v>3.2832685017770841E-2</c:v>
                </c:pt>
                <c:pt idx="103">
                  <c:v>3.3228578157822292E-2</c:v>
                </c:pt>
                <c:pt idx="104">
                  <c:v>3.3625973139272763E-2</c:v>
                </c:pt>
                <c:pt idx="105">
                  <c:v>3.4024864751110578E-2</c:v>
                </c:pt>
                <c:pt idx="106">
                  <c:v>3.4425247828196906E-2</c:v>
                </c:pt>
                <c:pt idx="107">
                  <c:v>3.4827117250854502E-2</c:v>
                </c:pt>
                <c:pt idx="108">
                  <c:v>3.5230467944448181E-2</c:v>
                </c:pt>
                <c:pt idx="109">
                  <c:v>3.563529487895805E-2</c:v>
                </c:pt>
                <c:pt idx="110">
                  <c:v>3.6041593068546859E-2</c:v>
                </c:pt>
                <c:pt idx="111">
                  <c:v>3.6449357571122346E-2</c:v>
                </c:pt>
                <c:pt idx="112">
                  <c:v>3.6858583487895578E-2</c:v>
                </c:pt>
                <c:pt idx="113">
                  <c:v>3.7269265962936227E-2</c:v>
                </c:pt>
                <c:pt idx="114">
                  <c:v>3.7681400182725547E-2</c:v>
                </c:pt>
                <c:pt idx="115">
                  <c:v>3.8094981375707632E-2</c:v>
                </c:pt>
                <c:pt idx="116">
                  <c:v>3.8510004811839936E-2</c:v>
                </c:pt>
                <c:pt idx="117">
                  <c:v>3.892646580214322E-2</c:v>
                </c:pt>
                <c:pt idx="118">
                  <c:v>3.9344359698251979E-2</c:v>
                </c:pt>
                <c:pt idx="119">
                  <c:v>3.9763681891965288E-2</c:v>
                </c:pt>
                <c:pt idx="120">
                  <c:v>4.0184427814799063E-2</c:v>
                </c:pt>
                <c:pt idx="121">
                  <c:v>4.0606592937539689E-2</c:v>
                </c:pt>
                <c:pt idx="122">
                  <c:v>4.1030172769799665E-2</c:v>
                </c:pt>
                <c:pt idx="123">
                  <c:v>4.1455162859575553E-2</c:v>
                </c:pt>
                <c:pt idx="124">
                  <c:v>4.188155879280836E-2</c:v>
                </c:pt>
                <c:pt idx="125">
                  <c:v>4.2309356192946859E-2</c:v>
                </c:pt>
                <c:pt idx="126">
                  <c:v>4.2738550720513954E-2</c:v>
                </c:pt>
                <c:pt idx="127">
                  <c:v>4.3169138072676319E-2</c:v>
                </c:pt>
                <c:pt idx="128">
                  <c:v>4.3601113982817477E-2</c:v>
                </c:pt>
                <c:pt idx="129">
                  <c:v>4.4034474220114674E-2</c:v>
                </c:pt>
                <c:pt idx="130">
                  <c:v>4.4469214589119316E-2</c:v>
                </c:pt>
                <c:pt idx="131">
                  <c:v>4.4905330929341708E-2</c:v>
                </c:pt>
                <c:pt idx="132">
                  <c:v>4.5342819114839339E-2</c:v>
                </c:pt>
                <c:pt idx="133">
                  <c:v>4.5781675053809805E-2</c:v>
                </c:pt>
                <c:pt idx="134">
                  <c:v>4.6221894688187729E-2</c:v>
                </c:pt>
                <c:pt idx="135">
                  <c:v>4.6663473993245989E-2</c:v>
                </c:pt>
                <c:pt idx="136">
                  <c:v>4.7106408977201447E-2</c:v>
                </c:pt>
                <c:pt idx="137">
                  <c:v>4.7550695680824935E-2</c:v>
                </c:pt>
                <c:pt idx="138">
                  <c:v>4.7996330177055957E-2</c:v>
                </c:pt>
                <c:pt idx="139">
                  <c:v>4.844330857062154E-2</c:v>
                </c:pt>
                <c:pt idx="140">
                  <c:v>4.8891626997660066E-2</c:v>
                </c:pt>
                <c:pt idx="141">
                  <c:v>4.9341281625349259E-2</c:v>
                </c:pt>
                <c:pt idx="142">
                  <c:v>4.9792268651538803E-2</c:v>
                </c:pt>
                <c:pt idx="143">
                  <c:v>5.0244584304387788E-2</c:v>
                </c:pt>
                <c:pt idx="144">
                  <c:v>5.0698224842006333E-2</c:v>
                </c:pt>
                <c:pt idx="145">
                  <c:v>5.1153186552102027E-2</c:v>
                </c:pt>
                <c:pt idx="146">
                  <c:v>5.1609465751630834E-2</c:v>
                </c:pt>
                <c:pt idx="147">
                  <c:v>5.2067058786452312E-2</c:v>
                </c:pt>
                <c:pt idx="148">
                  <c:v>5.2525962030989817E-2</c:v>
                </c:pt>
                <c:pt idx="149">
                  <c:v>5.2986171887894548E-2</c:v>
                </c:pt>
                <c:pt idx="150">
                  <c:v>5.3447684787714597E-2</c:v>
                </c:pt>
              </c:numCache>
            </c:numRef>
          </c:yVal>
          <c:smooth val="1"/>
          <c:extLst>
            <c:ext xmlns:c16="http://schemas.microsoft.com/office/drawing/2014/chart" uri="{C3380CC4-5D6E-409C-BE32-E72D297353CC}">
              <c16:uniqueId val="{00000001-2D92-4CB2-A641-52AD34A639BE}"/>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Eff_vs_IOUT!$BU$7:$BU$157</c:f>
              <c:numCache>
                <c:formatCode>General</c:formatCode>
                <c:ptCount val="151"/>
                <c:pt idx="0">
                  <c:v>0</c:v>
                </c:pt>
                <c:pt idx="1">
                  <c:v>1.3250773199998752E-6</c:v>
                </c:pt>
                <c:pt idx="2">
                  <c:v>3.7478846342736349E-6</c:v>
                </c:pt>
                <c:pt idx="3">
                  <c:v>6.885303726590964E-6</c:v>
                </c:pt>
                <c:pt idx="4">
                  <c:v>1.0600618559999005E-5</c:v>
                </c:pt>
                <c:pt idx="5">
                  <c:v>1.4814814814814812E-5</c:v>
                </c:pt>
                <c:pt idx="6">
                  <c:v>1.9474579822405906E-5</c:v>
                </c:pt>
                <c:pt idx="7">
                  <c:v>2.4540775396561373E-5</c:v>
                </c:pt>
                <c:pt idx="8">
                  <c:v>2.998307707418908E-5</c:v>
                </c:pt>
                <c:pt idx="9">
                  <c:v>3.5777087639996639E-5</c:v>
                </c:pt>
                <c:pt idx="10">
                  <c:v>4.1902624070313919E-5</c:v>
                </c:pt>
                <c:pt idx="11">
                  <c:v>4.8342627175142101E-5</c:v>
                </c:pt>
                <c:pt idx="12">
                  <c:v>5.5082429812727726E-5</c:v>
                </c:pt>
                <c:pt idx="13">
                  <c:v>6.2109244875781407E-5</c:v>
                </c:pt>
                <c:pt idx="14">
                  <c:v>6.9411794793938146E-5</c:v>
                </c:pt>
                <c:pt idx="15">
                  <c:v>7.6980035891950082E-5</c:v>
                </c:pt>
                <c:pt idx="16">
                  <c:v>8.4804948479992012E-5</c:v>
                </c:pt>
                <c:pt idx="17">
                  <c:v>9.2878373791987611E-5</c:v>
                </c:pt>
                <c:pt idx="18">
                  <c:v>1.0119288512538813E-4</c:v>
                </c:pt>
                <c:pt idx="19">
                  <c:v>1.0974168447488616E-4</c:v>
                </c:pt>
                <c:pt idx="20">
                  <c:v>1.1851851851851848E-4</c:v>
                </c:pt>
                <c:pt idx="21">
                  <c:v>1.2751760953194166E-4</c:v>
                </c:pt>
                <c:pt idx="22">
                  <c:v>1.3673359798366423E-4</c:v>
                </c:pt>
                <c:pt idx="23">
                  <c:v>1.461614943878892E-4</c:v>
                </c:pt>
                <c:pt idx="24">
                  <c:v>1.5579663857924724E-4</c:v>
                </c:pt>
                <c:pt idx="25">
                  <c:v>1.6563466499998442E-4</c:v>
                </c:pt>
                <c:pt idx="26">
                  <c:v>1.7567147290416349E-4</c:v>
                </c:pt>
                <c:pt idx="27">
                  <c:v>1.8590320061795602E-4</c:v>
                </c:pt>
                <c:pt idx="28">
                  <c:v>1.9632620317249099E-4</c:v>
                </c:pt>
                <c:pt idx="29">
                  <c:v>2.0693703276146769E-4</c:v>
                </c:pt>
                <c:pt idx="30">
                  <c:v>2.1773242158072689E-4</c:v>
                </c:pt>
                <c:pt idx="31">
                  <c:v>2.2870926668897823E-4</c:v>
                </c:pt>
                <c:pt idx="32">
                  <c:v>2.3986461659351264E-4</c:v>
                </c:pt>
                <c:pt idx="33">
                  <c:v>2.5119565931611815E-4</c:v>
                </c:pt>
                <c:pt idx="34">
                  <c:v>2.626997117355735E-4</c:v>
                </c:pt>
                <c:pt idx="35">
                  <c:v>2.7437421003632777E-4</c:v>
                </c:pt>
                <c:pt idx="36">
                  <c:v>2.8621670111997311E-4</c:v>
                </c:pt>
                <c:pt idx="37">
                  <c:v>2.9822483485819932E-4</c:v>
                </c:pt>
                <c:pt idx="38">
                  <c:v>3.1039635708410572E-4</c:v>
                </c:pt>
                <c:pt idx="39">
                  <c:v>3.227291032337712E-4</c:v>
                </c:pt>
                <c:pt idx="40">
                  <c:v>3.3522099256251135E-4</c:v>
                </c:pt>
                <c:pt idx="41">
                  <c:v>3.4787002287071445E-4</c:v>
                </c:pt>
                <c:pt idx="42">
                  <c:v>3.6067426568293719E-4</c:v>
                </c:pt>
                <c:pt idx="43">
                  <c:v>3.736318618313794E-4</c:v>
                </c:pt>
                <c:pt idx="44">
                  <c:v>3.8674101740113686E-4</c:v>
                </c:pt>
                <c:pt idx="45">
                  <c:v>4.0000000000000002E-4</c:v>
                </c:pt>
                <c:pt idx="46">
                  <c:v>4.13407135320144E-4</c:v>
                </c:pt>
                <c:pt idx="47">
                  <c:v>4.2696080396297892E-4</c:v>
                </c:pt>
                <c:pt idx="48">
                  <c:v>4.406594385018217E-4</c:v>
                </c:pt>
                <c:pt idx="49">
                  <c:v>4.5450152075995735E-4</c:v>
                </c:pt>
                <c:pt idx="50">
                  <c:v>4.6848557928420447E-4</c:v>
                </c:pt>
                <c:pt idx="51">
                  <c:v>4.8261018699628875E-4</c:v>
                </c:pt>
                <c:pt idx="52">
                  <c:v>4.9687395900625125E-4</c:v>
                </c:pt>
                <c:pt idx="53">
                  <c:v>5.1127555057379841E-4</c:v>
                </c:pt>
                <c:pt idx="54">
                  <c:v>5.2581365520495949E-4</c:v>
                </c:pt>
                <c:pt idx="55">
                  <c:v>5.4048700287273176E-4</c:v>
                </c:pt>
                <c:pt idx="56">
                  <c:v>5.5529435835150506E-4</c:v>
                </c:pt>
                <c:pt idx="57">
                  <c:v>5.7023451965608637E-4</c:v>
                </c:pt>
                <c:pt idx="58">
                  <c:v>5.8530631657702605E-4</c:v>
                </c:pt>
                <c:pt idx="59">
                  <c:v>6.0050860930473647E-4</c:v>
                </c:pt>
                <c:pt idx="60">
                  <c:v>6.1584028713560065E-4</c:v>
                </c:pt>
                <c:pt idx="61">
                  <c:v>6.3130026725389751E-4</c:v>
                </c:pt>
                <c:pt idx="62">
                  <c:v>6.4688749358391632E-4</c:v>
                </c:pt>
                <c:pt idx="63">
                  <c:v>6.6260093570715722E-4</c:v>
                </c:pt>
                <c:pt idx="64">
                  <c:v>6.7843958783993632E-4</c:v>
                </c:pt>
                <c:pt idx="65">
                  <c:v>6.9440246786713858E-4</c:v>
                </c:pt>
                <c:pt idx="66">
                  <c:v>7.1048861642821154E-4</c:v>
                </c:pt>
                <c:pt idx="67">
                  <c:v>7.2669709605182177E-4</c:v>
                </c:pt>
                <c:pt idx="68">
                  <c:v>7.4302699033590078E-4</c:v>
                </c:pt>
                <c:pt idx="69">
                  <c:v>7.5947740317005208E-4</c:v>
                </c:pt>
                <c:pt idx="70">
                  <c:v>7.7604745799755826E-4</c:v>
                </c:pt>
                <c:pt idx="71">
                  <c:v>7.9273629711442437E-4</c:v>
                </c:pt>
                <c:pt idx="72">
                  <c:v>8.0954308100310507E-4</c:v>
                </c:pt>
                <c:pt idx="73">
                  <c:v>8.2646698769874038E-4</c:v>
                </c:pt>
                <c:pt idx="74">
                  <c:v>8.4350721218588438E-4</c:v>
                </c:pt>
                <c:pt idx="75">
                  <c:v>8.6066296582387042E-4</c:v>
                </c:pt>
                <c:pt idx="76">
                  <c:v>8.7793347579908938E-4</c:v>
                </c:pt>
                <c:pt idx="77">
                  <c:v>8.9531798460257262E-4</c:v>
                </c:pt>
                <c:pt idx="78">
                  <c:v>9.1281574953141153E-4</c:v>
                </c:pt>
                <c:pt idx="79">
                  <c:v>9.3042604221261712E-4</c:v>
                </c:pt>
                <c:pt idx="80">
                  <c:v>9.4814814814814794E-4</c:v>
                </c:pt>
                <c:pt idx="81">
                  <c:v>9.6598136627990927E-4</c:v>
                </c:pt>
                <c:pt idx="82">
                  <c:v>9.8392500857360631E-4</c:v>
                </c:pt>
                <c:pt idx="83">
                  <c:v>1.0019783996204202E-3</c:v>
                </c:pt>
                <c:pt idx="84">
                  <c:v>1.0201408762555337E-3</c:v>
                </c:pt>
                <c:pt idx="85">
                  <c:v>1.038411787192596E-3</c:v>
                </c:pt>
                <c:pt idx="86">
                  <c:v>1.0567904926732938E-3</c:v>
                </c:pt>
                <c:pt idx="87">
                  <c:v>1.0752763641312217E-3</c:v>
                </c:pt>
                <c:pt idx="88">
                  <c:v>1.0938687838693132E-3</c:v>
                </c:pt>
                <c:pt idx="89">
                  <c:v>1.112567144750151E-3</c:v>
                </c:pt>
                <c:pt idx="90">
                  <c:v>1.1313708498984758E-3</c:v>
                </c:pt>
                <c:pt idx="91">
                  <c:v>1.1502793124153127E-3</c:v>
                </c:pt>
                <c:pt idx="92">
                  <c:v>1.1692919551031138E-3</c:v>
                </c:pt>
                <c:pt idx="93">
                  <c:v>1.1884082102013916E-3</c:v>
                </c:pt>
                <c:pt idx="94">
                  <c:v>1.2076275191323306E-3</c:v>
                </c:pt>
                <c:pt idx="95">
                  <c:v>1.2269493322558929E-3</c:v>
                </c:pt>
                <c:pt idx="96">
                  <c:v>1.246373108633978E-3</c:v>
                </c:pt>
                <c:pt idx="97">
                  <c:v>1.2658983158031934E-3</c:v>
                </c:pt>
                <c:pt idx="98">
                  <c:v>1.2855244295558567E-3</c:v>
                </c:pt>
                <c:pt idx="99">
                  <c:v>1.3052509337288364E-3</c:v>
                </c:pt>
                <c:pt idx="100">
                  <c:v>1.3250773199998756E-3</c:v>
                </c:pt>
                <c:pt idx="101">
                  <c:v>1.3450030876910625E-3</c:v>
                </c:pt>
                <c:pt idx="102">
                  <c:v>1.3650277435791338E-3</c:v>
                </c:pt>
                <c:pt idx="103">
                  <c:v>1.3851508017122991E-3</c:v>
                </c:pt>
                <c:pt idx="104">
                  <c:v>1.4053717832333084E-3</c:v>
                </c:pt>
                <c:pt idx="105">
                  <c:v>1.4256902162084837E-3</c:v>
                </c:pt>
                <c:pt idx="106">
                  <c:v>1.4461056354624735E-3</c:v>
                </c:pt>
                <c:pt idx="107">
                  <c:v>1.4666175824184656E-3</c:v>
                </c:pt>
                <c:pt idx="108">
                  <c:v>1.4872256049436483E-3</c:v>
                </c:pt>
                <c:pt idx="109">
                  <c:v>1.507929257199685E-3</c:v>
                </c:pt>
                <c:pt idx="110">
                  <c:v>1.5287280994980067E-3</c:v>
                </c:pt>
                <c:pt idx="111">
                  <c:v>1.5496216981597177E-3</c:v>
                </c:pt>
                <c:pt idx="112">
                  <c:v>1.5706096253799279E-3</c:v>
                </c:pt>
                <c:pt idx="113">
                  <c:v>1.5916914590963346E-3</c:v>
                </c:pt>
                <c:pt idx="114">
                  <c:v>1.6128667828618889E-3</c:v>
                </c:pt>
                <c:pt idx="115">
                  <c:v>1.6341351857213709E-3</c:v>
                </c:pt>
                <c:pt idx="116">
                  <c:v>1.6554962620917411E-3</c:v>
                </c:pt>
                <c:pt idx="117">
                  <c:v>1.676949611646098E-3</c:v>
                </c:pt>
                <c:pt idx="118">
                  <c:v>1.6984948392011288E-3</c:v>
                </c:pt>
                <c:pt idx="119">
                  <c:v>1.720131554607888E-3</c:v>
                </c:pt>
                <c:pt idx="120">
                  <c:v>1.7418593726458151E-3</c:v>
                </c:pt>
                <c:pt idx="121">
                  <c:v>1.7636779129198343E-3</c:v>
                </c:pt>
                <c:pt idx="122">
                  <c:v>1.7855867997604421E-3</c:v>
                </c:pt>
                <c:pt idx="123">
                  <c:v>1.807585662126674E-3</c:v>
                </c:pt>
                <c:pt idx="124">
                  <c:v>1.8296741335118256E-3</c:v>
                </c:pt>
                <c:pt idx="125">
                  <c:v>1.8518518518518519E-3</c:v>
                </c:pt>
                <c:pt idx="126">
                  <c:v>1.874118459436329E-3</c:v>
                </c:pt>
                <c:pt idx="127">
                  <c:v>1.8964736028218997E-3</c:v>
                </c:pt>
                <c:pt idx="128">
                  <c:v>1.9189169327481011E-3</c:v>
                </c:pt>
                <c:pt idx="129">
                  <c:v>1.9414481040555124E-3</c:v>
                </c:pt>
                <c:pt idx="130">
                  <c:v>1.9640667756061088E-3</c:v>
                </c:pt>
                <c:pt idx="131">
                  <c:v>1.9867726102057886E-3</c:v>
                </c:pt>
                <c:pt idx="132">
                  <c:v>2.0095652745289452E-3</c:v>
                </c:pt>
                <c:pt idx="133">
                  <c:v>2.0324444390450659E-3</c:v>
                </c:pt>
                <c:pt idx="134">
                  <c:v>2.0554097779472615E-3</c:v>
                </c:pt>
                <c:pt idx="135">
                  <c:v>2.078460969082653E-3</c:v>
                </c:pt>
                <c:pt idx="136">
                  <c:v>2.101597693884588E-3</c:v>
                </c:pt>
                <c:pt idx="137">
                  <c:v>2.1248196373065821E-3</c:v>
                </c:pt>
                <c:pt idx="138">
                  <c:v>2.1481264877579744E-3</c:v>
                </c:pt>
                <c:pt idx="139">
                  <c:v>2.1715179370411916E-3</c:v>
                </c:pt>
                <c:pt idx="140">
                  <c:v>2.1949936802906221E-3</c:v>
                </c:pt>
                <c:pt idx="141">
                  <c:v>2.2185534159130044E-3</c:v>
                </c:pt>
                <c:pt idx="142">
                  <c:v>2.2421968455292921E-3</c:v>
                </c:pt>
                <c:pt idx="143">
                  <c:v>2.2659236739179787E-3</c:v>
                </c:pt>
                <c:pt idx="144">
                  <c:v>2.2897336089597849E-3</c:v>
                </c:pt>
                <c:pt idx="145">
                  <c:v>2.3136263615837127E-3</c:v>
                </c:pt>
                <c:pt idx="146">
                  <c:v>2.3376016457143938E-3</c:v>
                </c:pt>
                <c:pt idx="147">
                  <c:v>2.3616591782206998E-3</c:v>
                </c:pt>
                <c:pt idx="148">
                  <c:v>2.3857986788655959E-3</c:v>
                </c:pt>
                <c:pt idx="149">
                  <c:v>2.4100198702571513E-3</c:v>
                </c:pt>
                <c:pt idx="150">
                  <c:v>2.4343224778007378E-3</c:v>
                </c:pt>
              </c:numCache>
            </c:numRef>
          </c:yVal>
          <c:smooth val="1"/>
          <c:extLst>
            <c:ext xmlns:c16="http://schemas.microsoft.com/office/drawing/2014/chart" uri="{C3380CC4-5D6E-409C-BE32-E72D297353CC}">
              <c16:uniqueId val="{00000002-2D92-4CB2-A641-52AD34A639BE}"/>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Eff_vs_IOUT!$AY$8:$AY$157</c:f>
              <c:numCache>
                <c:formatCode>General</c:formatCode>
                <c:ptCount val="150"/>
                <c:pt idx="0">
                  <c:v>3.8333333333333334E-5</c:v>
                </c:pt>
                <c:pt idx="1">
                  <c:v>7.6666666666666669E-5</c:v>
                </c:pt>
                <c:pt idx="2">
                  <c:v>1.1500000000000002E-4</c:v>
                </c:pt>
                <c:pt idx="3">
                  <c:v>1.5333333333333334E-4</c:v>
                </c:pt>
                <c:pt idx="4">
                  <c:v>1.9166666666666665E-4</c:v>
                </c:pt>
                <c:pt idx="5">
                  <c:v>2.3000000000000003E-4</c:v>
                </c:pt>
                <c:pt idx="6">
                  <c:v>2.6833333333333331E-4</c:v>
                </c:pt>
                <c:pt idx="7">
                  <c:v>3.0666666666666668E-4</c:v>
                </c:pt>
                <c:pt idx="8">
                  <c:v>3.4499999999999998E-4</c:v>
                </c:pt>
                <c:pt idx="9">
                  <c:v>3.8333333333333329E-4</c:v>
                </c:pt>
                <c:pt idx="10">
                  <c:v>4.2166666666666665E-4</c:v>
                </c:pt>
                <c:pt idx="11">
                  <c:v>4.6000000000000007E-4</c:v>
                </c:pt>
                <c:pt idx="12">
                  <c:v>4.9833333333333338E-4</c:v>
                </c:pt>
                <c:pt idx="13">
                  <c:v>5.3666666666666663E-4</c:v>
                </c:pt>
                <c:pt idx="14">
                  <c:v>5.7499999999999999E-4</c:v>
                </c:pt>
                <c:pt idx="15">
                  <c:v>6.1333333333333335E-4</c:v>
                </c:pt>
                <c:pt idx="16">
                  <c:v>6.5166666666666671E-4</c:v>
                </c:pt>
                <c:pt idx="17">
                  <c:v>6.8999999999999997E-4</c:v>
                </c:pt>
                <c:pt idx="18">
                  <c:v>7.2833333333333333E-4</c:v>
                </c:pt>
                <c:pt idx="19">
                  <c:v>7.6666666666666658E-4</c:v>
                </c:pt>
                <c:pt idx="20">
                  <c:v>8.0499999999999994E-4</c:v>
                </c:pt>
                <c:pt idx="21">
                  <c:v>8.433333333333333E-4</c:v>
                </c:pt>
                <c:pt idx="22">
                  <c:v>8.8166666666666677E-4</c:v>
                </c:pt>
                <c:pt idx="23">
                  <c:v>9.2000000000000014E-4</c:v>
                </c:pt>
                <c:pt idx="24">
                  <c:v>9.5833333333333328E-4</c:v>
                </c:pt>
                <c:pt idx="25">
                  <c:v>9.9666666666666675E-4</c:v>
                </c:pt>
                <c:pt idx="26">
                  <c:v>1.0350000000000001E-3</c:v>
                </c:pt>
                <c:pt idx="27">
                  <c:v>1.0733333333333333E-3</c:v>
                </c:pt>
                <c:pt idx="28">
                  <c:v>1.1116666666666666E-3</c:v>
                </c:pt>
                <c:pt idx="29">
                  <c:v>1.15E-3</c:v>
                </c:pt>
                <c:pt idx="30">
                  <c:v>1.1883333333333333E-3</c:v>
                </c:pt>
                <c:pt idx="31">
                  <c:v>1.2266666666666667E-3</c:v>
                </c:pt>
                <c:pt idx="32">
                  <c:v>1.2650000000000001E-3</c:v>
                </c:pt>
                <c:pt idx="33">
                  <c:v>1.3033333333333334E-3</c:v>
                </c:pt>
                <c:pt idx="34">
                  <c:v>1.3416666666666666E-3</c:v>
                </c:pt>
                <c:pt idx="35">
                  <c:v>1.3799999999999999E-3</c:v>
                </c:pt>
                <c:pt idx="36">
                  <c:v>1.4183333333333333E-3</c:v>
                </c:pt>
                <c:pt idx="37">
                  <c:v>1.4566666666666667E-3</c:v>
                </c:pt>
                <c:pt idx="38">
                  <c:v>1.495E-3</c:v>
                </c:pt>
                <c:pt idx="39">
                  <c:v>1.5333333333333332E-3</c:v>
                </c:pt>
                <c:pt idx="40">
                  <c:v>1.5716666666666667E-3</c:v>
                </c:pt>
                <c:pt idx="41">
                  <c:v>1.6099999999999999E-3</c:v>
                </c:pt>
                <c:pt idx="42">
                  <c:v>1.6483333333333332E-3</c:v>
                </c:pt>
                <c:pt idx="43">
                  <c:v>1.6866666666666666E-3</c:v>
                </c:pt>
                <c:pt idx="44">
                  <c:v>1.725E-3</c:v>
                </c:pt>
                <c:pt idx="45">
                  <c:v>1.7633333333333335E-3</c:v>
                </c:pt>
                <c:pt idx="46">
                  <c:v>1.8016666666666667E-3</c:v>
                </c:pt>
                <c:pt idx="47">
                  <c:v>1.8400000000000003E-3</c:v>
                </c:pt>
                <c:pt idx="48">
                  <c:v>1.8783333333333332E-3</c:v>
                </c:pt>
                <c:pt idx="49">
                  <c:v>1.9166666666666666E-3</c:v>
                </c:pt>
                <c:pt idx="50">
                  <c:v>1.9550000000000001E-3</c:v>
                </c:pt>
                <c:pt idx="51">
                  <c:v>1.9933333333333335E-3</c:v>
                </c:pt>
                <c:pt idx="52">
                  <c:v>2.0316666666666669E-3</c:v>
                </c:pt>
                <c:pt idx="53">
                  <c:v>2.0700000000000002E-3</c:v>
                </c:pt>
                <c:pt idx="54">
                  <c:v>2.1083333333333332E-3</c:v>
                </c:pt>
                <c:pt idx="55">
                  <c:v>2.1466666666666665E-3</c:v>
                </c:pt>
                <c:pt idx="56">
                  <c:v>2.1849999999999999E-3</c:v>
                </c:pt>
                <c:pt idx="57">
                  <c:v>2.2233333333333332E-3</c:v>
                </c:pt>
                <c:pt idx="58">
                  <c:v>2.2616666666666666E-3</c:v>
                </c:pt>
                <c:pt idx="59">
                  <c:v>2.3E-3</c:v>
                </c:pt>
                <c:pt idx="60">
                  <c:v>2.3383333333333333E-3</c:v>
                </c:pt>
                <c:pt idx="61">
                  <c:v>2.3766666666666667E-3</c:v>
                </c:pt>
                <c:pt idx="62">
                  <c:v>2.415E-3</c:v>
                </c:pt>
                <c:pt idx="63">
                  <c:v>2.4533333333333334E-3</c:v>
                </c:pt>
                <c:pt idx="64">
                  <c:v>2.4916666666666663E-3</c:v>
                </c:pt>
                <c:pt idx="65">
                  <c:v>2.5300000000000001E-3</c:v>
                </c:pt>
                <c:pt idx="66">
                  <c:v>2.5683333333333331E-3</c:v>
                </c:pt>
                <c:pt idx="67">
                  <c:v>2.6066666666666669E-3</c:v>
                </c:pt>
                <c:pt idx="68">
                  <c:v>2.6449999999999998E-3</c:v>
                </c:pt>
                <c:pt idx="69">
                  <c:v>2.6833333333333331E-3</c:v>
                </c:pt>
                <c:pt idx="70">
                  <c:v>2.7216666666666665E-3</c:v>
                </c:pt>
                <c:pt idx="71">
                  <c:v>2.7599999999999999E-3</c:v>
                </c:pt>
                <c:pt idx="72">
                  <c:v>2.7983333333333332E-3</c:v>
                </c:pt>
                <c:pt idx="73">
                  <c:v>2.8366666666666666E-3</c:v>
                </c:pt>
                <c:pt idx="74">
                  <c:v>2.875E-3</c:v>
                </c:pt>
                <c:pt idx="75">
                  <c:v>2.9133333333333333E-3</c:v>
                </c:pt>
                <c:pt idx="76">
                  <c:v>2.9516666666666667E-3</c:v>
                </c:pt>
                <c:pt idx="77">
                  <c:v>2.99E-3</c:v>
                </c:pt>
                <c:pt idx="78">
                  <c:v>3.0283333333333334E-3</c:v>
                </c:pt>
                <c:pt idx="79">
                  <c:v>3.0666666666666663E-3</c:v>
                </c:pt>
                <c:pt idx="80">
                  <c:v>3.1049999999999993E-3</c:v>
                </c:pt>
                <c:pt idx="81">
                  <c:v>3.1433333333333335E-3</c:v>
                </c:pt>
                <c:pt idx="82">
                  <c:v>3.1816666666666664E-3</c:v>
                </c:pt>
                <c:pt idx="83">
                  <c:v>3.2199999999999998E-3</c:v>
                </c:pt>
                <c:pt idx="84">
                  <c:v>3.2583333333333331E-3</c:v>
                </c:pt>
                <c:pt idx="85">
                  <c:v>3.2966666666666665E-3</c:v>
                </c:pt>
                <c:pt idx="86">
                  <c:v>3.3349999999999999E-3</c:v>
                </c:pt>
                <c:pt idx="87">
                  <c:v>3.3733333333333332E-3</c:v>
                </c:pt>
                <c:pt idx="88">
                  <c:v>3.4116666666666666E-3</c:v>
                </c:pt>
                <c:pt idx="89">
                  <c:v>3.4499999999999999E-3</c:v>
                </c:pt>
                <c:pt idx="90">
                  <c:v>3.4883333333333329E-3</c:v>
                </c:pt>
                <c:pt idx="91">
                  <c:v>3.5266666666666671E-3</c:v>
                </c:pt>
                <c:pt idx="92">
                  <c:v>3.565E-3</c:v>
                </c:pt>
                <c:pt idx="93">
                  <c:v>3.6033333333333334E-3</c:v>
                </c:pt>
                <c:pt idx="94">
                  <c:v>3.6416666666666663E-3</c:v>
                </c:pt>
                <c:pt idx="95">
                  <c:v>3.6800000000000005E-3</c:v>
                </c:pt>
                <c:pt idx="96">
                  <c:v>3.7183333333333335E-3</c:v>
                </c:pt>
                <c:pt idx="97">
                  <c:v>3.7566666666666664E-3</c:v>
                </c:pt>
                <c:pt idx="98">
                  <c:v>3.7949999999999998E-3</c:v>
                </c:pt>
                <c:pt idx="99">
                  <c:v>3.8333333333333331E-3</c:v>
                </c:pt>
                <c:pt idx="100">
                  <c:v>3.8716666666666669E-3</c:v>
                </c:pt>
                <c:pt idx="101">
                  <c:v>3.9100000000000003E-3</c:v>
                </c:pt>
                <c:pt idx="102">
                  <c:v>3.9483333333333332E-3</c:v>
                </c:pt>
                <c:pt idx="103">
                  <c:v>3.986666666666667E-3</c:v>
                </c:pt>
                <c:pt idx="104">
                  <c:v>4.0249999999999999E-3</c:v>
                </c:pt>
                <c:pt idx="105">
                  <c:v>4.0633333333333337E-3</c:v>
                </c:pt>
                <c:pt idx="106">
                  <c:v>4.1016666666666667E-3</c:v>
                </c:pt>
                <c:pt idx="107">
                  <c:v>4.1400000000000005E-3</c:v>
                </c:pt>
                <c:pt idx="108">
                  <c:v>4.1783333333333334E-3</c:v>
                </c:pt>
                <c:pt idx="109">
                  <c:v>4.2166666666666663E-3</c:v>
                </c:pt>
                <c:pt idx="110">
                  <c:v>4.2550000000000001E-3</c:v>
                </c:pt>
                <c:pt idx="111">
                  <c:v>4.293333333333333E-3</c:v>
                </c:pt>
                <c:pt idx="112">
                  <c:v>4.3316666666666668E-3</c:v>
                </c:pt>
                <c:pt idx="113">
                  <c:v>4.3699999999999998E-3</c:v>
                </c:pt>
                <c:pt idx="114">
                  <c:v>4.4083333333333327E-3</c:v>
                </c:pt>
                <c:pt idx="115">
                  <c:v>4.4466666666666665E-3</c:v>
                </c:pt>
                <c:pt idx="116">
                  <c:v>4.4850000000000003E-3</c:v>
                </c:pt>
                <c:pt idx="117">
                  <c:v>4.5233333333333332E-3</c:v>
                </c:pt>
                <c:pt idx="118">
                  <c:v>4.561666666666667E-3</c:v>
                </c:pt>
                <c:pt idx="119">
                  <c:v>4.5999999999999999E-3</c:v>
                </c:pt>
                <c:pt idx="120">
                  <c:v>4.6383333333333337E-3</c:v>
                </c:pt>
                <c:pt idx="121">
                  <c:v>4.6766666666666666E-3</c:v>
                </c:pt>
                <c:pt idx="122">
                  <c:v>4.7150000000000004E-3</c:v>
                </c:pt>
                <c:pt idx="123">
                  <c:v>4.7533333333333334E-3</c:v>
                </c:pt>
                <c:pt idx="124">
                  <c:v>4.7916666666666663E-3</c:v>
                </c:pt>
                <c:pt idx="125">
                  <c:v>4.8300000000000001E-3</c:v>
                </c:pt>
                <c:pt idx="126">
                  <c:v>4.868333333333333E-3</c:v>
                </c:pt>
                <c:pt idx="127">
                  <c:v>4.9066666666666668E-3</c:v>
                </c:pt>
                <c:pt idx="128">
                  <c:v>4.9449999999999997E-3</c:v>
                </c:pt>
                <c:pt idx="129">
                  <c:v>4.9833333333333327E-3</c:v>
                </c:pt>
                <c:pt idx="130">
                  <c:v>5.0216666666666665E-3</c:v>
                </c:pt>
                <c:pt idx="131">
                  <c:v>5.0600000000000003E-3</c:v>
                </c:pt>
                <c:pt idx="132">
                  <c:v>5.0983333333333332E-3</c:v>
                </c:pt>
                <c:pt idx="133">
                  <c:v>5.1366666666666661E-3</c:v>
                </c:pt>
                <c:pt idx="134">
                  <c:v>5.174999999999999E-3</c:v>
                </c:pt>
                <c:pt idx="135">
                  <c:v>5.2133333333333337E-3</c:v>
                </c:pt>
                <c:pt idx="136">
                  <c:v>5.2516666666666666E-3</c:v>
                </c:pt>
                <c:pt idx="137">
                  <c:v>5.2899999999999996E-3</c:v>
                </c:pt>
                <c:pt idx="138">
                  <c:v>5.3283333333333325E-3</c:v>
                </c:pt>
                <c:pt idx="139">
                  <c:v>5.3666666666666663E-3</c:v>
                </c:pt>
                <c:pt idx="140">
                  <c:v>5.4050000000000001E-3</c:v>
                </c:pt>
                <c:pt idx="141">
                  <c:v>5.443333333333333E-3</c:v>
                </c:pt>
                <c:pt idx="142">
                  <c:v>5.4816666666666668E-3</c:v>
                </c:pt>
                <c:pt idx="143">
                  <c:v>5.5199999999999997E-3</c:v>
                </c:pt>
                <c:pt idx="144">
                  <c:v>5.5583333333333335E-3</c:v>
                </c:pt>
                <c:pt idx="145">
                  <c:v>5.5966666666666665E-3</c:v>
                </c:pt>
                <c:pt idx="146">
                  <c:v>5.6350000000000003E-3</c:v>
                </c:pt>
                <c:pt idx="147">
                  <c:v>5.6733333333333332E-3</c:v>
                </c:pt>
                <c:pt idx="148">
                  <c:v>5.711666666666667E-3</c:v>
                </c:pt>
                <c:pt idx="149">
                  <c:v>5.7499999999999999E-3</c:v>
                </c:pt>
              </c:numCache>
            </c:numRef>
          </c:yVal>
          <c:smooth val="1"/>
          <c:extLst>
            <c:ext xmlns:c16="http://schemas.microsoft.com/office/drawing/2014/chart" uri="{C3380CC4-5D6E-409C-BE32-E72D297353CC}">
              <c16:uniqueId val="{00000003-2D92-4CB2-A641-52AD34A639BE}"/>
            </c:ext>
          </c:extLst>
        </c:ser>
        <c:dLbls>
          <c:showLegendKey val="0"/>
          <c:showVal val="0"/>
          <c:showCatName val="0"/>
          <c:showSerName val="0"/>
          <c:showPercent val="0"/>
          <c:showBubbleSize val="0"/>
        </c:dLbls>
        <c:axId val="586288512"/>
        <c:axId val="586286592"/>
      </c:scatterChart>
      <c:valAx>
        <c:axId val="586594176"/>
        <c:scaling>
          <c:orientation val="minMax"/>
        </c:scaling>
        <c:delete val="0"/>
        <c:axPos val="b"/>
        <c:majorGridlines/>
        <c:numFmt formatCode="General" sourceLinked="1"/>
        <c:majorTickMark val="out"/>
        <c:minorTickMark val="none"/>
        <c:tickLblPos val="nextTo"/>
        <c:crossAx val="586595712"/>
        <c:crosses val="autoZero"/>
        <c:crossBetween val="midCat"/>
      </c:valAx>
      <c:valAx>
        <c:axId val="586595712"/>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6594176"/>
        <c:crosses val="autoZero"/>
        <c:crossBetween val="midCat"/>
      </c:valAx>
      <c:valAx>
        <c:axId val="586286592"/>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6288512"/>
        <c:crosses val="max"/>
        <c:crossBetween val="midCat"/>
      </c:valAx>
      <c:valAx>
        <c:axId val="586288512"/>
        <c:scaling>
          <c:orientation val="minMax"/>
        </c:scaling>
        <c:delete val="1"/>
        <c:axPos val="b"/>
        <c:title>
          <c:tx>
            <c:rich>
              <a:bodyPr/>
              <a:lstStyle/>
              <a:p>
                <a:pPr>
                  <a:defRPr sz="1100"/>
                </a:pPr>
                <a:r>
                  <a:rPr lang="en-US" sz="1100"/>
                  <a:t>P</a:t>
                </a:r>
                <a:r>
                  <a:rPr lang="en-US" sz="1100" baseline="-25000"/>
                  <a:t>OUT</a:t>
                </a:r>
                <a:r>
                  <a:rPr lang="en-US" sz="1100"/>
                  <a:t> </a:t>
                </a:r>
                <a:r>
                  <a:rPr lang="en-US" sz="1100" baseline="0"/>
                  <a:t>(W)</a:t>
                </a:r>
                <a:endParaRPr lang="en-US" sz="1100"/>
              </a:p>
            </c:rich>
          </c:tx>
          <c:overlay val="0"/>
        </c:title>
        <c:numFmt formatCode="General" sourceLinked="1"/>
        <c:majorTickMark val="out"/>
        <c:minorTickMark val="none"/>
        <c:tickLblPos val="nextTo"/>
        <c:crossAx val="586286592"/>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Eff_vs_IOUT!$BZ$7:$BZ$157</c:f>
              <c:numCache>
                <c:formatCode>General</c:formatCode>
                <c:ptCount val="151"/>
                <c:pt idx="0">
                  <c:v>0</c:v>
                </c:pt>
                <c:pt idx="1">
                  <c:v>78.462764772552731</c:v>
                </c:pt>
                <c:pt idx="2">
                  <c:v>85.564317509840961</c:v>
                </c:pt>
                <c:pt idx="3">
                  <c:v>88.156898650888152</c:v>
                </c:pt>
                <c:pt idx="4">
                  <c:v>89.459874665785208</c:v>
                </c:pt>
                <c:pt idx="5">
                  <c:v>90.21976604612189</c:v>
                </c:pt>
                <c:pt idx="6">
                  <c:v>90.701656300592546</c:v>
                </c:pt>
                <c:pt idx="7">
                  <c:v>91.023163178559727</c:v>
                </c:pt>
                <c:pt idx="8">
                  <c:v>91.24432563759926</c:v>
                </c:pt>
                <c:pt idx="9">
                  <c:v>91.398917002639948</c:v>
                </c:pt>
                <c:pt idx="10">
                  <c:v>91.507344238123778</c:v>
                </c:pt>
                <c:pt idx="11">
                  <c:v>91.582634518740747</c:v>
                </c:pt>
                <c:pt idx="12">
                  <c:v>91.63347432974119</c:v>
                </c:pt>
                <c:pt idx="13">
                  <c:v>91.665864440172228</c:v>
                </c:pt>
                <c:pt idx="14">
                  <c:v>91.68407354905267</c:v>
                </c:pt>
                <c:pt idx="15">
                  <c:v>91.691214001392112</c:v>
                </c:pt>
                <c:pt idx="16">
                  <c:v>91.689603192476525</c:v>
                </c:pt>
                <c:pt idx="17">
                  <c:v>91.680998108920321</c:v>
                </c:pt>
                <c:pt idx="18">
                  <c:v>91.666751964035626</c:v>
                </c:pt>
                <c:pt idx="19">
                  <c:v>91.647921448470711</c:v>
                </c:pt>
                <c:pt idx="20">
                  <c:v>91.625341794908323</c:v>
                </c:pt>
                <c:pt idx="21">
                  <c:v>91.599680346551594</c:v>
                </c:pt>
                <c:pt idx="22">
                  <c:v>91.571475453470313</c:v>
                </c:pt>
                <c:pt idx="23">
                  <c:v>91.541165158063194</c:v>
                </c:pt>
                <c:pt idx="24">
                  <c:v>91.509108649076524</c:v>
                </c:pt>
                <c:pt idx="25">
                  <c:v>91.475602512629308</c:v>
                </c:pt>
                <c:pt idx="26">
                  <c:v>91.440893185526065</c:v>
                </c:pt>
                <c:pt idx="27">
                  <c:v>91.405186599986578</c:v>
                </c:pt>
                <c:pt idx="28">
                  <c:v>91.368655726184329</c:v>
                </c:pt>
                <c:pt idx="29">
                  <c:v>91.331446523829186</c:v>
                </c:pt>
                <c:pt idx="30">
                  <c:v>91.293682677358973</c:v>
                </c:pt>
                <c:pt idx="31">
                  <c:v>91.255469392298053</c:v>
                </c:pt>
                <c:pt idx="32">
                  <c:v>91.216896460632427</c:v>
                </c:pt>
                <c:pt idx="33">
                  <c:v>91.178040752375694</c:v>
                </c:pt>
                <c:pt idx="34">
                  <c:v>91.138968253268231</c:v>
                </c:pt>
                <c:pt idx="35">
                  <c:v>91.099735740919513</c:v>
                </c:pt>
                <c:pt idx="36">
                  <c:v>91.06039217100664</c:v>
                </c:pt>
                <c:pt idx="37">
                  <c:v>91.020979829499495</c:v>
                </c:pt>
                <c:pt idx="38">
                  <c:v>90.981535294967472</c:v>
                </c:pt>
                <c:pt idx="39">
                  <c:v>90.942090245872379</c:v>
                </c:pt>
                <c:pt idx="40">
                  <c:v>90.902672140675037</c:v>
                </c:pt>
                <c:pt idx="41">
                  <c:v>90.8633047930728</c:v>
                </c:pt>
                <c:pt idx="42">
                  <c:v>90.824008860364842</c:v>
                </c:pt>
                <c:pt idx="43">
                  <c:v>90.784802259535638</c:v>
                </c:pt>
                <c:pt idx="44">
                  <c:v>90.745700522943864</c:v>
                </c:pt>
                <c:pt idx="45">
                  <c:v>90.706717103348893</c:v>
                </c:pt>
                <c:pt idx="46">
                  <c:v>90.667863636277076</c:v>
                </c:pt>
                <c:pt idx="47">
                  <c:v>90.629150166337652</c:v>
                </c:pt>
                <c:pt idx="48">
                  <c:v>90.590585342969092</c:v>
                </c:pt>
                <c:pt idx="49">
                  <c:v>90.552176590179329</c:v>
                </c:pt>
                <c:pt idx="50">
                  <c:v>90.513930254092401</c:v>
                </c:pt>
                <c:pt idx="51">
                  <c:v>90.475851731499873</c:v>
                </c:pt>
                <c:pt idx="52">
                  <c:v>90.437945582107645</c:v>
                </c:pt>
                <c:pt idx="53">
                  <c:v>90.400215626749898</c:v>
                </c:pt>
                <c:pt idx="54">
                  <c:v>90.362665033494082</c:v>
                </c:pt>
                <c:pt idx="55">
                  <c:v>90.325296393271188</c:v>
                </c:pt>
                <c:pt idx="56">
                  <c:v>90.288111786423656</c:v>
                </c:pt>
                <c:pt idx="57">
                  <c:v>90.251112841359586</c:v>
                </c:pt>
                <c:pt idx="58">
                  <c:v>90.214300786332529</c:v>
                </c:pt>
                <c:pt idx="59">
                  <c:v>90.177676495220837</c:v>
                </c:pt>
                <c:pt idx="60">
                  <c:v>90.141240528059953</c:v>
                </c:pt>
                <c:pt idx="61">
                  <c:v>90.104993166976641</c:v>
                </c:pt>
                <c:pt idx="62">
                  <c:v>90.068934448087717</c:v>
                </c:pt>
                <c:pt idx="63">
                  <c:v>90.03306418984937</c:v>
                </c:pt>
                <c:pt idx="64">
                  <c:v>89.997382018280234</c:v>
                </c:pt>
                <c:pt idx="65">
                  <c:v>89.961887389426479</c:v>
                </c:pt>
                <c:pt idx="66">
                  <c:v>89.926579609389208</c:v>
                </c:pt>
                <c:pt idx="67">
                  <c:v>89.891457852195046</c:v>
                </c:pt>
                <c:pt idx="68">
                  <c:v>89.85652117575485</c:v>
                </c:pt>
                <c:pt idx="69">
                  <c:v>89.821768536126044</c:v>
                </c:pt>
                <c:pt idx="70">
                  <c:v>89.787198800267049</c:v>
                </c:pt>
                <c:pt idx="71">
                  <c:v>89.752810757450504</c:v>
                </c:pt>
                <c:pt idx="72">
                  <c:v>89.718603129481281</c:v>
                </c:pt>
                <c:pt idx="73">
                  <c:v>89.684574579848743</c:v>
                </c:pt>
                <c:pt idx="74">
                  <c:v>89.65072372192742</c:v>
                </c:pt>
                <c:pt idx="75">
                  <c:v>89.617049126327075</c:v>
                </c:pt>
                <c:pt idx="76">
                  <c:v>89.583549327481876</c:v>
                </c:pt>
                <c:pt idx="77">
                  <c:v>89.550222829557981</c:v>
                </c:pt>
                <c:pt idx="78">
                  <c:v>89.517068111750177</c:v>
                </c:pt>
                <c:pt idx="79">
                  <c:v>89.484083633030693</c:v>
                </c:pt>
                <c:pt idx="80">
                  <c:v>89.451267836405705</c:v>
                </c:pt>
                <c:pt idx="81">
                  <c:v>89.418619152729775</c:v>
                </c:pt>
                <c:pt idx="82">
                  <c:v>89.386136004122676</c:v>
                </c:pt>
                <c:pt idx="83">
                  <c:v>89.35381680702838</c:v>
                </c:pt>
                <c:pt idx="84">
                  <c:v>89.321659974951828</c:v>
                </c:pt>
                <c:pt idx="85">
                  <c:v>89.289663920905554</c:v>
                </c:pt>
                <c:pt idx="86">
                  <c:v>89.257827059594675</c:v>
                </c:pt>
                <c:pt idx="87">
                  <c:v>89.226147809365614</c:v>
                </c:pt>
                <c:pt idx="88">
                  <c:v>89.194624593942237</c:v>
                </c:pt>
                <c:pt idx="89">
                  <c:v>89.163255843969552</c:v>
                </c:pt>
                <c:pt idx="90">
                  <c:v>89.132039998383874</c:v>
                </c:pt>
                <c:pt idx="91">
                  <c:v>89.100975505626238</c:v>
                </c:pt>
                <c:pt idx="92">
                  <c:v>89.070060824714076</c:v>
                </c:pt>
                <c:pt idx="93">
                  <c:v>89.039294426184796</c:v>
                </c:pt>
                <c:pt idx="94">
                  <c:v>89.008674792923927</c:v>
                </c:pt>
                <c:pt idx="95">
                  <c:v>88.978200420888228</c:v>
                </c:pt>
                <c:pt idx="96">
                  <c:v>88.947869819734464</c:v>
                </c:pt>
                <c:pt idx="97">
                  <c:v>88.917681513362751</c:v>
                </c:pt>
                <c:pt idx="98">
                  <c:v>88.887634040382366</c:v>
                </c:pt>
                <c:pt idx="99">
                  <c:v>88.857725954507998</c:v>
                </c:pt>
                <c:pt idx="100">
                  <c:v>88.827955824892555</c:v>
                </c:pt>
                <c:pt idx="101">
                  <c:v>88.79832223640328</c:v>
                </c:pt>
                <c:pt idx="102">
                  <c:v>88.768823789846167</c:v>
                </c:pt>
                <c:pt idx="103">
                  <c:v>88.739459102143954</c:v>
                </c:pt>
                <c:pt idx="104">
                  <c:v>88.710226806472278</c:v>
                </c:pt>
                <c:pt idx="105">
                  <c:v>88.681125552357969</c:v>
                </c:pt>
                <c:pt idx="106">
                  <c:v>88.652154005743299</c:v>
                </c:pt>
                <c:pt idx="107">
                  <c:v>88.623310849019688</c:v>
                </c:pt>
                <c:pt idx="108">
                  <c:v>88.594594781033791</c:v>
                </c:pt>
                <c:pt idx="109">
                  <c:v>88.566004517068905</c:v>
                </c:pt>
                <c:pt idx="110">
                  <c:v>88.537538788804284</c:v>
                </c:pt>
                <c:pt idx="111">
                  <c:v>88.509196344254477</c:v>
                </c:pt>
                <c:pt idx="112">
                  <c:v>88.480975947691064</c:v>
                </c:pt>
                <c:pt idx="113">
                  <c:v>88.452876379548556</c:v>
                </c:pt>
                <c:pt idx="114">
                  <c:v>88.424896436316246</c:v>
                </c:pt>
                <c:pt idx="115">
                  <c:v>88.397034930417604</c:v>
                </c:pt>
                <c:pt idx="116">
                  <c:v>88.369290690078628</c:v>
                </c:pt>
                <c:pt idx="117">
                  <c:v>88.34166255918656</c:v>
                </c:pt>
                <c:pt idx="118">
                  <c:v>88.314149397140042</c:v>
                </c:pt>
                <c:pt idx="119">
                  <c:v>88.286750078691881</c:v>
                </c:pt>
                <c:pt idx="120">
                  <c:v>88.259463493785333</c:v>
                </c:pt>
                <c:pt idx="121">
                  <c:v>88.232288547385039</c:v>
                </c:pt>
                <c:pt idx="122">
                  <c:v>88.205224159302915</c:v>
                </c:pt>
                <c:pt idx="123">
                  <c:v>88.178269264020457</c:v>
                </c:pt>
                <c:pt idx="124">
                  <c:v>88.151422810507356</c:v>
                </c:pt>
                <c:pt idx="125">
                  <c:v>88.124683762037762</c:v>
                </c:pt>
                <c:pt idx="126">
                  <c:v>88.098051096004184</c:v>
                </c:pt>
                <c:pt idx="127">
                  <c:v>88.071523803729789</c:v>
                </c:pt>
                <c:pt idx="128">
                  <c:v>88.045100890279642</c:v>
                </c:pt>
                <c:pt idx="129">
                  <c:v>88.018781374270958</c:v>
                </c:pt>
                <c:pt idx="130">
                  <c:v>87.992564287683081</c:v>
                </c:pt>
                <c:pt idx="131">
                  <c:v>87.966448675667394</c:v>
                </c:pt>
                <c:pt idx="132">
                  <c:v>87.94043359635738</c:v>
                </c:pt>
                <c:pt idx="133">
                  <c:v>87.914518120679276</c:v>
                </c:pt>
                <c:pt idx="134">
                  <c:v>87.888701332163279</c:v>
                </c:pt>
                <c:pt idx="135">
                  <c:v>87.862982326755969</c:v>
                </c:pt>
                <c:pt idx="136">
                  <c:v>87.837360212633698</c:v>
                </c:pt>
                <c:pt idx="137">
                  <c:v>87.811834110017301</c:v>
                </c:pt>
                <c:pt idx="138">
                  <c:v>87.78640315098842</c:v>
                </c:pt>
                <c:pt idx="139">
                  <c:v>87.761066479307274</c:v>
                </c:pt>
                <c:pt idx="140">
                  <c:v>87.735823250232315</c:v>
                </c:pt>
                <c:pt idx="141">
                  <c:v>87.710672630341591</c:v>
                </c:pt>
                <c:pt idx="142">
                  <c:v>87.685613797356183</c:v>
                </c:pt>
                <c:pt idx="143">
                  <c:v>87.660645939965505</c:v>
                </c:pt>
                <c:pt idx="144">
                  <c:v>87.63576825765486</c:v>
                </c:pt>
                <c:pt idx="145">
                  <c:v>87.610979960534891</c:v>
                </c:pt>
                <c:pt idx="146">
                  <c:v>87.586280269173528</c:v>
                </c:pt>
                <c:pt idx="147">
                  <c:v>87.561668414429931</c:v>
                </c:pt>
                <c:pt idx="148">
                  <c:v>87.537143637290811</c:v>
                </c:pt>
                <c:pt idx="149">
                  <c:v>87.512705188709063</c:v>
                </c:pt>
                <c:pt idx="150">
                  <c:v>87.488352329444609</c:v>
                </c:pt>
              </c:numCache>
            </c:numRef>
          </c:yVal>
          <c:smooth val="0"/>
          <c:extLst>
            <c:ext xmlns:c16="http://schemas.microsoft.com/office/drawing/2014/chart" uri="{C3380CC4-5D6E-409C-BE32-E72D297353CC}">
              <c16:uniqueId val="{00000000-98B9-4A0F-9AF3-241E82BDC034}"/>
            </c:ext>
          </c:extLst>
        </c:ser>
        <c:dLbls>
          <c:showLegendKey val="0"/>
          <c:showVal val="0"/>
          <c:showCatName val="0"/>
          <c:showSerName val="0"/>
          <c:showPercent val="0"/>
          <c:showBubbleSize val="0"/>
        </c:dLbls>
        <c:axId val="586339072"/>
        <c:axId val="58634060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Eff_vs_IOUT!$AJ$7:$AJ$157</c:f>
              <c:numCache>
                <c:formatCode>General</c:formatCode>
                <c:ptCount val="151"/>
                <c:pt idx="0">
                  <c:v>0</c:v>
                </c:pt>
                <c:pt idx="1">
                  <c:v>9.0884607686750557E-4</c:v>
                </c:pt>
                <c:pt idx="2">
                  <c:v>1.3180964385655013E-3</c:v>
                </c:pt>
                <c:pt idx="3">
                  <c:v>1.6544961248710637E-3</c:v>
                </c:pt>
                <c:pt idx="4">
                  <c:v>1.956825272334998E-3</c:v>
                </c:pt>
                <c:pt idx="5">
                  <c:v>2.2396490163671488E-3</c:v>
                </c:pt>
                <c:pt idx="6">
                  <c:v>2.5102134321324399E-3</c:v>
                </c:pt>
                <c:pt idx="7">
                  <c:v>2.7726923303765332E-3</c:v>
                </c:pt>
                <c:pt idx="8">
                  <c:v>3.0297207637297345E-3</c:v>
                </c:pt>
                <c:pt idx="9">
                  <c:v>3.2830707050024652E-3</c:v>
                </c:pt>
                <c:pt idx="10">
                  <c:v>3.5339899745172312E-3</c:v>
                </c:pt>
                <c:pt idx="11">
                  <c:v>3.7833886796696434E-3</c:v>
                </c:pt>
                <c:pt idx="12">
                  <c:v>4.0319491410341791E-3</c:v>
                </c:pt>
                <c:pt idx="13">
                  <c:v>4.2801943181050087E-3</c:v>
                </c:pt>
                <c:pt idx="14">
                  <c:v>4.5285323023533152E-3</c:v>
                </c:pt>
                <c:pt idx="15">
                  <c:v>4.7772863062089804E-3</c:v>
                </c:pt>
                <c:pt idx="16">
                  <c:v>5.026715493469891E-3</c:v>
                </c:pt>
                <c:pt idx="17">
                  <c:v>5.2770298230445153E-3</c:v>
                </c:pt>
                <c:pt idx="18">
                  <c:v>5.5284008620914305E-3</c:v>
                </c:pt>
                <c:pt idx="19">
                  <c:v>5.780969815329863E-3</c:v>
                </c:pt>
                <c:pt idx="20">
                  <c:v>6.0348535882898532E-3</c:v>
                </c:pt>
                <c:pt idx="21">
                  <c:v>6.2901494345080269E-3</c:v>
                </c:pt>
                <c:pt idx="22">
                  <c:v>6.5469385648747082E-3</c:v>
                </c:pt>
                <c:pt idx="23">
                  <c:v>6.805288984381902E-3</c:v>
                </c:pt>
                <c:pt idx="24">
                  <c:v>7.0652577456175002E-3</c:v>
                </c:pt>
                <c:pt idx="25">
                  <c:v>7.3268927563372669E-3</c:v>
                </c:pt>
                <c:pt idx="26">
                  <c:v>7.5902342421677958E-3</c:v>
                </c:pt>
                <c:pt idx="27">
                  <c:v>7.8553159397813967E-3</c:v>
                </c:pt>
                <c:pt idx="28">
                  <c:v>8.1221660773920113E-3</c:v>
                </c:pt>
                <c:pt idx="29">
                  <c:v>8.3908081859429169E-3</c:v>
                </c:pt>
                <c:pt idx="30">
                  <c:v>8.6612617744113683E-3</c:v>
                </c:pt>
                <c:pt idx="31">
                  <c:v>8.9335428952328245E-3</c:v>
                </c:pt>
                <c:pt idx="32">
                  <c:v>9.2076646202493215E-3</c:v>
                </c:pt>
                <c:pt idx="33">
                  <c:v>9.4836374433234644E-3</c:v>
                </c:pt>
                <c:pt idx="34">
                  <c:v>9.7614696224831137E-3</c:v>
                </c:pt>
                <c:pt idx="35">
                  <c:v>1.0041167471922824E-2</c:v>
                </c:pt>
                <c:pt idx="36">
                  <c:v>1.0322735612204578E-2</c:v>
                </c:pt>
                <c:pt idx="37">
                  <c:v>1.0606177185439433E-2</c:v>
                </c:pt>
                <c:pt idx="38">
                  <c:v>1.0891494040994903E-2</c:v>
                </c:pt>
                <c:pt idx="39">
                  <c:v>1.1178686896286165E-2</c:v>
                </c:pt>
                <c:pt idx="40">
                  <c:v>1.1467755476417424E-2</c:v>
                </c:pt>
                <c:pt idx="41">
                  <c:v>1.1758698635800723E-2</c:v>
                </c:pt>
                <c:pt idx="42">
                  <c:v>1.2051514464360407E-2</c:v>
                </c:pt>
                <c:pt idx="43">
                  <c:v>1.2346200380508553E-2</c:v>
                </c:pt>
                <c:pt idx="44">
                  <c:v>1.2642753212729209E-2</c:v>
                </c:pt>
                <c:pt idx="45">
                  <c:v>1.2941169271323671E-2</c:v>
                </c:pt>
                <c:pt idx="46">
                  <c:v>1.3241444411632374E-2</c:v>
                </c:pt>
                <c:pt idx="47">
                  <c:v>1.3543574089852264E-2</c:v>
                </c:pt>
                <c:pt idx="48">
                  <c:v>1.3847553412404769E-2</c:v>
                </c:pt>
                <c:pt idx="49">
                  <c:v>1.415337717967181E-2</c:v>
                </c:pt>
                <c:pt idx="50">
                  <c:v>1.4461039924802143E-2</c:v>
                </c:pt>
                <c:pt idx="51">
                  <c:v>1.4770535948192672E-2</c:v>
                </c:pt>
                <c:pt idx="52">
                  <c:v>1.5081859348167064E-2</c:v>
                </c:pt>
                <c:pt idx="53">
                  <c:v>1.5395004048304035E-2</c:v>
                </c:pt>
                <c:pt idx="54">
                  <c:v>1.5709963821807799E-2</c:v>
                </c:pt>
                <c:pt idx="55">
                  <c:v>1.6026732313262744E-2</c:v>
                </c:pt>
                <c:pt idx="56">
                  <c:v>1.6345303058070134E-2</c:v>
                </c:pt>
                <c:pt idx="57">
                  <c:v>1.6665669499827736E-2</c:v>
                </c:pt>
                <c:pt idx="58">
                  <c:v>1.6987825005880634E-2</c:v>
                </c:pt>
                <c:pt idx="59">
                  <c:v>1.7311762881243798E-2</c:v>
                </c:pt>
                <c:pt idx="60">
                  <c:v>1.7637476381072721E-2</c:v>
                </c:pt>
                <c:pt idx="61">
                  <c:v>1.7964958721837773E-2</c:v>
                </c:pt>
                <c:pt idx="62">
                  <c:v>1.8294203091339334E-2</c:v>
                </c:pt>
                <c:pt idx="63">
                  <c:v>1.8625202657685379E-2</c:v>
                </c:pt>
                <c:pt idx="64">
                  <c:v>1.8957950577338949E-2</c:v>
                </c:pt>
                <c:pt idx="65">
                  <c:v>1.9292440002331098E-2</c:v>
                </c:pt>
                <c:pt idx="66">
                  <c:v>1.9628664086724201E-2</c:v>
                </c:pt>
                <c:pt idx="67">
                  <c:v>1.9966615992401113E-2</c:v>
                </c:pt>
                <c:pt idx="68">
                  <c:v>2.030628889424773E-2</c:v>
                </c:pt>
                <c:pt idx="69">
                  <c:v>2.0647675984788866E-2</c:v>
                </c:pt>
                <c:pt idx="70">
                  <c:v>2.099077047833146E-2</c:v>
                </c:pt>
                <c:pt idx="71">
                  <c:v>2.1335565614663019E-2</c:v>
                </c:pt>
                <c:pt idx="72">
                  <c:v>2.1682054662348616E-2</c:v>
                </c:pt>
                <c:pt idx="73">
                  <c:v>2.2030230921665072E-2</c:v>
                </c:pt>
                <c:pt idx="74">
                  <c:v>2.2380087727207038E-2</c:v>
                </c:pt>
                <c:pt idx="75">
                  <c:v>2.2731618450196341E-2</c:v>
                </c:pt>
                <c:pt idx="76">
                  <c:v>2.3084816500522777E-2</c:v>
                </c:pt>
                <c:pt idx="77">
                  <c:v>2.3439675328541479E-2</c:v>
                </c:pt>
                <c:pt idx="78">
                  <c:v>2.3796188426650149E-2</c:v>
                </c:pt>
                <c:pt idx="79">
                  <c:v>2.4154349330666389E-2</c:v>
                </c:pt>
                <c:pt idx="80">
                  <c:v>2.4514151621024147E-2</c:v>
                </c:pt>
                <c:pt idx="81">
                  <c:v>2.4875588923805987E-2</c:v>
                </c:pt>
                <c:pt idx="82">
                  <c:v>2.5238654911626447E-2</c:v>
                </c:pt>
                <c:pt idx="83">
                  <c:v>2.5603343304380573E-2</c:v>
                </c:pt>
                <c:pt idx="84">
                  <c:v>2.5969647869869935E-2</c:v>
                </c:pt>
                <c:pt idx="85">
                  <c:v>2.6337562424317562E-2</c:v>
                </c:pt>
                <c:pt idx="86">
                  <c:v>2.6707080832782379E-2</c:v>
                </c:pt>
                <c:pt idx="87">
                  <c:v>2.7078197009482226E-2</c:v>
                </c:pt>
                <c:pt idx="88">
                  <c:v>2.7450904918034154E-2</c:v>
                </c:pt>
                <c:pt idx="89">
                  <c:v>2.7825198571619945E-2</c:v>
                </c:pt>
                <c:pt idx="90">
                  <c:v>2.8201072033083543E-2</c:v>
                </c:pt>
                <c:pt idx="91">
                  <c:v>2.8578519414967231E-2</c:v>
                </c:pt>
                <c:pt idx="92">
                  <c:v>2.8957534879492174E-2</c:v>
                </c:pt>
                <c:pt idx="93">
                  <c:v>2.9338112638488789E-2</c:v>
                </c:pt>
                <c:pt idx="94">
                  <c:v>2.9720246953281817E-2</c:v>
                </c:pt>
                <c:pt idx="95">
                  <c:v>3.0103932134534481E-2</c:v>
                </c:pt>
                <c:pt idx="96">
                  <c:v>3.0489162542055963E-2</c:v>
                </c:pt>
                <c:pt idx="97">
                  <c:v>3.0875932584575584E-2</c:v>
                </c:pt>
                <c:pt idx="98">
                  <c:v>3.1264236719487484E-2</c:v>
                </c:pt>
                <c:pt idx="99">
                  <c:v>3.1654069452568608E-2</c:v>
                </c:pt>
                <c:pt idx="100">
                  <c:v>3.2045425337672906E-2</c:v>
                </c:pt>
                <c:pt idx="101">
                  <c:v>3.2438298976404281E-2</c:v>
                </c:pt>
                <c:pt idx="102">
                  <c:v>3.2832685017770841E-2</c:v>
                </c:pt>
                <c:pt idx="103">
                  <c:v>3.3228578157822292E-2</c:v>
                </c:pt>
                <c:pt idx="104">
                  <c:v>3.3625973139272763E-2</c:v>
                </c:pt>
                <c:pt idx="105">
                  <c:v>3.4024864751110578E-2</c:v>
                </c:pt>
                <c:pt idx="106">
                  <c:v>3.4425247828196906E-2</c:v>
                </c:pt>
                <c:pt idx="107">
                  <c:v>3.4827117250854502E-2</c:v>
                </c:pt>
                <c:pt idx="108">
                  <c:v>3.5230467944448181E-2</c:v>
                </c:pt>
                <c:pt idx="109">
                  <c:v>3.563529487895805E-2</c:v>
                </c:pt>
                <c:pt idx="110">
                  <c:v>3.6041593068546859E-2</c:v>
                </c:pt>
                <c:pt idx="111">
                  <c:v>3.6449357571122346E-2</c:v>
                </c:pt>
                <c:pt idx="112">
                  <c:v>3.6858583487895578E-2</c:v>
                </c:pt>
                <c:pt idx="113">
                  <c:v>3.7269265962936227E-2</c:v>
                </c:pt>
                <c:pt idx="114">
                  <c:v>3.7681400182725547E-2</c:v>
                </c:pt>
                <c:pt idx="115">
                  <c:v>3.8094981375707632E-2</c:v>
                </c:pt>
                <c:pt idx="116">
                  <c:v>3.8510004811839936E-2</c:v>
                </c:pt>
                <c:pt idx="117">
                  <c:v>3.892646580214322E-2</c:v>
                </c:pt>
                <c:pt idx="118">
                  <c:v>3.9344359698251979E-2</c:v>
                </c:pt>
                <c:pt idx="119">
                  <c:v>3.9763681891965288E-2</c:v>
                </c:pt>
                <c:pt idx="120">
                  <c:v>4.0184427814799063E-2</c:v>
                </c:pt>
                <c:pt idx="121">
                  <c:v>4.0606592937539689E-2</c:v>
                </c:pt>
                <c:pt idx="122">
                  <c:v>4.1030172769799665E-2</c:v>
                </c:pt>
                <c:pt idx="123">
                  <c:v>4.1455162859575553E-2</c:v>
                </c:pt>
                <c:pt idx="124">
                  <c:v>4.188155879280836E-2</c:v>
                </c:pt>
                <c:pt idx="125">
                  <c:v>4.2309356192946859E-2</c:v>
                </c:pt>
                <c:pt idx="126">
                  <c:v>4.2738550720513954E-2</c:v>
                </c:pt>
                <c:pt idx="127">
                  <c:v>4.3169138072676319E-2</c:v>
                </c:pt>
                <c:pt idx="128">
                  <c:v>4.3601113982817477E-2</c:v>
                </c:pt>
                <c:pt idx="129">
                  <c:v>4.4034474220114674E-2</c:v>
                </c:pt>
                <c:pt idx="130">
                  <c:v>4.4469214589119316E-2</c:v>
                </c:pt>
                <c:pt idx="131">
                  <c:v>4.4905330929341708E-2</c:v>
                </c:pt>
                <c:pt idx="132">
                  <c:v>4.5342819114839339E-2</c:v>
                </c:pt>
                <c:pt idx="133">
                  <c:v>4.5781675053809805E-2</c:v>
                </c:pt>
                <c:pt idx="134">
                  <c:v>4.6221894688187729E-2</c:v>
                </c:pt>
                <c:pt idx="135">
                  <c:v>4.6663473993245989E-2</c:v>
                </c:pt>
                <c:pt idx="136">
                  <c:v>4.7106408977201447E-2</c:v>
                </c:pt>
                <c:pt idx="137">
                  <c:v>4.7550695680824935E-2</c:v>
                </c:pt>
                <c:pt idx="138">
                  <c:v>4.7996330177055957E-2</c:v>
                </c:pt>
                <c:pt idx="139">
                  <c:v>4.844330857062154E-2</c:v>
                </c:pt>
                <c:pt idx="140">
                  <c:v>4.8891626997660066E-2</c:v>
                </c:pt>
                <c:pt idx="141">
                  <c:v>4.9341281625349259E-2</c:v>
                </c:pt>
                <c:pt idx="142">
                  <c:v>4.9792268651538803E-2</c:v>
                </c:pt>
                <c:pt idx="143">
                  <c:v>5.0244584304387788E-2</c:v>
                </c:pt>
                <c:pt idx="144">
                  <c:v>5.0698224842006333E-2</c:v>
                </c:pt>
                <c:pt idx="145">
                  <c:v>5.1153186552102027E-2</c:v>
                </c:pt>
                <c:pt idx="146">
                  <c:v>5.1609465751630834E-2</c:v>
                </c:pt>
                <c:pt idx="147">
                  <c:v>5.2067058786452312E-2</c:v>
                </c:pt>
                <c:pt idx="148">
                  <c:v>5.2525962030989817E-2</c:v>
                </c:pt>
                <c:pt idx="149">
                  <c:v>5.2986171887894548E-2</c:v>
                </c:pt>
                <c:pt idx="150">
                  <c:v>5.3447684787714597E-2</c:v>
                </c:pt>
              </c:numCache>
            </c:numRef>
          </c:yVal>
          <c:smooth val="1"/>
          <c:extLst>
            <c:ext xmlns:c16="http://schemas.microsoft.com/office/drawing/2014/chart" uri="{C3380CC4-5D6E-409C-BE32-E72D297353CC}">
              <c16:uniqueId val="{00000001-98B9-4A0F-9AF3-241E82BDC034}"/>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Eff_vs_IOUT!$BU$7:$BU$157</c:f>
              <c:numCache>
                <c:formatCode>General</c:formatCode>
                <c:ptCount val="151"/>
                <c:pt idx="0">
                  <c:v>0</c:v>
                </c:pt>
                <c:pt idx="1">
                  <c:v>1.3250773199998752E-6</c:v>
                </c:pt>
                <c:pt idx="2">
                  <c:v>3.7478846342736349E-6</c:v>
                </c:pt>
                <c:pt idx="3">
                  <c:v>6.885303726590964E-6</c:v>
                </c:pt>
                <c:pt idx="4">
                  <c:v>1.0600618559999005E-5</c:v>
                </c:pt>
                <c:pt idx="5">
                  <c:v>1.4814814814814812E-5</c:v>
                </c:pt>
                <c:pt idx="6">
                  <c:v>1.9474579822405906E-5</c:v>
                </c:pt>
                <c:pt idx="7">
                  <c:v>2.4540775396561373E-5</c:v>
                </c:pt>
                <c:pt idx="8">
                  <c:v>2.998307707418908E-5</c:v>
                </c:pt>
                <c:pt idx="9">
                  <c:v>3.5777087639996639E-5</c:v>
                </c:pt>
                <c:pt idx="10">
                  <c:v>4.1902624070313919E-5</c:v>
                </c:pt>
                <c:pt idx="11">
                  <c:v>4.8342627175142101E-5</c:v>
                </c:pt>
                <c:pt idx="12">
                  <c:v>5.5082429812727726E-5</c:v>
                </c:pt>
                <c:pt idx="13">
                  <c:v>6.2109244875781407E-5</c:v>
                </c:pt>
                <c:pt idx="14">
                  <c:v>6.9411794793938146E-5</c:v>
                </c:pt>
                <c:pt idx="15">
                  <c:v>7.6980035891950082E-5</c:v>
                </c:pt>
                <c:pt idx="16">
                  <c:v>8.4804948479992012E-5</c:v>
                </c:pt>
                <c:pt idx="17">
                  <c:v>9.2878373791987611E-5</c:v>
                </c:pt>
                <c:pt idx="18">
                  <c:v>1.0119288512538813E-4</c:v>
                </c:pt>
                <c:pt idx="19">
                  <c:v>1.0974168447488616E-4</c:v>
                </c:pt>
                <c:pt idx="20">
                  <c:v>1.1851851851851848E-4</c:v>
                </c:pt>
                <c:pt idx="21">
                  <c:v>1.2751760953194166E-4</c:v>
                </c:pt>
                <c:pt idx="22">
                  <c:v>1.3673359798366423E-4</c:v>
                </c:pt>
                <c:pt idx="23">
                  <c:v>1.461614943878892E-4</c:v>
                </c:pt>
                <c:pt idx="24">
                  <c:v>1.5579663857924724E-4</c:v>
                </c:pt>
                <c:pt idx="25">
                  <c:v>1.6563466499998442E-4</c:v>
                </c:pt>
                <c:pt idx="26">
                  <c:v>1.7567147290416349E-4</c:v>
                </c:pt>
                <c:pt idx="27">
                  <c:v>1.8590320061795602E-4</c:v>
                </c:pt>
                <c:pt idx="28">
                  <c:v>1.9632620317249099E-4</c:v>
                </c:pt>
                <c:pt idx="29">
                  <c:v>2.0693703276146769E-4</c:v>
                </c:pt>
                <c:pt idx="30">
                  <c:v>2.1773242158072689E-4</c:v>
                </c:pt>
                <c:pt idx="31">
                  <c:v>2.2870926668897823E-4</c:v>
                </c:pt>
                <c:pt idx="32">
                  <c:v>2.3986461659351264E-4</c:v>
                </c:pt>
                <c:pt idx="33">
                  <c:v>2.5119565931611815E-4</c:v>
                </c:pt>
                <c:pt idx="34">
                  <c:v>2.626997117355735E-4</c:v>
                </c:pt>
                <c:pt idx="35">
                  <c:v>2.7437421003632777E-4</c:v>
                </c:pt>
                <c:pt idx="36">
                  <c:v>2.8621670111997311E-4</c:v>
                </c:pt>
                <c:pt idx="37">
                  <c:v>2.9822483485819932E-4</c:v>
                </c:pt>
                <c:pt idx="38">
                  <c:v>3.1039635708410572E-4</c:v>
                </c:pt>
                <c:pt idx="39">
                  <c:v>3.227291032337712E-4</c:v>
                </c:pt>
                <c:pt idx="40">
                  <c:v>3.3522099256251135E-4</c:v>
                </c:pt>
                <c:pt idx="41">
                  <c:v>3.4787002287071445E-4</c:v>
                </c:pt>
                <c:pt idx="42">
                  <c:v>3.6067426568293719E-4</c:v>
                </c:pt>
                <c:pt idx="43">
                  <c:v>3.736318618313794E-4</c:v>
                </c:pt>
                <c:pt idx="44">
                  <c:v>3.8674101740113686E-4</c:v>
                </c:pt>
                <c:pt idx="45">
                  <c:v>4.0000000000000002E-4</c:v>
                </c:pt>
                <c:pt idx="46">
                  <c:v>4.13407135320144E-4</c:v>
                </c:pt>
                <c:pt idx="47">
                  <c:v>4.2696080396297892E-4</c:v>
                </c:pt>
                <c:pt idx="48">
                  <c:v>4.406594385018217E-4</c:v>
                </c:pt>
                <c:pt idx="49">
                  <c:v>4.5450152075995735E-4</c:v>
                </c:pt>
                <c:pt idx="50">
                  <c:v>4.6848557928420447E-4</c:v>
                </c:pt>
                <c:pt idx="51">
                  <c:v>4.8261018699628875E-4</c:v>
                </c:pt>
                <c:pt idx="52">
                  <c:v>4.9687395900625125E-4</c:v>
                </c:pt>
                <c:pt idx="53">
                  <c:v>5.1127555057379841E-4</c:v>
                </c:pt>
                <c:pt idx="54">
                  <c:v>5.2581365520495949E-4</c:v>
                </c:pt>
                <c:pt idx="55">
                  <c:v>5.4048700287273176E-4</c:v>
                </c:pt>
                <c:pt idx="56">
                  <c:v>5.5529435835150506E-4</c:v>
                </c:pt>
                <c:pt idx="57">
                  <c:v>5.7023451965608637E-4</c:v>
                </c:pt>
                <c:pt idx="58">
                  <c:v>5.8530631657702605E-4</c:v>
                </c:pt>
                <c:pt idx="59">
                  <c:v>6.0050860930473647E-4</c:v>
                </c:pt>
                <c:pt idx="60">
                  <c:v>6.1584028713560065E-4</c:v>
                </c:pt>
                <c:pt idx="61">
                  <c:v>6.3130026725389751E-4</c:v>
                </c:pt>
                <c:pt idx="62">
                  <c:v>6.4688749358391632E-4</c:v>
                </c:pt>
                <c:pt idx="63">
                  <c:v>6.6260093570715722E-4</c:v>
                </c:pt>
                <c:pt idx="64">
                  <c:v>6.7843958783993632E-4</c:v>
                </c:pt>
                <c:pt idx="65">
                  <c:v>6.9440246786713858E-4</c:v>
                </c:pt>
                <c:pt idx="66">
                  <c:v>7.1048861642821154E-4</c:v>
                </c:pt>
                <c:pt idx="67">
                  <c:v>7.2669709605182177E-4</c:v>
                </c:pt>
                <c:pt idx="68">
                  <c:v>7.4302699033590078E-4</c:v>
                </c:pt>
                <c:pt idx="69">
                  <c:v>7.5947740317005208E-4</c:v>
                </c:pt>
                <c:pt idx="70">
                  <c:v>7.7604745799755826E-4</c:v>
                </c:pt>
                <c:pt idx="71">
                  <c:v>7.9273629711442437E-4</c:v>
                </c:pt>
                <c:pt idx="72">
                  <c:v>8.0954308100310507E-4</c:v>
                </c:pt>
                <c:pt idx="73">
                  <c:v>8.2646698769874038E-4</c:v>
                </c:pt>
                <c:pt idx="74">
                  <c:v>8.4350721218588438E-4</c:v>
                </c:pt>
                <c:pt idx="75">
                  <c:v>8.6066296582387042E-4</c:v>
                </c:pt>
                <c:pt idx="76">
                  <c:v>8.7793347579908938E-4</c:v>
                </c:pt>
                <c:pt idx="77">
                  <c:v>8.9531798460257262E-4</c:v>
                </c:pt>
                <c:pt idx="78">
                  <c:v>9.1281574953141153E-4</c:v>
                </c:pt>
                <c:pt idx="79">
                  <c:v>9.3042604221261712E-4</c:v>
                </c:pt>
                <c:pt idx="80">
                  <c:v>9.4814814814814794E-4</c:v>
                </c:pt>
                <c:pt idx="81">
                  <c:v>9.6598136627990927E-4</c:v>
                </c:pt>
                <c:pt idx="82">
                  <c:v>9.8392500857360631E-4</c:v>
                </c:pt>
                <c:pt idx="83">
                  <c:v>1.0019783996204202E-3</c:v>
                </c:pt>
                <c:pt idx="84">
                  <c:v>1.0201408762555337E-3</c:v>
                </c:pt>
                <c:pt idx="85">
                  <c:v>1.038411787192596E-3</c:v>
                </c:pt>
                <c:pt idx="86">
                  <c:v>1.0567904926732938E-3</c:v>
                </c:pt>
                <c:pt idx="87">
                  <c:v>1.0752763641312217E-3</c:v>
                </c:pt>
                <c:pt idx="88">
                  <c:v>1.0938687838693132E-3</c:v>
                </c:pt>
                <c:pt idx="89">
                  <c:v>1.112567144750151E-3</c:v>
                </c:pt>
                <c:pt idx="90">
                  <c:v>1.1313708498984758E-3</c:v>
                </c:pt>
                <c:pt idx="91">
                  <c:v>1.1502793124153127E-3</c:v>
                </c:pt>
                <c:pt idx="92">
                  <c:v>1.1692919551031138E-3</c:v>
                </c:pt>
                <c:pt idx="93">
                  <c:v>1.1884082102013916E-3</c:v>
                </c:pt>
                <c:pt idx="94">
                  <c:v>1.2076275191323306E-3</c:v>
                </c:pt>
                <c:pt idx="95">
                  <c:v>1.2269493322558929E-3</c:v>
                </c:pt>
                <c:pt idx="96">
                  <c:v>1.246373108633978E-3</c:v>
                </c:pt>
                <c:pt idx="97">
                  <c:v>1.2658983158031934E-3</c:v>
                </c:pt>
                <c:pt idx="98">
                  <c:v>1.2855244295558567E-3</c:v>
                </c:pt>
                <c:pt idx="99">
                  <c:v>1.3052509337288364E-3</c:v>
                </c:pt>
                <c:pt idx="100">
                  <c:v>1.3250773199998756E-3</c:v>
                </c:pt>
                <c:pt idx="101">
                  <c:v>1.3450030876910625E-3</c:v>
                </c:pt>
                <c:pt idx="102">
                  <c:v>1.3650277435791338E-3</c:v>
                </c:pt>
                <c:pt idx="103">
                  <c:v>1.3851508017122991E-3</c:v>
                </c:pt>
                <c:pt idx="104">
                  <c:v>1.4053717832333084E-3</c:v>
                </c:pt>
                <c:pt idx="105">
                  <c:v>1.4256902162084837E-3</c:v>
                </c:pt>
                <c:pt idx="106">
                  <c:v>1.4461056354624735E-3</c:v>
                </c:pt>
                <c:pt idx="107">
                  <c:v>1.4666175824184656E-3</c:v>
                </c:pt>
                <c:pt idx="108">
                  <c:v>1.4872256049436483E-3</c:v>
                </c:pt>
                <c:pt idx="109">
                  <c:v>1.507929257199685E-3</c:v>
                </c:pt>
                <c:pt idx="110">
                  <c:v>1.5287280994980067E-3</c:v>
                </c:pt>
                <c:pt idx="111">
                  <c:v>1.5496216981597177E-3</c:v>
                </c:pt>
                <c:pt idx="112">
                  <c:v>1.5706096253799279E-3</c:v>
                </c:pt>
                <c:pt idx="113">
                  <c:v>1.5916914590963346E-3</c:v>
                </c:pt>
                <c:pt idx="114">
                  <c:v>1.6128667828618889E-3</c:v>
                </c:pt>
                <c:pt idx="115">
                  <c:v>1.6341351857213709E-3</c:v>
                </c:pt>
                <c:pt idx="116">
                  <c:v>1.6554962620917411E-3</c:v>
                </c:pt>
                <c:pt idx="117">
                  <c:v>1.676949611646098E-3</c:v>
                </c:pt>
                <c:pt idx="118">
                  <c:v>1.6984948392011288E-3</c:v>
                </c:pt>
                <c:pt idx="119">
                  <c:v>1.720131554607888E-3</c:v>
                </c:pt>
                <c:pt idx="120">
                  <c:v>1.7418593726458151E-3</c:v>
                </c:pt>
                <c:pt idx="121">
                  <c:v>1.7636779129198343E-3</c:v>
                </c:pt>
                <c:pt idx="122">
                  <c:v>1.7855867997604421E-3</c:v>
                </c:pt>
                <c:pt idx="123">
                  <c:v>1.807585662126674E-3</c:v>
                </c:pt>
                <c:pt idx="124">
                  <c:v>1.8296741335118256E-3</c:v>
                </c:pt>
                <c:pt idx="125">
                  <c:v>1.8518518518518519E-3</c:v>
                </c:pt>
                <c:pt idx="126">
                  <c:v>1.874118459436329E-3</c:v>
                </c:pt>
                <c:pt idx="127">
                  <c:v>1.8964736028218997E-3</c:v>
                </c:pt>
                <c:pt idx="128">
                  <c:v>1.9189169327481011E-3</c:v>
                </c:pt>
                <c:pt idx="129">
                  <c:v>1.9414481040555124E-3</c:v>
                </c:pt>
                <c:pt idx="130">
                  <c:v>1.9640667756061088E-3</c:v>
                </c:pt>
                <c:pt idx="131">
                  <c:v>1.9867726102057886E-3</c:v>
                </c:pt>
                <c:pt idx="132">
                  <c:v>2.0095652745289452E-3</c:v>
                </c:pt>
                <c:pt idx="133">
                  <c:v>2.0324444390450659E-3</c:v>
                </c:pt>
                <c:pt idx="134">
                  <c:v>2.0554097779472615E-3</c:v>
                </c:pt>
                <c:pt idx="135">
                  <c:v>2.078460969082653E-3</c:v>
                </c:pt>
                <c:pt idx="136">
                  <c:v>2.101597693884588E-3</c:v>
                </c:pt>
                <c:pt idx="137">
                  <c:v>2.1248196373065821E-3</c:v>
                </c:pt>
                <c:pt idx="138">
                  <c:v>2.1481264877579744E-3</c:v>
                </c:pt>
                <c:pt idx="139">
                  <c:v>2.1715179370411916E-3</c:v>
                </c:pt>
                <c:pt idx="140">
                  <c:v>2.1949936802906221E-3</c:v>
                </c:pt>
                <c:pt idx="141">
                  <c:v>2.2185534159130044E-3</c:v>
                </c:pt>
                <c:pt idx="142">
                  <c:v>2.2421968455292921E-3</c:v>
                </c:pt>
                <c:pt idx="143">
                  <c:v>2.2659236739179787E-3</c:v>
                </c:pt>
                <c:pt idx="144">
                  <c:v>2.2897336089597849E-3</c:v>
                </c:pt>
                <c:pt idx="145">
                  <c:v>2.3136263615837127E-3</c:v>
                </c:pt>
                <c:pt idx="146">
                  <c:v>2.3376016457143938E-3</c:v>
                </c:pt>
                <c:pt idx="147">
                  <c:v>2.3616591782206998E-3</c:v>
                </c:pt>
                <c:pt idx="148">
                  <c:v>2.3857986788655959E-3</c:v>
                </c:pt>
                <c:pt idx="149">
                  <c:v>2.4100198702571513E-3</c:v>
                </c:pt>
                <c:pt idx="150">
                  <c:v>2.4343224778007378E-3</c:v>
                </c:pt>
              </c:numCache>
            </c:numRef>
          </c:yVal>
          <c:smooth val="1"/>
          <c:extLst>
            <c:ext xmlns:c16="http://schemas.microsoft.com/office/drawing/2014/chart" uri="{C3380CC4-5D6E-409C-BE32-E72D297353CC}">
              <c16:uniqueId val="{00000002-98B9-4A0F-9AF3-241E82BDC034}"/>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Eff_vs_IOUT!$AY$8:$AY$157</c:f>
              <c:numCache>
                <c:formatCode>General</c:formatCode>
                <c:ptCount val="150"/>
                <c:pt idx="0">
                  <c:v>3.8333333333333334E-5</c:v>
                </c:pt>
                <c:pt idx="1">
                  <c:v>7.6666666666666669E-5</c:v>
                </c:pt>
                <c:pt idx="2">
                  <c:v>1.1500000000000002E-4</c:v>
                </c:pt>
                <c:pt idx="3">
                  <c:v>1.5333333333333334E-4</c:v>
                </c:pt>
                <c:pt idx="4">
                  <c:v>1.9166666666666665E-4</c:v>
                </c:pt>
                <c:pt idx="5">
                  <c:v>2.3000000000000003E-4</c:v>
                </c:pt>
                <c:pt idx="6">
                  <c:v>2.6833333333333331E-4</c:v>
                </c:pt>
                <c:pt idx="7">
                  <c:v>3.0666666666666668E-4</c:v>
                </c:pt>
                <c:pt idx="8">
                  <c:v>3.4499999999999998E-4</c:v>
                </c:pt>
                <c:pt idx="9">
                  <c:v>3.8333333333333329E-4</c:v>
                </c:pt>
                <c:pt idx="10">
                  <c:v>4.2166666666666665E-4</c:v>
                </c:pt>
                <c:pt idx="11">
                  <c:v>4.6000000000000007E-4</c:v>
                </c:pt>
                <c:pt idx="12">
                  <c:v>4.9833333333333338E-4</c:v>
                </c:pt>
                <c:pt idx="13">
                  <c:v>5.3666666666666663E-4</c:v>
                </c:pt>
                <c:pt idx="14">
                  <c:v>5.7499999999999999E-4</c:v>
                </c:pt>
                <c:pt idx="15">
                  <c:v>6.1333333333333335E-4</c:v>
                </c:pt>
                <c:pt idx="16">
                  <c:v>6.5166666666666671E-4</c:v>
                </c:pt>
                <c:pt idx="17">
                  <c:v>6.8999999999999997E-4</c:v>
                </c:pt>
                <c:pt idx="18">
                  <c:v>7.2833333333333333E-4</c:v>
                </c:pt>
                <c:pt idx="19">
                  <c:v>7.6666666666666658E-4</c:v>
                </c:pt>
                <c:pt idx="20">
                  <c:v>8.0499999999999994E-4</c:v>
                </c:pt>
                <c:pt idx="21">
                  <c:v>8.433333333333333E-4</c:v>
                </c:pt>
                <c:pt idx="22">
                  <c:v>8.8166666666666677E-4</c:v>
                </c:pt>
                <c:pt idx="23">
                  <c:v>9.2000000000000014E-4</c:v>
                </c:pt>
                <c:pt idx="24">
                  <c:v>9.5833333333333328E-4</c:v>
                </c:pt>
                <c:pt idx="25">
                  <c:v>9.9666666666666675E-4</c:v>
                </c:pt>
                <c:pt idx="26">
                  <c:v>1.0350000000000001E-3</c:v>
                </c:pt>
                <c:pt idx="27">
                  <c:v>1.0733333333333333E-3</c:v>
                </c:pt>
                <c:pt idx="28">
                  <c:v>1.1116666666666666E-3</c:v>
                </c:pt>
                <c:pt idx="29">
                  <c:v>1.15E-3</c:v>
                </c:pt>
                <c:pt idx="30">
                  <c:v>1.1883333333333333E-3</c:v>
                </c:pt>
                <c:pt idx="31">
                  <c:v>1.2266666666666667E-3</c:v>
                </c:pt>
                <c:pt idx="32">
                  <c:v>1.2650000000000001E-3</c:v>
                </c:pt>
                <c:pt idx="33">
                  <c:v>1.3033333333333334E-3</c:v>
                </c:pt>
                <c:pt idx="34">
                  <c:v>1.3416666666666666E-3</c:v>
                </c:pt>
                <c:pt idx="35">
                  <c:v>1.3799999999999999E-3</c:v>
                </c:pt>
                <c:pt idx="36">
                  <c:v>1.4183333333333333E-3</c:v>
                </c:pt>
                <c:pt idx="37">
                  <c:v>1.4566666666666667E-3</c:v>
                </c:pt>
                <c:pt idx="38">
                  <c:v>1.495E-3</c:v>
                </c:pt>
                <c:pt idx="39">
                  <c:v>1.5333333333333332E-3</c:v>
                </c:pt>
                <c:pt idx="40">
                  <c:v>1.5716666666666667E-3</c:v>
                </c:pt>
                <c:pt idx="41">
                  <c:v>1.6099999999999999E-3</c:v>
                </c:pt>
                <c:pt idx="42">
                  <c:v>1.6483333333333332E-3</c:v>
                </c:pt>
                <c:pt idx="43">
                  <c:v>1.6866666666666666E-3</c:v>
                </c:pt>
                <c:pt idx="44">
                  <c:v>1.725E-3</c:v>
                </c:pt>
                <c:pt idx="45">
                  <c:v>1.7633333333333335E-3</c:v>
                </c:pt>
                <c:pt idx="46">
                  <c:v>1.8016666666666667E-3</c:v>
                </c:pt>
                <c:pt idx="47">
                  <c:v>1.8400000000000003E-3</c:v>
                </c:pt>
                <c:pt idx="48">
                  <c:v>1.8783333333333332E-3</c:v>
                </c:pt>
                <c:pt idx="49">
                  <c:v>1.9166666666666666E-3</c:v>
                </c:pt>
                <c:pt idx="50">
                  <c:v>1.9550000000000001E-3</c:v>
                </c:pt>
                <c:pt idx="51">
                  <c:v>1.9933333333333335E-3</c:v>
                </c:pt>
                <c:pt idx="52">
                  <c:v>2.0316666666666669E-3</c:v>
                </c:pt>
                <c:pt idx="53">
                  <c:v>2.0700000000000002E-3</c:v>
                </c:pt>
                <c:pt idx="54">
                  <c:v>2.1083333333333332E-3</c:v>
                </c:pt>
                <c:pt idx="55">
                  <c:v>2.1466666666666665E-3</c:v>
                </c:pt>
                <c:pt idx="56">
                  <c:v>2.1849999999999999E-3</c:v>
                </c:pt>
                <c:pt idx="57">
                  <c:v>2.2233333333333332E-3</c:v>
                </c:pt>
                <c:pt idx="58">
                  <c:v>2.2616666666666666E-3</c:v>
                </c:pt>
                <c:pt idx="59">
                  <c:v>2.3E-3</c:v>
                </c:pt>
                <c:pt idx="60">
                  <c:v>2.3383333333333333E-3</c:v>
                </c:pt>
                <c:pt idx="61">
                  <c:v>2.3766666666666667E-3</c:v>
                </c:pt>
                <c:pt idx="62">
                  <c:v>2.415E-3</c:v>
                </c:pt>
                <c:pt idx="63">
                  <c:v>2.4533333333333334E-3</c:v>
                </c:pt>
                <c:pt idx="64">
                  <c:v>2.4916666666666663E-3</c:v>
                </c:pt>
                <c:pt idx="65">
                  <c:v>2.5300000000000001E-3</c:v>
                </c:pt>
                <c:pt idx="66">
                  <c:v>2.5683333333333331E-3</c:v>
                </c:pt>
                <c:pt idx="67">
                  <c:v>2.6066666666666669E-3</c:v>
                </c:pt>
                <c:pt idx="68">
                  <c:v>2.6449999999999998E-3</c:v>
                </c:pt>
                <c:pt idx="69">
                  <c:v>2.6833333333333331E-3</c:v>
                </c:pt>
                <c:pt idx="70">
                  <c:v>2.7216666666666665E-3</c:v>
                </c:pt>
                <c:pt idx="71">
                  <c:v>2.7599999999999999E-3</c:v>
                </c:pt>
                <c:pt idx="72">
                  <c:v>2.7983333333333332E-3</c:v>
                </c:pt>
                <c:pt idx="73">
                  <c:v>2.8366666666666666E-3</c:v>
                </c:pt>
                <c:pt idx="74">
                  <c:v>2.875E-3</c:v>
                </c:pt>
                <c:pt idx="75">
                  <c:v>2.9133333333333333E-3</c:v>
                </c:pt>
                <c:pt idx="76">
                  <c:v>2.9516666666666667E-3</c:v>
                </c:pt>
                <c:pt idx="77">
                  <c:v>2.99E-3</c:v>
                </c:pt>
                <c:pt idx="78">
                  <c:v>3.0283333333333334E-3</c:v>
                </c:pt>
                <c:pt idx="79">
                  <c:v>3.0666666666666663E-3</c:v>
                </c:pt>
                <c:pt idx="80">
                  <c:v>3.1049999999999993E-3</c:v>
                </c:pt>
                <c:pt idx="81">
                  <c:v>3.1433333333333335E-3</c:v>
                </c:pt>
                <c:pt idx="82">
                  <c:v>3.1816666666666664E-3</c:v>
                </c:pt>
                <c:pt idx="83">
                  <c:v>3.2199999999999998E-3</c:v>
                </c:pt>
                <c:pt idx="84">
                  <c:v>3.2583333333333331E-3</c:v>
                </c:pt>
                <c:pt idx="85">
                  <c:v>3.2966666666666665E-3</c:v>
                </c:pt>
                <c:pt idx="86">
                  <c:v>3.3349999999999999E-3</c:v>
                </c:pt>
                <c:pt idx="87">
                  <c:v>3.3733333333333332E-3</c:v>
                </c:pt>
                <c:pt idx="88">
                  <c:v>3.4116666666666666E-3</c:v>
                </c:pt>
                <c:pt idx="89">
                  <c:v>3.4499999999999999E-3</c:v>
                </c:pt>
                <c:pt idx="90">
                  <c:v>3.4883333333333329E-3</c:v>
                </c:pt>
                <c:pt idx="91">
                  <c:v>3.5266666666666671E-3</c:v>
                </c:pt>
                <c:pt idx="92">
                  <c:v>3.565E-3</c:v>
                </c:pt>
                <c:pt idx="93">
                  <c:v>3.6033333333333334E-3</c:v>
                </c:pt>
                <c:pt idx="94">
                  <c:v>3.6416666666666663E-3</c:v>
                </c:pt>
                <c:pt idx="95">
                  <c:v>3.6800000000000005E-3</c:v>
                </c:pt>
                <c:pt idx="96">
                  <c:v>3.7183333333333335E-3</c:v>
                </c:pt>
                <c:pt idx="97">
                  <c:v>3.7566666666666664E-3</c:v>
                </c:pt>
                <c:pt idx="98">
                  <c:v>3.7949999999999998E-3</c:v>
                </c:pt>
                <c:pt idx="99">
                  <c:v>3.8333333333333331E-3</c:v>
                </c:pt>
                <c:pt idx="100">
                  <c:v>3.8716666666666669E-3</c:v>
                </c:pt>
                <c:pt idx="101">
                  <c:v>3.9100000000000003E-3</c:v>
                </c:pt>
                <c:pt idx="102">
                  <c:v>3.9483333333333332E-3</c:v>
                </c:pt>
                <c:pt idx="103">
                  <c:v>3.986666666666667E-3</c:v>
                </c:pt>
                <c:pt idx="104">
                  <c:v>4.0249999999999999E-3</c:v>
                </c:pt>
                <c:pt idx="105">
                  <c:v>4.0633333333333337E-3</c:v>
                </c:pt>
                <c:pt idx="106">
                  <c:v>4.1016666666666667E-3</c:v>
                </c:pt>
                <c:pt idx="107">
                  <c:v>4.1400000000000005E-3</c:v>
                </c:pt>
                <c:pt idx="108">
                  <c:v>4.1783333333333334E-3</c:v>
                </c:pt>
                <c:pt idx="109">
                  <c:v>4.2166666666666663E-3</c:v>
                </c:pt>
                <c:pt idx="110">
                  <c:v>4.2550000000000001E-3</c:v>
                </c:pt>
                <c:pt idx="111">
                  <c:v>4.293333333333333E-3</c:v>
                </c:pt>
                <c:pt idx="112">
                  <c:v>4.3316666666666668E-3</c:v>
                </c:pt>
                <c:pt idx="113">
                  <c:v>4.3699999999999998E-3</c:v>
                </c:pt>
                <c:pt idx="114">
                  <c:v>4.4083333333333327E-3</c:v>
                </c:pt>
                <c:pt idx="115">
                  <c:v>4.4466666666666665E-3</c:v>
                </c:pt>
                <c:pt idx="116">
                  <c:v>4.4850000000000003E-3</c:v>
                </c:pt>
                <c:pt idx="117">
                  <c:v>4.5233333333333332E-3</c:v>
                </c:pt>
                <c:pt idx="118">
                  <c:v>4.561666666666667E-3</c:v>
                </c:pt>
                <c:pt idx="119">
                  <c:v>4.5999999999999999E-3</c:v>
                </c:pt>
                <c:pt idx="120">
                  <c:v>4.6383333333333337E-3</c:v>
                </c:pt>
                <c:pt idx="121">
                  <c:v>4.6766666666666666E-3</c:v>
                </c:pt>
                <c:pt idx="122">
                  <c:v>4.7150000000000004E-3</c:v>
                </c:pt>
                <c:pt idx="123">
                  <c:v>4.7533333333333334E-3</c:v>
                </c:pt>
                <c:pt idx="124">
                  <c:v>4.7916666666666663E-3</c:v>
                </c:pt>
                <c:pt idx="125">
                  <c:v>4.8300000000000001E-3</c:v>
                </c:pt>
                <c:pt idx="126">
                  <c:v>4.868333333333333E-3</c:v>
                </c:pt>
                <c:pt idx="127">
                  <c:v>4.9066666666666668E-3</c:v>
                </c:pt>
                <c:pt idx="128">
                  <c:v>4.9449999999999997E-3</c:v>
                </c:pt>
                <c:pt idx="129">
                  <c:v>4.9833333333333327E-3</c:v>
                </c:pt>
                <c:pt idx="130">
                  <c:v>5.0216666666666665E-3</c:v>
                </c:pt>
                <c:pt idx="131">
                  <c:v>5.0600000000000003E-3</c:v>
                </c:pt>
                <c:pt idx="132">
                  <c:v>5.0983333333333332E-3</c:v>
                </c:pt>
                <c:pt idx="133">
                  <c:v>5.1366666666666661E-3</c:v>
                </c:pt>
                <c:pt idx="134">
                  <c:v>5.174999999999999E-3</c:v>
                </c:pt>
                <c:pt idx="135">
                  <c:v>5.2133333333333337E-3</c:v>
                </c:pt>
                <c:pt idx="136">
                  <c:v>5.2516666666666666E-3</c:v>
                </c:pt>
                <c:pt idx="137">
                  <c:v>5.2899999999999996E-3</c:v>
                </c:pt>
                <c:pt idx="138">
                  <c:v>5.3283333333333325E-3</c:v>
                </c:pt>
                <c:pt idx="139">
                  <c:v>5.3666666666666663E-3</c:v>
                </c:pt>
                <c:pt idx="140">
                  <c:v>5.4050000000000001E-3</c:v>
                </c:pt>
                <c:pt idx="141">
                  <c:v>5.443333333333333E-3</c:v>
                </c:pt>
                <c:pt idx="142">
                  <c:v>5.4816666666666668E-3</c:v>
                </c:pt>
                <c:pt idx="143">
                  <c:v>5.5199999999999997E-3</c:v>
                </c:pt>
                <c:pt idx="144">
                  <c:v>5.5583333333333335E-3</c:v>
                </c:pt>
                <c:pt idx="145">
                  <c:v>5.5966666666666665E-3</c:v>
                </c:pt>
                <c:pt idx="146">
                  <c:v>5.6350000000000003E-3</c:v>
                </c:pt>
                <c:pt idx="147">
                  <c:v>5.6733333333333332E-3</c:v>
                </c:pt>
                <c:pt idx="148">
                  <c:v>5.711666666666667E-3</c:v>
                </c:pt>
                <c:pt idx="149">
                  <c:v>5.7499999999999999E-3</c:v>
                </c:pt>
              </c:numCache>
            </c:numRef>
          </c:yVal>
          <c:smooth val="1"/>
          <c:extLst>
            <c:ext xmlns:c16="http://schemas.microsoft.com/office/drawing/2014/chart" uri="{C3380CC4-5D6E-409C-BE32-E72D297353CC}">
              <c16:uniqueId val="{00000003-98B9-4A0F-9AF3-241E82BDC034}"/>
            </c:ext>
          </c:extLst>
        </c:ser>
        <c:ser>
          <c:idx val="4"/>
          <c:order val="4"/>
          <c:tx>
            <c:v>D2</c:v>
          </c:tx>
          <c:marker>
            <c:symbol val="none"/>
          </c:marker>
          <c:xVal>
            <c:numRef>
              <c:f>Eff_vs_IOUT!$R$8:$R$157</c:f>
              <c:numCache>
                <c:formatCode>General</c:formatCode>
                <c:ptCount val="150"/>
                <c:pt idx="0">
                  <c:v>0.05</c:v>
                </c:pt>
                <c:pt idx="1">
                  <c:v>0.1</c:v>
                </c:pt>
                <c:pt idx="2">
                  <c:v>0.15000000000000002</c:v>
                </c:pt>
                <c:pt idx="3">
                  <c:v>0.2</c:v>
                </c:pt>
                <c:pt idx="4">
                  <c:v>0.25</c:v>
                </c:pt>
                <c:pt idx="5">
                  <c:v>0.30000000000000004</c:v>
                </c:pt>
                <c:pt idx="6">
                  <c:v>0.35000000000000003</c:v>
                </c:pt>
                <c:pt idx="7">
                  <c:v>0.4</c:v>
                </c:pt>
                <c:pt idx="8">
                  <c:v>0.45</c:v>
                </c:pt>
                <c:pt idx="9">
                  <c:v>0.5</c:v>
                </c:pt>
                <c:pt idx="10">
                  <c:v>0.55000000000000004</c:v>
                </c:pt>
                <c:pt idx="11">
                  <c:v>0.60000000000000009</c:v>
                </c:pt>
                <c:pt idx="12">
                  <c:v>0.65</c:v>
                </c:pt>
                <c:pt idx="13">
                  <c:v>0.70000000000000007</c:v>
                </c:pt>
                <c:pt idx="14">
                  <c:v>0.75</c:v>
                </c:pt>
                <c:pt idx="15">
                  <c:v>0.8</c:v>
                </c:pt>
                <c:pt idx="16">
                  <c:v>0.85000000000000009</c:v>
                </c:pt>
                <c:pt idx="17">
                  <c:v>0.9</c:v>
                </c:pt>
                <c:pt idx="18">
                  <c:v>0.95000000000000007</c:v>
                </c:pt>
                <c:pt idx="19">
                  <c:v>1</c:v>
                </c:pt>
                <c:pt idx="20">
                  <c:v>1.05</c:v>
                </c:pt>
                <c:pt idx="21">
                  <c:v>1.1000000000000001</c:v>
                </c:pt>
                <c:pt idx="22">
                  <c:v>1.1500000000000001</c:v>
                </c:pt>
                <c:pt idx="23">
                  <c:v>1.2000000000000002</c:v>
                </c:pt>
                <c:pt idx="24">
                  <c:v>1.25</c:v>
                </c:pt>
                <c:pt idx="25">
                  <c:v>1.3</c:v>
                </c:pt>
                <c:pt idx="26">
                  <c:v>1.35</c:v>
                </c:pt>
                <c:pt idx="27">
                  <c:v>1.4000000000000001</c:v>
                </c:pt>
                <c:pt idx="28">
                  <c:v>1.4500000000000002</c:v>
                </c:pt>
                <c:pt idx="29">
                  <c:v>1.5</c:v>
                </c:pt>
                <c:pt idx="30">
                  <c:v>1.55</c:v>
                </c:pt>
                <c:pt idx="31">
                  <c:v>1.6</c:v>
                </c:pt>
                <c:pt idx="32">
                  <c:v>1.6500000000000001</c:v>
                </c:pt>
                <c:pt idx="33">
                  <c:v>1.7000000000000002</c:v>
                </c:pt>
                <c:pt idx="34">
                  <c:v>1.75</c:v>
                </c:pt>
                <c:pt idx="35">
                  <c:v>1.8</c:v>
                </c:pt>
                <c:pt idx="36">
                  <c:v>1.85</c:v>
                </c:pt>
                <c:pt idx="37">
                  <c:v>1.9000000000000001</c:v>
                </c:pt>
                <c:pt idx="38">
                  <c:v>1.9500000000000002</c:v>
                </c:pt>
                <c:pt idx="39">
                  <c:v>2</c:v>
                </c:pt>
                <c:pt idx="40">
                  <c:v>2.0500000000000003</c:v>
                </c:pt>
                <c:pt idx="41">
                  <c:v>2.1</c:v>
                </c:pt>
                <c:pt idx="42">
                  <c:v>2.15</c:v>
                </c:pt>
                <c:pt idx="43">
                  <c:v>2.2000000000000002</c:v>
                </c:pt>
                <c:pt idx="44">
                  <c:v>2.25</c:v>
                </c:pt>
                <c:pt idx="45">
                  <c:v>2.3000000000000003</c:v>
                </c:pt>
                <c:pt idx="46">
                  <c:v>2.35</c:v>
                </c:pt>
                <c:pt idx="47">
                  <c:v>2.4000000000000004</c:v>
                </c:pt>
                <c:pt idx="48">
                  <c:v>2.4500000000000002</c:v>
                </c:pt>
                <c:pt idx="49">
                  <c:v>2.5</c:v>
                </c:pt>
                <c:pt idx="50">
                  <c:v>2.5500000000000003</c:v>
                </c:pt>
                <c:pt idx="51">
                  <c:v>2.6</c:v>
                </c:pt>
                <c:pt idx="52">
                  <c:v>2.6500000000000004</c:v>
                </c:pt>
                <c:pt idx="53">
                  <c:v>2.7</c:v>
                </c:pt>
                <c:pt idx="54">
                  <c:v>2.75</c:v>
                </c:pt>
                <c:pt idx="55">
                  <c:v>2.8000000000000003</c:v>
                </c:pt>
                <c:pt idx="56">
                  <c:v>2.85</c:v>
                </c:pt>
                <c:pt idx="57">
                  <c:v>2.9000000000000004</c:v>
                </c:pt>
                <c:pt idx="58">
                  <c:v>2.95</c:v>
                </c:pt>
                <c:pt idx="59">
                  <c:v>3</c:v>
                </c:pt>
                <c:pt idx="60">
                  <c:v>3.0500000000000003</c:v>
                </c:pt>
                <c:pt idx="61">
                  <c:v>3.1</c:v>
                </c:pt>
                <c:pt idx="62">
                  <c:v>3.1500000000000004</c:v>
                </c:pt>
                <c:pt idx="63">
                  <c:v>3.2</c:v>
                </c:pt>
                <c:pt idx="64">
                  <c:v>3.25</c:v>
                </c:pt>
                <c:pt idx="65">
                  <c:v>3.3000000000000003</c:v>
                </c:pt>
                <c:pt idx="66">
                  <c:v>3.35</c:v>
                </c:pt>
                <c:pt idx="67">
                  <c:v>3.4000000000000004</c:v>
                </c:pt>
                <c:pt idx="68">
                  <c:v>3.45</c:v>
                </c:pt>
                <c:pt idx="69">
                  <c:v>3.5</c:v>
                </c:pt>
                <c:pt idx="70">
                  <c:v>3.5500000000000003</c:v>
                </c:pt>
                <c:pt idx="71">
                  <c:v>3.6</c:v>
                </c:pt>
                <c:pt idx="72">
                  <c:v>3.6500000000000004</c:v>
                </c:pt>
                <c:pt idx="73">
                  <c:v>3.7</c:v>
                </c:pt>
                <c:pt idx="74">
                  <c:v>3.75</c:v>
                </c:pt>
                <c:pt idx="75">
                  <c:v>3.8000000000000003</c:v>
                </c:pt>
                <c:pt idx="76">
                  <c:v>3.85</c:v>
                </c:pt>
                <c:pt idx="77">
                  <c:v>3.9000000000000004</c:v>
                </c:pt>
                <c:pt idx="78">
                  <c:v>3.95</c:v>
                </c:pt>
                <c:pt idx="79">
                  <c:v>4</c:v>
                </c:pt>
                <c:pt idx="80">
                  <c:v>4.05</c:v>
                </c:pt>
                <c:pt idx="81">
                  <c:v>4.1000000000000005</c:v>
                </c:pt>
                <c:pt idx="82">
                  <c:v>4.1500000000000004</c:v>
                </c:pt>
                <c:pt idx="83">
                  <c:v>4.2</c:v>
                </c:pt>
                <c:pt idx="84">
                  <c:v>4.25</c:v>
                </c:pt>
                <c:pt idx="85">
                  <c:v>4.3</c:v>
                </c:pt>
                <c:pt idx="86">
                  <c:v>4.3500000000000005</c:v>
                </c:pt>
                <c:pt idx="87">
                  <c:v>4.4000000000000004</c:v>
                </c:pt>
                <c:pt idx="88">
                  <c:v>4.45</c:v>
                </c:pt>
                <c:pt idx="89">
                  <c:v>4.5</c:v>
                </c:pt>
                <c:pt idx="90">
                  <c:v>4.55</c:v>
                </c:pt>
                <c:pt idx="91">
                  <c:v>4.6000000000000005</c:v>
                </c:pt>
                <c:pt idx="92">
                  <c:v>4.6500000000000004</c:v>
                </c:pt>
                <c:pt idx="93">
                  <c:v>4.7</c:v>
                </c:pt>
                <c:pt idx="94">
                  <c:v>4.75</c:v>
                </c:pt>
                <c:pt idx="95">
                  <c:v>4.8000000000000007</c:v>
                </c:pt>
                <c:pt idx="96">
                  <c:v>4.8500000000000005</c:v>
                </c:pt>
                <c:pt idx="97">
                  <c:v>4.9000000000000004</c:v>
                </c:pt>
                <c:pt idx="98">
                  <c:v>4.95</c:v>
                </c:pt>
                <c:pt idx="99">
                  <c:v>5</c:v>
                </c:pt>
                <c:pt idx="100">
                  <c:v>5.0500000000000007</c:v>
                </c:pt>
                <c:pt idx="101">
                  <c:v>5.1000000000000005</c:v>
                </c:pt>
                <c:pt idx="102">
                  <c:v>5.15</c:v>
                </c:pt>
                <c:pt idx="103">
                  <c:v>5.2</c:v>
                </c:pt>
                <c:pt idx="104">
                  <c:v>5.25</c:v>
                </c:pt>
                <c:pt idx="105">
                  <c:v>5.3000000000000007</c:v>
                </c:pt>
                <c:pt idx="106">
                  <c:v>5.3500000000000005</c:v>
                </c:pt>
                <c:pt idx="107">
                  <c:v>5.4</c:v>
                </c:pt>
                <c:pt idx="108">
                  <c:v>5.45</c:v>
                </c:pt>
                <c:pt idx="109">
                  <c:v>5.5</c:v>
                </c:pt>
                <c:pt idx="110">
                  <c:v>5.5500000000000007</c:v>
                </c:pt>
                <c:pt idx="111">
                  <c:v>5.6000000000000005</c:v>
                </c:pt>
                <c:pt idx="112">
                  <c:v>5.65</c:v>
                </c:pt>
                <c:pt idx="113">
                  <c:v>5.7</c:v>
                </c:pt>
                <c:pt idx="114">
                  <c:v>5.75</c:v>
                </c:pt>
                <c:pt idx="115">
                  <c:v>5.8000000000000007</c:v>
                </c:pt>
                <c:pt idx="116">
                  <c:v>5.8500000000000005</c:v>
                </c:pt>
                <c:pt idx="117">
                  <c:v>5.9</c:v>
                </c:pt>
                <c:pt idx="118">
                  <c:v>5.95</c:v>
                </c:pt>
                <c:pt idx="119">
                  <c:v>6</c:v>
                </c:pt>
                <c:pt idx="120">
                  <c:v>6.0500000000000007</c:v>
                </c:pt>
                <c:pt idx="121">
                  <c:v>6.1000000000000005</c:v>
                </c:pt>
                <c:pt idx="122">
                  <c:v>6.15</c:v>
                </c:pt>
                <c:pt idx="123">
                  <c:v>6.2</c:v>
                </c:pt>
                <c:pt idx="124">
                  <c:v>6.25</c:v>
                </c:pt>
                <c:pt idx="125">
                  <c:v>6.3000000000000007</c:v>
                </c:pt>
                <c:pt idx="126">
                  <c:v>6.3500000000000005</c:v>
                </c:pt>
                <c:pt idx="127">
                  <c:v>6.4</c:v>
                </c:pt>
                <c:pt idx="128">
                  <c:v>6.45</c:v>
                </c:pt>
                <c:pt idx="129">
                  <c:v>6.5</c:v>
                </c:pt>
                <c:pt idx="130">
                  <c:v>6.5500000000000007</c:v>
                </c:pt>
                <c:pt idx="131">
                  <c:v>6.6000000000000005</c:v>
                </c:pt>
                <c:pt idx="132">
                  <c:v>6.65</c:v>
                </c:pt>
                <c:pt idx="133">
                  <c:v>6.7</c:v>
                </c:pt>
                <c:pt idx="134">
                  <c:v>6.75</c:v>
                </c:pt>
                <c:pt idx="135">
                  <c:v>6.8000000000000007</c:v>
                </c:pt>
                <c:pt idx="136">
                  <c:v>6.8500000000000005</c:v>
                </c:pt>
                <c:pt idx="137">
                  <c:v>6.9</c:v>
                </c:pt>
                <c:pt idx="138">
                  <c:v>6.95</c:v>
                </c:pt>
                <c:pt idx="139">
                  <c:v>7</c:v>
                </c:pt>
                <c:pt idx="140">
                  <c:v>7.0500000000000007</c:v>
                </c:pt>
                <c:pt idx="141">
                  <c:v>7.1000000000000005</c:v>
                </c:pt>
                <c:pt idx="142">
                  <c:v>7.15</c:v>
                </c:pt>
                <c:pt idx="143">
                  <c:v>7.2</c:v>
                </c:pt>
                <c:pt idx="144">
                  <c:v>7.25</c:v>
                </c:pt>
                <c:pt idx="145">
                  <c:v>7.3000000000000007</c:v>
                </c:pt>
                <c:pt idx="146">
                  <c:v>7.3500000000000005</c:v>
                </c:pt>
                <c:pt idx="147">
                  <c:v>7.4</c:v>
                </c:pt>
                <c:pt idx="148">
                  <c:v>7.45</c:v>
                </c:pt>
                <c:pt idx="149">
                  <c:v>7.5</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98B9-4A0F-9AF3-241E82BDC034}"/>
            </c:ext>
          </c:extLst>
        </c:ser>
        <c:dLbls>
          <c:showLegendKey val="0"/>
          <c:showVal val="0"/>
          <c:showCatName val="0"/>
          <c:showSerName val="0"/>
          <c:showPercent val="0"/>
          <c:showBubbleSize val="0"/>
        </c:dLbls>
        <c:axId val="586422528"/>
        <c:axId val="586420608"/>
      </c:scatterChart>
      <c:valAx>
        <c:axId val="586339072"/>
        <c:scaling>
          <c:orientation val="minMax"/>
        </c:scaling>
        <c:delete val="0"/>
        <c:axPos val="b"/>
        <c:majorGridlines/>
        <c:numFmt formatCode="General" sourceLinked="1"/>
        <c:majorTickMark val="out"/>
        <c:minorTickMark val="none"/>
        <c:tickLblPos val="nextTo"/>
        <c:crossAx val="586340608"/>
        <c:crosses val="autoZero"/>
        <c:crossBetween val="midCat"/>
      </c:valAx>
      <c:valAx>
        <c:axId val="58634060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6339072"/>
        <c:crosses val="autoZero"/>
        <c:crossBetween val="midCat"/>
      </c:valAx>
      <c:valAx>
        <c:axId val="58642060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6422528"/>
        <c:crosses val="max"/>
        <c:crossBetween val="midCat"/>
      </c:valAx>
      <c:valAx>
        <c:axId val="586422528"/>
        <c:scaling>
          <c:orientation val="minMax"/>
        </c:scaling>
        <c:delete val="1"/>
        <c:axPos val="b"/>
        <c:title>
          <c:tx>
            <c:rich>
              <a:bodyPr/>
              <a:lstStyle/>
              <a:p>
                <a:pPr>
                  <a:defRPr sz="1200"/>
                </a:pPr>
                <a:r>
                  <a:rPr lang="en-US" sz="1200" b="1" i="0" baseline="0">
                    <a:effectLst/>
                  </a:rPr>
                  <a:t>P</a:t>
                </a:r>
                <a:r>
                  <a:rPr lang="en-US" sz="1200" b="1" i="0" baseline="-25000">
                    <a:effectLst/>
                  </a:rPr>
                  <a:t>OUT</a:t>
                </a:r>
                <a:r>
                  <a:rPr lang="en-US" sz="1200" b="1" i="0" baseline="0">
                    <a:effectLst/>
                  </a:rPr>
                  <a:t> (W)</a:t>
                </a:r>
                <a:endParaRPr lang="en-US" sz="1200">
                  <a:effectLst/>
                </a:endParaRPr>
              </a:p>
            </c:rich>
          </c:tx>
          <c:overlay val="0"/>
        </c:title>
        <c:numFmt formatCode="General" sourceLinked="1"/>
        <c:majorTickMark val="out"/>
        <c:minorTickMark val="none"/>
        <c:tickLblPos val="nextTo"/>
        <c:crossAx val="586420608"/>
        <c:crosses val="autoZero"/>
        <c:crossBetween val="midCat"/>
      </c:valAx>
    </c:plotArea>
    <c:legend>
      <c:legendPos val="r"/>
      <c:layout>
        <c:manualLayout>
          <c:xMode val="edge"/>
          <c:yMode val="edge"/>
          <c:x val="0.49339941826540429"/>
          <c:y val="6.4862204724409449E-3"/>
          <c:w val="0.42227913565687919"/>
          <c:h val="0.1165233360670469"/>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Eff_vs_IOUT!$BZ$7:$BZ$157</c:f>
              <c:numCache>
                <c:formatCode>General</c:formatCode>
                <c:ptCount val="151"/>
                <c:pt idx="0">
                  <c:v>0</c:v>
                </c:pt>
                <c:pt idx="1">
                  <c:v>78.462764772552731</c:v>
                </c:pt>
                <c:pt idx="2">
                  <c:v>85.564317509840961</c:v>
                </c:pt>
                <c:pt idx="3">
                  <c:v>88.156898650888152</c:v>
                </c:pt>
                <c:pt idx="4">
                  <c:v>89.459874665785208</c:v>
                </c:pt>
                <c:pt idx="5">
                  <c:v>90.21976604612189</c:v>
                </c:pt>
                <c:pt idx="6">
                  <c:v>90.701656300592546</c:v>
                </c:pt>
                <c:pt idx="7">
                  <c:v>91.023163178559727</c:v>
                </c:pt>
                <c:pt idx="8">
                  <c:v>91.24432563759926</c:v>
                </c:pt>
                <c:pt idx="9">
                  <c:v>91.398917002639948</c:v>
                </c:pt>
                <c:pt idx="10">
                  <c:v>91.507344238123778</c:v>
                </c:pt>
                <c:pt idx="11">
                  <c:v>91.582634518740747</c:v>
                </c:pt>
                <c:pt idx="12">
                  <c:v>91.63347432974119</c:v>
                </c:pt>
                <c:pt idx="13">
                  <c:v>91.665864440172228</c:v>
                </c:pt>
                <c:pt idx="14">
                  <c:v>91.68407354905267</c:v>
                </c:pt>
                <c:pt idx="15">
                  <c:v>91.691214001392112</c:v>
                </c:pt>
                <c:pt idx="16">
                  <c:v>91.689603192476525</c:v>
                </c:pt>
                <c:pt idx="17">
                  <c:v>91.680998108920321</c:v>
                </c:pt>
                <c:pt idx="18">
                  <c:v>91.666751964035626</c:v>
                </c:pt>
                <c:pt idx="19">
                  <c:v>91.647921448470711</c:v>
                </c:pt>
                <c:pt idx="20">
                  <c:v>91.625341794908323</c:v>
                </c:pt>
                <c:pt idx="21">
                  <c:v>91.599680346551594</c:v>
                </c:pt>
                <c:pt idx="22">
                  <c:v>91.571475453470313</c:v>
                </c:pt>
                <c:pt idx="23">
                  <c:v>91.541165158063194</c:v>
                </c:pt>
                <c:pt idx="24">
                  <c:v>91.509108649076524</c:v>
                </c:pt>
                <c:pt idx="25">
                  <c:v>91.475602512629308</c:v>
                </c:pt>
                <c:pt idx="26">
                  <c:v>91.440893185526065</c:v>
                </c:pt>
                <c:pt idx="27">
                  <c:v>91.405186599986578</c:v>
                </c:pt>
                <c:pt idx="28">
                  <c:v>91.368655726184329</c:v>
                </c:pt>
                <c:pt idx="29">
                  <c:v>91.331446523829186</c:v>
                </c:pt>
                <c:pt idx="30">
                  <c:v>91.293682677358973</c:v>
                </c:pt>
                <c:pt idx="31">
                  <c:v>91.255469392298053</c:v>
                </c:pt>
                <c:pt idx="32">
                  <c:v>91.216896460632427</c:v>
                </c:pt>
                <c:pt idx="33">
                  <c:v>91.178040752375694</c:v>
                </c:pt>
                <c:pt idx="34">
                  <c:v>91.138968253268231</c:v>
                </c:pt>
                <c:pt idx="35">
                  <c:v>91.099735740919513</c:v>
                </c:pt>
                <c:pt idx="36">
                  <c:v>91.06039217100664</c:v>
                </c:pt>
                <c:pt idx="37">
                  <c:v>91.020979829499495</c:v>
                </c:pt>
                <c:pt idx="38">
                  <c:v>90.981535294967472</c:v>
                </c:pt>
                <c:pt idx="39">
                  <c:v>90.942090245872379</c:v>
                </c:pt>
                <c:pt idx="40">
                  <c:v>90.902672140675037</c:v>
                </c:pt>
                <c:pt idx="41">
                  <c:v>90.8633047930728</c:v>
                </c:pt>
                <c:pt idx="42">
                  <c:v>90.824008860364842</c:v>
                </c:pt>
                <c:pt idx="43">
                  <c:v>90.784802259535638</c:v>
                </c:pt>
                <c:pt idx="44">
                  <c:v>90.745700522943864</c:v>
                </c:pt>
                <c:pt idx="45">
                  <c:v>90.706717103348893</c:v>
                </c:pt>
                <c:pt idx="46">
                  <c:v>90.667863636277076</c:v>
                </c:pt>
                <c:pt idx="47">
                  <c:v>90.629150166337652</c:v>
                </c:pt>
                <c:pt idx="48">
                  <c:v>90.590585342969092</c:v>
                </c:pt>
                <c:pt idx="49">
                  <c:v>90.552176590179329</c:v>
                </c:pt>
                <c:pt idx="50">
                  <c:v>90.513930254092401</c:v>
                </c:pt>
                <c:pt idx="51">
                  <c:v>90.475851731499873</c:v>
                </c:pt>
                <c:pt idx="52">
                  <c:v>90.437945582107645</c:v>
                </c:pt>
                <c:pt idx="53">
                  <c:v>90.400215626749898</c:v>
                </c:pt>
                <c:pt idx="54">
                  <c:v>90.362665033494082</c:v>
                </c:pt>
                <c:pt idx="55">
                  <c:v>90.325296393271188</c:v>
                </c:pt>
                <c:pt idx="56">
                  <c:v>90.288111786423656</c:v>
                </c:pt>
                <c:pt idx="57">
                  <c:v>90.251112841359586</c:v>
                </c:pt>
                <c:pt idx="58">
                  <c:v>90.214300786332529</c:v>
                </c:pt>
                <c:pt idx="59">
                  <c:v>90.177676495220837</c:v>
                </c:pt>
                <c:pt idx="60">
                  <c:v>90.141240528059953</c:v>
                </c:pt>
                <c:pt idx="61">
                  <c:v>90.104993166976641</c:v>
                </c:pt>
                <c:pt idx="62">
                  <c:v>90.068934448087717</c:v>
                </c:pt>
                <c:pt idx="63">
                  <c:v>90.03306418984937</c:v>
                </c:pt>
                <c:pt idx="64">
                  <c:v>89.997382018280234</c:v>
                </c:pt>
                <c:pt idx="65">
                  <c:v>89.961887389426479</c:v>
                </c:pt>
                <c:pt idx="66">
                  <c:v>89.926579609389208</c:v>
                </c:pt>
                <c:pt idx="67">
                  <c:v>89.891457852195046</c:v>
                </c:pt>
                <c:pt idx="68">
                  <c:v>89.85652117575485</c:v>
                </c:pt>
                <c:pt idx="69">
                  <c:v>89.821768536126044</c:v>
                </c:pt>
                <c:pt idx="70">
                  <c:v>89.787198800267049</c:v>
                </c:pt>
                <c:pt idx="71">
                  <c:v>89.752810757450504</c:v>
                </c:pt>
                <c:pt idx="72">
                  <c:v>89.718603129481281</c:v>
                </c:pt>
                <c:pt idx="73">
                  <c:v>89.684574579848743</c:v>
                </c:pt>
                <c:pt idx="74">
                  <c:v>89.65072372192742</c:v>
                </c:pt>
                <c:pt idx="75">
                  <c:v>89.617049126327075</c:v>
                </c:pt>
                <c:pt idx="76">
                  <c:v>89.583549327481876</c:v>
                </c:pt>
                <c:pt idx="77">
                  <c:v>89.550222829557981</c:v>
                </c:pt>
                <c:pt idx="78">
                  <c:v>89.517068111750177</c:v>
                </c:pt>
                <c:pt idx="79">
                  <c:v>89.484083633030693</c:v>
                </c:pt>
                <c:pt idx="80">
                  <c:v>89.451267836405705</c:v>
                </c:pt>
                <c:pt idx="81">
                  <c:v>89.418619152729775</c:v>
                </c:pt>
                <c:pt idx="82">
                  <c:v>89.386136004122676</c:v>
                </c:pt>
                <c:pt idx="83">
                  <c:v>89.35381680702838</c:v>
                </c:pt>
                <c:pt idx="84">
                  <c:v>89.321659974951828</c:v>
                </c:pt>
                <c:pt idx="85">
                  <c:v>89.289663920905554</c:v>
                </c:pt>
                <c:pt idx="86">
                  <c:v>89.257827059594675</c:v>
                </c:pt>
                <c:pt idx="87">
                  <c:v>89.226147809365614</c:v>
                </c:pt>
                <c:pt idx="88">
                  <c:v>89.194624593942237</c:v>
                </c:pt>
                <c:pt idx="89">
                  <c:v>89.163255843969552</c:v>
                </c:pt>
                <c:pt idx="90">
                  <c:v>89.132039998383874</c:v>
                </c:pt>
                <c:pt idx="91">
                  <c:v>89.100975505626238</c:v>
                </c:pt>
                <c:pt idx="92">
                  <c:v>89.070060824714076</c:v>
                </c:pt>
                <c:pt idx="93">
                  <c:v>89.039294426184796</c:v>
                </c:pt>
                <c:pt idx="94">
                  <c:v>89.008674792923927</c:v>
                </c:pt>
                <c:pt idx="95">
                  <c:v>88.978200420888228</c:v>
                </c:pt>
                <c:pt idx="96">
                  <c:v>88.947869819734464</c:v>
                </c:pt>
                <c:pt idx="97">
                  <c:v>88.917681513362751</c:v>
                </c:pt>
                <c:pt idx="98">
                  <c:v>88.887634040382366</c:v>
                </c:pt>
                <c:pt idx="99">
                  <c:v>88.857725954507998</c:v>
                </c:pt>
                <c:pt idx="100">
                  <c:v>88.827955824892555</c:v>
                </c:pt>
                <c:pt idx="101">
                  <c:v>88.79832223640328</c:v>
                </c:pt>
                <c:pt idx="102">
                  <c:v>88.768823789846167</c:v>
                </c:pt>
                <c:pt idx="103">
                  <c:v>88.739459102143954</c:v>
                </c:pt>
                <c:pt idx="104">
                  <c:v>88.710226806472278</c:v>
                </c:pt>
                <c:pt idx="105">
                  <c:v>88.681125552357969</c:v>
                </c:pt>
                <c:pt idx="106">
                  <c:v>88.652154005743299</c:v>
                </c:pt>
                <c:pt idx="107">
                  <c:v>88.623310849019688</c:v>
                </c:pt>
                <c:pt idx="108">
                  <c:v>88.594594781033791</c:v>
                </c:pt>
                <c:pt idx="109">
                  <c:v>88.566004517068905</c:v>
                </c:pt>
                <c:pt idx="110">
                  <c:v>88.537538788804284</c:v>
                </c:pt>
                <c:pt idx="111">
                  <c:v>88.509196344254477</c:v>
                </c:pt>
                <c:pt idx="112">
                  <c:v>88.480975947691064</c:v>
                </c:pt>
                <c:pt idx="113">
                  <c:v>88.452876379548556</c:v>
                </c:pt>
                <c:pt idx="114">
                  <c:v>88.424896436316246</c:v>
                </c:pt>
                <c:pt idx="115">
                  <c:v>88.397034930417604</c:v>
                </c:pt>
                <c:pt idx="116">
                  <c:v>88.369290690078628</c:v>
                </c:pt>
                <c:pt idx="117">
                  <c:v>88.34166255918656</c:v>
                </c:pt>
                <c:pt idx="118">
                  <c:v>88.314149397140042</c:v>
                </c:pt>
                <c:pt idx="119">
                  <c:v>88.286750078691881</c:v>
                </c:pt>
                <c:pt idx="120">
                  <c:v>88.259463493785333</c:v>
                </c:pt>
                <c:pt idx="121">
                  <c:v>88.232288547385039</c:v>
                </c:pt>
                <c:pt idx="122">
                  <c:v>88.205224159302915</c:v>
                </c:pt>
                <c:pt idx="123">
                  <c:v>88.178269264020457</c:v>
                </c:pt>
                <c:pt idx="124">
                  <c:v>88.151422810507356</c:v>
                </c:pt>
                <c:pt idx="125">
                  <c:v>88.124683762037762</c:v>
                </c:pt>
                <c:pt idx="126">
                  <c:v>88.098051096004184</c:v>
                </c:pt>
                <c:pt idx="127">
                  <c:v>88.071523803729789</c:v>
                </c:pt>
                <c:pt idx="128">
                  <c:v>88.045100890279642</c:v>
                </c:pt>
                <c:pt idx="129">
                  <c:v>88.018781374270958</c:v>
                </c:pt>
                <c:pt idx="130">
                  <c:v>87.992564287683081</c:v>
                </c:pt>
                <c:pt idx="131">
                  <c:v>87.966448675667394</c:v>
                </c:pt>
                <c:pt idx="132">
                  <c:v>87.94043359635738</c:v>
                </c:pt>
                <c:pt idx="133">
                  <c:v>87.914518120679276</c:v>
                </c:pt>
                <c:pt idx="134">
                  <c:v>87.888701332163279</c:v>
                </c:pt>
                <c:pt idx="135">
                  <c:v>87.862982326755969</c:v>
                </c:pt>
                <c:pt idx="136">
                  <c:v>87.837360212633698</c:v>
                </c:pt>
                <c:pt idx="137">
                  <c:v>87.811834110017301</c:v>
                </c:pt>
                <c:pt idx="138">
                  <c:v>87.78640315098842</c:v>
                </c:pt>
                <c:pt idx="139">
                  <c:v>87.761066479307274</c:v>
                </c:pt>
                <c:pt idx="140">
                  <c:v>87.735823250232315</c:v>
                </c:pt>
                <c:pt idx="141">
                  <c:v>87.710672630341591</c:v>
                </c:pt>
                <c:pt idx="142">
                  <c:v>87.685613797356183</c:v>
                </c:pt>
                <c:pt idx="143">
                  <c:v>87.660645939965505</c:v>
                </c:pt>
                <c:pt idx="144">
                  <c:v>87.63576825765486</c:v>
                </c:pt>
                <c:pt idx="145">
                  <c:v>87.610979960534891</c:v>
                </c:pt>
                <c:pt idx="146">
                  <c:v>87.586280269173528</c:v>
                </c:pt>
                <c:pt idx="147">
                  <c:v>87.561668414429931</c:v>
                </c:pt>
                <c:pt idx="148">
                  <c:v>87.537143637290811</c:v>
                </c:pt>
                <c:pt idx="149">
                  <c:v>87.512705188709063</c:v>
                </c:pt>
                <c:pt idx="150">
                  <c:v>87.488352329444609</c:v>
                </c:pt>
              </c:numCache>
            </c:numRef>
          </c:yVal>
          <c:smooth val="0"/>
          <c:extLst>
            <c:ext xmlns:c16="http://schemas.microsoft.com/office/drawing/2014/chart" uri="{C3380CC4-5D6E-409C-BE32-E72D297353CC}">
              <c16:uniqueId val="{00000000-53D1-4006-8366-E2C9DA64EC11}"/>
            </c:ext>
          </c:extLst>
        </c:ser>
        <c:dLbls>
          <c:showLegendKey val="0"/>
          <c:showVal val="0"/>
          <c:showCatName val="0"/>
          <c:showSerName val="0"/>
          <c:showPercent val="0"/>
          <c:showBubbleSize val="0"/>
        </c:dLbls>
        <c:axId val="586473472"/>
        <c:axId val="58647500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Eff_vs_IOUT!$AJ$7:$AJ$157</c:f>
              <c:numCache>
                <c:formatCode>General</c:formatCode>
                <c:ptCount val="151"/>
                <c:pt idx="0">
                  <c:v>0</c:v>
                </c:pt>
                <c:pt idx="1">
                  <c:v>9.0884607686750557E-4</c:v>
                </c:pt>
                <c:pt idx="2">
                  <c:v>1.3180964385655013E-3</c:v>
                </c:pt>
                <c:pt idx="3">
                  <c:v>1.6544961248710637E-3</c:v>
                </c:pt>
                <c:pt idx="4">
                  <c:v>1.956825272334998E-3</c:v>
                </c:pt>
                <c:pt idx="5">
                  <c:v>2.2396490163671488E-3</c:v>
                </c:pt>
                <c:pt idx="6">
                  <c:v>2.5102134321324399E-3</c:v>
                </c:pt>
                <c:pt idx="7">
                  <c:v>2.7726923303765332E-3</c:v>
                </c:pt>
                <c:pt idx="8">
                  <c:v>3.0297207637297345E-3</c:v>
                </c:pt>
                <c:pt idx="9">
                  <c:v>3.2830707050024652E-3</c:v>
                </c:pt>
                <c:pt idx="10">
                  <c:v>3.5339899745172312E-3</c:v>
                </c:pt>
                <c:pt idx="11">
                  <c:v>3.7833886796696434E-3</c:v>
                </c:pt>
                <c:pt idx="12">
                  <c:v>4.0319491410341791E-3</c:v>
                </c:pt>
                <c:pt idx="13">
                  <c:v>4.2801943181050087E-3</c:v>
                </c:pt>
                <c:pt idx="14">
                  <c:v>4.5285323023533152E-3</c:v>
                </c:pt>
                <c:pt idx="15">
                  <c:v>4.7772863062089804E-3</c:v>
                </c:pt>
                <c:pt idx="16">
                  <c:v>5.026715493469891E-3</c:v>
                </c:pt>
                <c:pt idx="17">
                  <c:v>5.2770298230445153E-3</c:v>
                </c:pt>
                <c:pt idx="18">
                  <c:v>5.5284008620914305E-3</c:v>
                </c:pt>
                <c:pt idx="19">
                  <c:v>5.780969815329863E-3</c:v>
                </c:pt>
                <c:pt idx="20">
                  <c:v>6.0348535882898532E-3</c:v>
                </c:pt>
                <c:pt idx="21">
                  <c:v>6.2901494345080269E-3</c:v>
                </c:pt>
                <c:pt idx="22">
                  <c:v>6.5469385648747082E-3</c:v>
                </c:pt>
                <c:pt idx="23">
                  <c:v>6.805288984381902E-3</c:v>
                </c:pt>
                <c:pt idx="24">
                  <c:v>7.0652577456175002E-3</c:v>
                </c:pt>
                <c:pt idx="25">
                  <c:v>7.3268927563372669E-3</c:v>
                </c:pt>
                <c:pt idx="26">
                  <c:v>7.5902342421677958E-3</c:v>
                </c:pt>
                <c:pt idx="27">
                  <c:v>7.8553159397813967E-3</c:v>
                </c:pt>
                <c:pt idx="28">
                  <c:v>8.1221660773920113E-3</c:v>
                </c:pt>
                <c:pt idx="29">
                  <c:v>8.3908081859429169E-3</c:v>
                </c:pt>
                <c:pt idx="30">
                  <c:v>8.6612617744113683E-3</c:v>
                </c:pt>
                <c:pt idx="31">
                  <c:v>8.9335428952328245E-3</c:v>
                </c:pt>
                <c:pt idx="32">
                  <c:v>9.2076646202493215E-3</c:v>
                </c:pt>
                <c:pt idx="33">
                  <c:v>9.4836374433234644E-3</c:v>
                </c:pt>
                <c:pt idx="34">
                  <c:v>9.7614696224831137E-3</c:v>
                </c:pt>
                <c:pt idx="35">
                  <c:v>1.0041167471922824E-2</c:v>
                </c:pt>
                <c:pt idx="36">
                  <c:v>1.0322735612204578E-2</c:v>
                </c:pt>
                <c:pt idx="37">
                  <c:v>1.0606177185439433E-2</c:v>
                </c:pt>
                <c:pt idx="38">
                  <c:v>1.0891494040994903E-2</c:v>
                </c:pt>
                <c:pt idx="39">
                  <c:v>1.1178686896286165E-2</c:v>
                </c:pt>
                <c:pt idx="40">
                  <c:v>1.1467755476417424E-2</c:v>
                </c:pt>
                <c:pt idx="41">
                  <c:v>1.1758698635800723E-2</c:v>
                </c:pt>
                <c:pt idx="42">
                  <c:v>1.2051514464360407E-2</c:v>
                </c:pt>
                <c:pt idx="43">
                  <c:v>1.2346200380508553E-2</c:v>
                </c:pt>
                <c:pt idx="44">
                  <c:v>1.2642753212729209E-2</c:v>
                </c:pt>
                <c:pt idx="45">
                  <c:v>1.2941169271323671E-2</c:v>
                </c:pt>
                <c:pt idx="46">
                  <c:v>1.3241444411632374E-2</c:v>
                </c:pt>
                <c:pt idx="47">
                  <c:v>1.3543574089852264E-2</c:v>
                </c:pt>
                <c:pt idx="48">
                  <c:v>1.3847553412404769E-2</c:v>
                </c:pt>
                <c:pt idx="49">
                  <c:v>1.415337717967181E-2</c:v>
                </c:pt>
                <c:pt idx="50">
                  <c:v>1.4461039924802143E-2</c:v>
                </c:pt>
                <c:pt idx="51">
                  <c:v>1.4770535948192672E-2</c:v>
                </c:pt>
                <c:pt idx="52">
                  <c:v>1.5081859348167064E-2</c:v>
                </c:pt>
                <c:pt idx="53">
                  <c:v>1.5395004048304035E-2</c:v>
                </c:pt>
                <c:pt idx="54">
                  <c:v>1.5709963821807799E-2</c:v>
                </c:pt>
                <c:pt idx="55">
                  <c:v>1.6026732313262744E-2</c:v>
                </c:pt>
                <c:pt idx="56">
                  <c:v>1.6345303058070134E-2</c:v>
                </c:pt>
                <c:pt idx="57">
                  <c:v>1.6665669499827736E-2</c:v>
                </c:pt>
                <c:pt idx="58">
                  <c:v>1.6987825005880634E-2</c:v>
                </c:pt>
                <c:pt idx="59">
                  <c:v>1.7311762881243798E-2</c:v>
                </c:pt>
                <c:pt idx="60">
                  <c:v>1.7637476381072721E-2</c:v>
                </c:pt>
                <c:pt idx="61">
                  <c:v>1.7964958721837773E-2</c:v>
                </c:pt>
                <c:pt idx="62">
                  <c:v>1.8294203091339334E-2</c:v>
                </c:pt>
                <c:pt idx="63">
                  <c:v>1.8625202657685379E-2</c:v>
                </c:pt>
                <c:pt idx="64">
                  <c:v>1.8957950577338949E-2</c:v>
                </c:pt>
                <c:pt idx="65">
                  <c:v>1.9292440002331098E-2</c:v>
                </c:pt>
                <c:pt idx="66">
                  <c:v>1.9628664086724201E-2</c:v>
                </c:pt>
                <c:pt idx="67">
                  <c:v>1.9966615992401113E-2</c:v>
                </c:pt>
                <c:pt idx="68">
                  <c:v>2.030628889424773E-2</c:v>
                </c:pt>
                <c:pt idx="69">
                  <c:v>2.0647675984788866E-2</c:v>
                </c:pt>
                <c:pt idx="70">
                  <c:v>2.099077047833146E-2</c:v>
                </c:pt>
                <c:pt idx="71">
                  <c:v>2.1335565614663019E-2</c:v>
                </c:pt>
                <c:pt idx="72">
                  <c:v>2.1682054662348616E-2</c:v>
                </c:pt>
                <c:pt idx="73">
                  <c:v>2.2030230921665072E-2</c:v>
                </c:pt>
                <c:pt idx="74">
                  <c:v>2.2380087727207038E-2</c:v>
                </c:pt>
                <c:pt idx="75">
                  <c:v>2.2731618450196341E-2</c:v>
                </c:pt>
                <c:pt idx="76">
                  <c:v>2.3084816500522777E-2</c:v>
                </c:pt>
                <c:pt idx="77">
                  <c:v>2.3439675328541479E-2</c:v>
                </c:pt>
                <c:pt idx="78">
                  <c:v>2.3796188426650149E-2</c:v>
                </c:pt>
                <c:pt idx="79">
                  <c:v>2.4154349330666389E-2</c:v>
                </c:pt>
                <c:pt idx="80">
                  <c:v>2.4514151621024147E-2</c:v>
                </c:pt>
                <c:pt idx="81">
                  <c:v>2.4875588923805987E-2</c:v>
                </c:pt>
                <c:pt idx="82">
                  <c:v>2.5238654911626447E-2</c:v>
                </c:pt>
                <c:pt idx="83">
                  <c:v>2.5603343304380573E-2</c:v>
                </c:pt>
                <c:pt idx="84">
                  <c:v>2.5969647869869935E-2</c:v>
                </c:pt>
                <c:pt idx="85">
                  <c:v>2.6337562424317562E-2</c:v>
                </c:pt>
                <c:pt idx="86">
                  <c:v>2.6707080832782379E-2</c:v>
                </c:pt>
                <c:pt idx="87">
                  <c:v>2.7078197009482226E-2</c:v>
                </c:pt>
                <c:pt idx="88">
                  <c:v>2.7450904918034154E-2</c:v>
                </c:pt>
                <c:pt idx="89">
                  <c:v>2.7825198571619945E-2</c:v>
                </c:pt>
                <c:pt idx="90">
                  <c:v>2.8201072033083543E-2</c:v>
                </c:pt>
                <c:pt idx="91">
                  <c:v>2.8578519414967231E-2</c:v>
                </c:pt>
                <c:pt idx="92">
                  <c:v>2.8957534879492174E-2</c:v>
                </c:pt>
                <c:pt idx="93">
                  <c:v>2.9338112638488789E-2</c:v>
                </c:pt>
                <c:pt idx="94">
                  <c:v>2.9720246953281817E-2</c:v>
                </c:pt>
                <c:pt idx="95">
                  <c:v>3.0103932134534481E-2</c:v>
                </c:pt>
                <c:pt idx="96">
                  <c:v>3.0489162542055963E-2</c:v>
                </c:pt>
                <c:pt idx="97">
                  <c:v>3.0875932584575584E-2</c:v>
                </c:pt>
                <c:pt idx="98">
                  <c:v>3.1264236719487484E-2</c:v>
                </c:pt>
                <c:pt idx="99">
                  <c:v>3.1654069452568608E-2</c:v>
                </c:pt>
                <c:pt idx="100">
                  <c:v>3.2045425337672906E-2</c:v>
                </c:pt>
                <c:pt idx="101">
                  <c:v>3.2438298976404281E-2</c:v>
                </c:pt>
                <c:pt idx="102">
                  <c:v>3.2832685017770841E-2</c:v>
                </c:pt>
                <c:pt idx="103">
                  <c:v>3.3228578157822292E-2</c:v>
                </c:pt>
                <c:pt idx="104">
                  <c:v>3.3625973139272763E-2</c:v>
                </c:pt>
                <c:pt idx="105">
                  <c:v>3.4024864751110578E-2</c:v>
                </c:pt>
                <c:pt idx="106">
                  <c:v>3.4425247828196906E-2</c:v>
                </c:pt>
                <c:pt idx="107">
                  <c:v>3.4827117250854502E-2</c:v>
                </c:pt>
                <c:pt idx="108">
                  <c:v>3.5230467944448181E-2</c:v>
                </c:pt>
                <c:pt idx="109">
                  <c:v>3.563529487895805E-2</c:v>
                </c:pt>
                <c:pt idx="110">
                  <c:v>3.6041593068546859E-2</c:v>
                </c:pt>
                <c:pt idx="111">
                  <c:v>3.6449357571122346E-2</c:v>
                </c:pt>
                <c:pt idx="112">
                  <c:v>3.6858583487895578E-2</c:v>
                </c:pt>
                <c:pt idx="113">
                  <c:v>3.7269265962936227E-2</c:v>
                </c:pt>
                <c:pt idx="114">
                  <c:v>3.7681400182725547E-2</c:v>
                </c:pt>
                <c:pt idx="115">
                  <c:v>3.8094981375707632E-2</c:v>
                </c:pt>
                <c:pt idx="116">
                  <c:v>3.8510004811839936E-2</c:v>
                </c:pt>
                <c:pt idx="117">
                  <c:v>3.892646580214322E-2</c:v>
                </c:pt>
                <c:pt idx="118">
                  <c:v>3.9344359698251979E-2</c:v>
                </c:pt>
                <c:pt idx="119">
                  <c:v>3.9763681891965288E-2</c:v>
                </c:pt>
                <c:pt idx="120">
                  <c:v>4.0184427814799063E-2</c:v>
                </c:pt>
                <c:pt idx="121">
                  <c:v>4.0606592937539689E-2</c:v>
                </c:pt>
                <c:pt idx="122">
                  <c:v>4.1030172769799665E-2</c:v>
                </c:pt>
                <c:pt idx="123">
                  <c:v>4.1455162859575553E-2</c:v>
                </c:pt>
                <c:pt idx="124">
                  <c:v>4.188155879280836E-2</c:v>
                </c:pt>
                <c:pt idx="125">
                  <c:v>4.2309356192946859E-2</c:v>
                </c:pt>
                <c:pt idx="126">
                  <c:v>4.2738550720513954E-2</c:v>
                </c:pt>
                <c:pt idx="127">
                  <c:v>4.3169138072676319E-2</c:v>
                </c:pt>
                <c:pt idx="128">
                  <c:v>4.3601113982817477E-2</c:v>
                </c:pt>
                <c:pt idx="129">
                  <c:v>4.4034474220114674E-2</c:v>
                </c:pt>
                <c:pt idx="130">
                  <c:v>4.4469214589119316E-2</c:v>
                </c:pt>
                <c:pt idx="131">
                  <c:v>4.4905330929341708E-2</c:v>
                </c:pt>
                <c:pt idx="132">
                  <c:v>4.5342819114839339E-2</c:v>
                </c:pt>
                <c:pt idx="133">
                  <c:v>4.5781675053809805E-2</c:v>
                </c:pt>
                <c:pt idx="134">
                  <c:v>4.6221894688187729E-2</c:v>
                </c:pt>
                <c:pt idx="135">
                  <c:v>4.6663473993245989E-2</c:v>
                </c:pt>
                <c:pt idx="136">
                  <c:v>4.7106408977201447E-2</c:v>
                </c:pt>
                <c:pt idx="137">
                  <c:v>4.7550695680824935E-2</c:v>
                </c:pt>
                <c:pt idx="138">
                  <c:v>4.7996330177055957E-2</c:v>
                </c:pt>
                <c:pt idx="139">
                  <c:v>4.844330857062154E-2</c:v>
                </c:pt>
                <c:pt idx="140">
                  <c:v>4.8891626997660066E-2</c:v>
                </c:pt>
                <c:pt idx="141">
                  <c:v>4.9341281625349259E-2</c:v>
                </c:pt>
                <c:pt idx="142">
                  <c:v>4.9792268651538803E-2</c:v>
                </c:pt>
                <c:pt idx="143">
                  <c:v>5.0244584304387788E-2</c:v>
                </c:pt>
                <c:pt idx="144">
                  <c:v>5.0698224842006333E-2</c:v>
                </c:pt>
                <c:pt idx="145">
                  <c:v>5.1153186552102027E-2</c:v>
                </c:pt>
                <c:pt idx="146">
                  <c:v>5.1609465751630834E-2</c:v>
                </c:pt>
                <c:pt idx="147">
                  <c:v>5.2067058786452312E-2</c:v>
                </c:pt>
                <c:pt idx="148">
                  <c:v>5.2525962030989817E-2</c:v>
                </c:pt>
                <c:pt idx="149">
                  <c:v>5.2986171887894548E-2</c:v>
                </c:pt>
                <c:pt idx="150">
                  <c:v>5.3447684787714597E-2</c:v>
                </c:pt>
              </c:numCache>
            </c:numRef>
          </c:yVal>
          <c:smooth val="1"/>
          <c:extLst>
            <c:ext xmlns:c16="http://schemas.microsoft.com/office/drawing/2014/chart" uri="{C3380CC4-5D6E-409C-BE32-E72D297353CC}">
              <c16:uniqueId val="{00000001-53D1-4006-8366-E2C9DA64EC11}"/>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Eff_vs_IOUT!$BU$7:$BU$157</c:f>
              <c:numCache>
                <c:formatCode>General</c:formatCode>
                <c:ptCount val="151"/>
                <c:pt idx="0">
                  <c:v>0</c:v>
                </c:pt>
                <c:pt idx="1">
                  <c:v>1.3250773199998752E-6</c:v>
                </c:pt>
                <c:pt idx="2">
                  <c:v>3.7478846342736349E-6</c:v>
                </c:pt>
                <c:pt idx="3">
                  <c:v>6.885303726590964E-6</c:v>
                </c:pt>
                <c:pt idx="4">
                  <c:v>1.0600618559999005E-5</c:v>
                </c:pt>
                <c:pt idx="5">
                  <c:v>1.4814814814814812E-5</c:v>
                </c:pt>
                <c:pt idx="6">
                  <c:v>1.9474579822405906E-5</c:v>
                </c:pt>
                <c:pt idx="7">
                  <c:v>2.4540775396561373E-5</c:v>
                </c:pt>
                <c:pt idx="8">
                  <c:v>2.998307707418908E-5</c:v>
                </c:pt>
                <c:pt idx="9">
                  <c:v>3.5777087639996639E-5</c:v>
                </c:pt>
                <c:pt idx="10">
                  <c:v>4.1902624070313919E-5</c:v>
                </c:pt>
                <c:pt idx="11">
                  <c:v>4.8342627175142101E-5</c:v>
                </c:pt>
                <c:pt idx="12">
                  <c:v>5.5082429812727726E-5</c:v>
                </c:pt>
                <c:pt idx="13">
                  <c:v>6.2109244875781407E-5</c:v>
                </c:pt>
                <c:pt idx="14">
                  <c:v>6.9411794793938146E-5</c:v>
                </c:pt>
                <c:pt idx="15">
                  <c:v>7.6980035891950082E-5</c:v>
                </c:pt>
                <c:pt idx="16">
                  <c:v>8.4804948479992012E-5</c:v>
                </c:pt>
                <c:pt idx="17">
                  <c:v>9.2878373791987611E-5</c:v>
                </c:pt>
                <c:pt idx="18">
                  <c:v>1.0119288512538813E-4</c:v>
                </c:pt>
                <c:pt idx="19">
                  <c:v>1.0974168447488616E-4</c:v>
                </c:pt>
                <c:pt idx="20">
                  <c:v>1.1851851851851848E-4</c:v>
                </c:pt>
                <c:pt idx="21">
                  <c:v>1.2751760953194166E-4</c:v>
                </c:pt>
                <c:pt idx="22">
                  <c:v>1.3673359798366423E-4</c:v>
                </c:pt>
                <c:pt idx="23">
                  <c:v>1.461614943878892E-4</c:v>
                </c:pt>
                <c:pt idx="24">
                  <c:v>1.5579663857924724E-4</c:v>
                </c:pt>
                <c:pt idx="25">
                  <c:v>1.6563466499998442E-4</c:v>
                </c:pt>
                <c:pt idx="26">
                  <c:v>1.7567147290416349E-4</c:v>
                </c:pt>
                <c:pt idx="27">
                  <c:v>1.8590320061795602E-4</c:v>
                </c:pt>
                <c:pt idx="28">
                  <c:v>1.9632620317249099E-4</c:v>
                </c:pt>
                <c:pt idx="29">
                  <c:v>2.0693703276146769E-4</c:v>
                </c:pt>
                <c:pt idx="30">
                  <c:v>2.1773242158072689E-4</c:v>
                </c:pt>
                <c:pt idx="31">
                  <c:v>2.2870926668897823E-4</c:v>
                </c:pt>
                <c:pt idx="32">
                  <c:v>2.3986461659351264E-4</c:v>
                </c:pt>
                <c:pt idx="33">
                  <c:v>2.5119565931611815E-4</c:v>
                </c:pt>
                <c:pt idx="34">
                  <c:v>2.626997117355735E-4</c:v>
                </c:pt>
                <c:pt idx="35">
                  <c:v>2.7437421003632777E-4</c:v>
                </c:pt>
                <c:pt idx="36">
                  <c:v>2.8621670111997311E-4</c:v>
                </c:pt>
                <c:pt idx="37">
                  <c:v>2.9822483485819932E-4</c:v>
                </c:pt>
                <c:pt idx="38">
                  <c:v>3.1039635708410572E-4</c:v>
                </c:pt>
                <c:pt idx="39">
                  <c:v>3.227291032337712E-4</c:v>
                </c:pt>
                <c:pt idx="40">
                  <c:v>3.3522099256251135E-4</c:v>
                </c:pt>
                <c:pt idx="41">
                  <c:v>3.4787002287071445E-4</c:v>
                </c:pt>
                <c:pt idx="42">
                  <c:v>3.6067426568293719E-4</c:v>
                </c:pt>
                <c:pt idx="43">
                  <c:v>3.736318618313794E-4</c:v>
                </c:pt>
                <c:pt idx="44">
                  <c:v>3.8674101740113686E-4</c:v>
                </c:pt>
                <c:pt idx="45">
                  <c:v>4.0000000000000002E-4</c:v>
                </c:pt>
                <c:pt idx="46">
                  <c:v>4.13407135320144E-4</c:v>
                </c:pt>
                <c:pt idx="47">
                  <c:v>4.2696080396297892E-4</c:v>
                </c:pt>
                <c:pt idx="48">
                  <c:v>4.406594385018217E-4</c:v>
                </c:pt>
                <c:pt idx="49">
                  <c:v>4.5450152075995735E-4</c:v>
                </c:pt>
                <c:pt idx="50">
                  <c:v>4.6848557928420447E-4</c:v>
                </c:pt>
                <c:pt idx="51">
                  <c:v>4.8261018699628875E-4</c:v>
                </c:pt>
                <c:pt idx="52">
                  <c:v>4.9687395900625125E-4</c:v>
                </c:pt>
                <c:pt idx="53">
                  <c:v>5.1127555057379841E-4</c:v>
                </c:pt>
                <c:pt idx="54">
                  <c:v>5.2581365520495949E-4</c:v>
                </c:pt>
                <c:pt idx="55">
                  <c:v>5.4048700287273176E-4</c:v>
                </c:pt>
                <c:pt idx="56">
                  <c:v>5.5529435835150506E-4</c:v>
                </c:pt>
                <c:pt idx="57">
                  <c:v>5.7023451965608637E-4</c:v>
                </c:pt>
                <c:pt idx="58">
                  <c:v>5.8530631657702605E-4</c:v>
                </c:pt>
                <c:pt idx="59">
                  <c:v>6.0050860930473647E-4</c:v>
                </c:pt>
                <c:pt idx="60">
                  <c:v>6.1584028713560065E-4</c:v>
                </c:pt>
                <c:pt idx="61">
                  <c:v>6.3130026725389751E-4</c:v>
                </c:pt>
                <c:pt idx="62">
                  <c:v>6.4688749358391632E-4</c:v>
                </c:pt>
                <c:pt idx="63">
                  <c:v>6.6260093570715722E-4</c:v>
                </c:pt>
                <c:pt idx="64">
                  <c:v>6.7843958783993632E-4</c:v>
                </c:pt>
                <c:pt idx="65">
                  <c:v>6.9440246786713858E-4</c:v>
                </c:pt>
                <c:pt idx="66">
                  <c:v>7.1048861642821154E-4</c:v>
                </c:pt>
                <c:pt idx="67">
                  <c:v>7.2669709605182177E-4</c:v>
                </c:pt>
                <c:pt idx="68">
                  <c:v>7.4302699033590078E-4</c:v>
                </c:pt>
                <c:pt idx="69">
                  <c:v>7.5947740317005208E-4</c:v>
                </c:pt>
                <c:pt idx="70">
                  <c:v>7.7604745799755826E-4</c:v>
                </c:pt>
                <c:pt idx="71">
                  <c:v>7.9273629711442437E-4</c:v>
                </c:pt>
                <c:pt idx="72">
                  <c:v>8.0954308100310507E-4</c:v>
                </c:pt>
                <c:pt idx="73">
                  <c:v>8.2646698769874038E-4</c:v>
                </c:pt>
                <c:pt idx="74">
                  <c:v>8.4350721218588438E-4</c:v>
                </c:pt>
                <c:pt idx="75">
                  <c:v>8.6066296582387042E-4</c:v>
                </c:pt>
                <c:pt idx="76">
                  <c:v>8.7793347579908938E-4</c:v>
                </c:pt>
                <c:pt idx="77">
                  <c:v>8.9531798460257262E-4</c:v>
                </c:pt>
                <c:pt idx="78">
                  <c:v>9.1281574953141153E-4</c:v>
                </c:pt>
                <c:pt idx="79">
                  <c:v>9.3042604221261712E-4</c:v>
                </c:pt>
                <c:pt idx="80">
                  <c:v>9.4814814814814794E-4</c:v>
                </c:pt>
                <c:pt idx="81">
                  <c:v>9.6598136627990927E-4</c:v>
                </c:pt>
                <c:pt idx="82">
                  <c:v>9.8392500857360631E-4</c:v>
                </c:pt>
                <c:pt idx="83">
                  <c:v>1.0019783996204202E-3</c:v>
                </c:pt>
                <c:pt idx="84">
                  <c:v>1.0201408762555337E-3</c:v>
                </c:pt>
                <c:pt idx="85">
                  <c:v>1.038411787192596E-3</c:v>
                </c:pt>
                <c:pt idx="86">
                  <c:v>1.0567904926732938E-3</c:v>
                </c:pt>
                <c:pt idx="87">
                  <c:v>1.0752763641312217E-3</c:v>
                </c:pt>
                <c:pt idx="88">
                  <c:v>1.0938687838693132E-3</c:v>
                </c:pt>
                <c:pt idx="89">
                  <c:v>1.112567144750151E-3</c:v>
                </c:pt>
                <c:pt idx="90">
                  <c:v>1.1313708498984758E-3</c:v>
                </c:pt>
                <c:pt idx="91">
                  <c:v>1.1502793124153127E-3</c:v>
                </c:pt>
                <c:pt idx="92">
                  <c:v>1.1692919551031138E-3</c:v>
                </c:pt>
                <c:pt idx="93">
                  <c:v>1.1884082102013916E-3</c:v>
                </c:pt>
                <c:pt idx="94">
                  <c:v>1.2076275191323306E-3</c:v>
                </c:pt>
                <c:pt idx="95">
                  <c:v>1.2269493322558929E-3</c:v>
                </c:pt>
                <c:pt idx="96">
                  <c:v>1.246373108633978E-3</c:v>
                </c:pt>
                <c:pt idx="97">
                  <c:v>1.2658983158031934E-3</c:v>
                </c:pt>
                <c:pt idx="98">
                  <c:v>1.2855244295558567E-3</c:v>
                </c:pt>
                <c:pt idx="99">
                  <c:v>1.3052509337288364E-3</c:v>
                </c:pt>
                <c:pt idx="100">
                  <c:v>1.3250773199998756E-3</c:v>
                </c:pt>
                <c:pt idx="101">
                  <c:v>1.3450030876910625E-3</c:v>
                </c:pt>
                <c:pt idx="102">
                  <c:v>1.3650277435791338E-3</c:v>
                </c:pt>
                <c:pt idx="103">
                  <c:v>1.3851508017122991E-3</c:v>
                </c:pt>
                <c:pt idx="104">
                  <c:v>1.4053717832333084E-3</c:v>
                </c:pt>
                <c:pt idx="105">
                  <c:v>1.4256902162084837E-3</c:v>
                </c:pt>
                <c:pt idx="106">
                  <c:v>1.4461056354624735E-3</c:v>
                </c:pt>
                <c:pt idx="107">
                  <c:v>1.4666175824184656E-3</c:v>
                </c:pt>
                <c:pt idx="108">
                  <c:v>1.4872256049436483E-3</c:v>
                </c:pt>
                <c:pt idx="109">
                  <c:v>1.507929257199685E-3</c:v>
                </c:pt>
                <c:pt idx="110">
                  <c:v>1.5287280994980067E-3</c:v>
                </c:pt>
                <c:pt idx="111">
                  <c:v>1.5496216981597177E-3</c:v>
                </c:pt>
                <c:pt idx="112">
                  <c:v>1.5706096253799279E-3</c:v>
                </c:pt>
                <c:pt idx="113">
                  <c:v>1.5916914590963346E-3</c:v>
                </c:pt>
                <c:pt idx="114">
                  <c:v>1.6128667828618889E-3</c:v>
                </c:pt>
                <c:pt idx="115">
                  <c:v>1.6341351857213709E-3</c:v>
                </c:pt>
                <c:pt idx="116">
                  <c:v>1.6554962620917411E-3</c:v>
                </c:pt>
                <c:pt idx="117">
                  <c:v>1.676949611646098E-3</c:v>
                </c:pt>
                <c:pt idx="118">
                  <c:v>1.6984948392011288E-3</c:v>
                </c:pt>
                <c:pt idx="119">
                  <c:v>1.720131554607888E-3</c:v>
                </c:pt>
                <c:pt idx="120">
                  <c:v>1.7418593726458151E-3</c:v>
                </c:pt>
                <c:pt idx="121">
                  <c:v>1.7636779129198343E-3</c:v>
                </c:pt>
                <c:pt idx="122">
                  <c:v>1.7855867997604421E-3</c:v>
                </c:pt>
                <c:pt idx="123">
                  <c:v>1.807585662126674E-3</c:v>
                </c:pt>
                <c:pt idx="124">
                  <c:v>1.8296741335118256E-3</c:v>
                </c:pt>
                <c:pt idx="125">
                  <c:v>1.8518518518518519E-3</c:v>
                </c:pt>
                <c:pt idx="126">
                  <c:v>1.874118459436329E-3</c:v>
                </c:pt>
                <c:pt idx="127">
                  <c:v>1.8964736028218997E-3</c:v>
                </c:pt>
                <c:pt idx="128">
                  <c:v>1.9189169327481011E-3</c:v>
                </c:pt>
                <c:pt idx="129">
                  <c:v>1.9414481040555124E-3</c:v>
                </c:pt>
                <c:pt idx="130">
                  <c:v>1.9640667756061088E-3</c:v>
                </c:pt>
                <c:pt idx="131">
                  <c:v>1.9867726102057886E-3</c:v>
                </c:pt>
                <c:pt idx="132">
                  <c:v>2.0095652745289452E-3</c:v>
                </c:pt>
                <c:pt idx="133">
                  <c:v>2.0324444390450659E-3</c:v>
                </c:pt>
                <c:pt idx="134">
                  <c:v>2.0554097779472615E-3</c:v>
                </c:pt>
                <c:pt idx="135">
                  <c:v>2.078460969082653E-3</c:v>
                </c:pt>
                <c:pt idx="136">
                  <c:v>2.101597693884588E-3</c:v>
                </c:pt>
                <c:pt idx="137">
                  <c:v>2.1248196373065821E-3</c:v>
                </c:pt>
                <c:pt idx="138">
                  <c:v>2.1481264877579744E-3</c:v>
                </c:pt>
                <c:pt idx="139">
                  <c:v>2.1715179370411916E-3</c:v>
                </c:pt>
                <c:pt idx="140">
                  <c:v>2.1949936802906221E-3</c:v>
                </c:pt>
                <c:pt idx="141">
                  <c:v>2.2185534159130044E-3</c:v>
                </c:pt>
                <c:pt idx="142">
                  <c:v>2.2421968455292921E-3</c:v>
                </c:pt>
                <c:pt idx="143">
                  <c:v>2.2659236739179787E-3</c:v>
                </c:pt>
                <c:pt idx="144">
                  <c:v>2.2897336089597849E-3</c:v>
                </c:pt>
                <c:pt idx="145">
                  <c:v>2.3136263615837127E-3</c:v>
                </c:pt>
                <c:pt idx="146">
                  <c:v>2.3376016457143938E-3</c:v>
                </c:pt>
                <c:pt idx="147">
                  <c:v>2.3616591782206998E-3</c:v>
                </c:pt>
                <c:pt idx="148">
                  <c:v>2.3857986788655959E-3</c:v>
                </c:pt>
                <c:pt idx="149">
                  <c:v>2.4100198702571513E-3</c:v>
                </c:pt>
                <c:pt idx="150">
                  <c:v>2.4343224778007378E-3</c:v>
                </c:pt>
              </c:numCache>
            </c:numRef>
          </c:yVal>
          <c:smooth val="1"/>
          <c:extLst>
            <c:ext xmlns:c16="http://schemas.microsoft.com/office/drawing/2014/chart" uri="{C3380CC4-5D6E-409C-BE32-E72D297353CC}">
              <c16:uniqueId val="{00000002-53D1-4006-8366-E2C9DA64EC11}"/>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Eff_vs_IOUT!$AY$8:$AY$157</c:f>
              <c:numCache>
                <c:formatCode>General</c:formatCode>
                <c:ptCount val="150"/>
                <c:pt idx="0">
                  <c:v>3.8333333333333334E-5</c:v>
                </c:pt>
                <c:pt idx="1">
                  <c:v>7.6666666666666669E-5</c:v>
                </c:pt>
                <c:pt idx="2">
                  <c:v>1.1500000000000002E-4</c:v>
                </c:pt>
                <c:pt idx="3">
                  <c:v>1.5333333333333334E-4</c:v>
                </c:pt>
                <c:pt idx="4">
                  <c:v>1.9166666666666665E-4</c:v>
                </c:pt>
                <c:pt idx="5">
                  <c:v>2.3000000000000003E-4</c:v>
                </c:pt>
                <c:pt idx="6">
                  <c:v>2.6833333333333331E-4</c:v>
                </c:pt>
                <c:pt idx="7">
                  <c:v>3.0666666666666668E-4</c:v>
                </c:pt>
                <c:pt idx="8">
                  <c:v>3.4499999999999998E-4</c:v>
                </c:pt>
                <c:pt idx="9">
                  <c:v>3.8333333333333329E-4</c:v>
                </c:pt>
                <c:pt idx="10">
                  <c:v>4.2166666666666665E-4</c:v>
                </c:pt>
                <c:pt idx="11">
                  <c:v>4.6000000000000007E-4</c:v>
                </c:pt>
                <c:pt idx="12">
                  <c:v>4.9833333333333338E-4</c:v>
                </c:pt>
                <c:pt idx="13">
                  <c:v>5.3666666666666663E-4</c:v>
                </c:pt>
                <c:pt idx="14">
                  <c:v>5.7499999999999999E-4</c:v>
                </c:pt>
                <c:pt idx="15">
                  <c:v>6.1333333333333335E-4</c:v>
                </c:pt>
                <c:pt idx="16">
                  <c:v>6.5166666666666671E-4</c:v>
                </c:pt>
                <c:pt idx="17">
                  <c:v>6.8999999999999997E-4</c:v>
                </c:pt>
                <c:pt idx="18">
                  <c:v>7.2833333333333333E-4</c:v>
                </c:pt>
                <c:pt idx="19">
                  <c:v>7.6666666666666658E-4</c:v>
                </c:pt>
                <c:pt idx="20">
                  <c:v>8.0499999999999994E-4</c:v>
                </c:pt>
                <c:pt idx="21">
                  <c:v>8.433333333333333E-4</c:v>
                </c:pt>
                <c:pt idx="22">
                  <c:v>8.8166666666666677E-4</c:v>
                </c:pt>
                <c:pt idx="23">
                  <c:v>9.2000000000000014E-4</c:v>
                </c:pt>
                <c:pt idx="24">
                  <c:v>9.5833333333333328E-4</c:v>
                </c:pt>
                <c:pt idx="25">
                  <c:v>9.9666666666666675E-4</c:v>
                </c:pt>
                <c:pt idx="26">
                  <c:v>1.0350000000000001E-3</c:v>
                </c:pt>
                <c:pt idx="27">
                  <c:v>1.0733333333333333E-3</c:v>
                </c:pt>
                <c:pt idx="28">
                  <c:v>1.1116666666666666E-3</c:v>
                </c:pt>
                <c:pt idx="29">
                  <c:v>1.15E-3</c:v>
                </c:pt>
                <c:pt idx="30">
                  <c:v>1.1883333333333333E-3</c:v>
                </c:pt>
                <c:pt idx="31">
                  <c:v>1.2266666666666667E-3</c:v>
                </c:pt>
                <c:pt idx="32">
                  <c:v>1.2650000000000001E-3</c:v>
                </c:pt>
                <c:pt idx="33">
                  <c:v>1.3033333333333334E-3</c:v>
                </c:pt>
                <c:pt idx="34">
                  <c:v>1.3416666666666666E-3</c:v>
                </c:pt>
                <c:pt idx="35">
                  <c:v>1.3799999999999999E-3</c:v>
                </c:pt>
                <c:pt idx="36">
                  <c:v>1.4183333333333333E-3</c:v>
                </c:pt>
                <c:pt idx="37">
                  <c:v>1.4566666666666667E-3</c:v>
                </c:pt>
                <c:pt idx="38">
                  <c:v>1.495E-3</c:v>
                </c:pt>
                <c:pt idx="39">
                  <c:v>1.5333333333333332E-3</c:v>
                </c:pt>
                <c:pt idx="40">
                  <c:v>1.5716666666666667E-3</c:v>
                </c:pt>
                <c:pt idx="41">
                  <c:v>1.6099999999999999E-3</c:v>
                </c:pt>
                <c:pt idx="42">
                  <c:v>1.6483333333333332E-3</c:v>
                </c:pt>
                <c:pt idx="43">
                  <c:v>1.6866666666666666E-3</c:v>
                </c:pt>
                <c:pt idx="44">
                  <c:v>1.725E-3</c:v>
                </c:pt>
                <c:pt idx="45">
                  <c:v>1.7633333333333335E-3</c:v>
                </c:pt>
                <c:pt idx="46">
                  <c:v>1.8016666666666667E-3</c:v>
                </c:pt>
                <c:pt idx="47">
                  <c:v>1.8400000000000003E-3</c:v>
                </c:pt>
                <c:pt idx="48">
                  <c:v>1.8783333333333332E-3</c:v>
                </c:pt>
                <c:pt idx="49">
                  <c:v>1.9166666666666666E-3</c:v>
                </c:pt>
                <c:pt idx="50">
                  <c:v>1.9550000000000001E-3</c:v>
                </c:pt>
                <c:pt idx="51">
                  <c:v>1.9933333333333335E-3</c:v>
                </c:pt>
                <c:pt idx="52">
                  <c:v>2.0316666666666669E-3</c:v>
                </c:pt>
                <c:pt idx="53">
                  <c:v>2.0700000000000002E-3</c:v>
                </c:pt>
                <c:pt idx="54">
                  <c:v>2.1083333333333332E-3</c:v>
                </c:pt>
                <c:pt idx="55">
                  <c:v>2.1466666666666665E-3</c:v>
                </c:pt>
                <c:pt idx="56">
                  <c:v>2.1849999999999999E-3</c:v>
                </c:pt>
                <c:pt idx="57">
                  <c:v>2.2233333333333332E-3</c:v>
                </c:pt>
                <c:pt idx="58">
                  <c:v>2.2616666666666666E-3</c:v>
                </c:pt>
                <c:pt idx="59">
                  <c:v>2.3E-3</c:v>
                </c:pt>
                <c:pt idx="60">
                  <c:v>2.3383333333333333E-3</c:v>
                </c:pt>
                <c:pt idx="61">
                  <c:v>2.3766666666666667E-3</c:v>
                </c:pt>
                <c:pt idx="62">
                  <c:v>2.415E-3</c:v>
                </c:pt>
                <c:pt idx="63">
                  <c:v>2.4533333333333334E-3</c:v>
                </c:pt>
                <c:pt idx="64">
                  <c:v>2.4916666666666663E-3</c:v>
                </c:pt>
                <c:pt idx="65">
                  <c:v>2.5300000000000001E-3</c:v>
                </c:pt>
                <c:pt idx="66">
                  <c:v>2.5683333333333331E-3</c:v>
                </c:pt>
                <c:pt idx="67">
                  <c:v>2.6066666666666669E-3</c:v>
                </c:pt>
                <c:pt idx="68">
                  <c:v>2.6449999999999998E-3</c:v>
                </c:pt>
                <c:pt idx="69">
                  <c:v>2.6833333333333331E-3</c:v>
                </c:pt>
                <c:pt idx="70">
                  <c:v>2.7216666666666665E-3</c:v>
                </c:pt>
                <c:pt idx="71">
                  <c:v>2.7599999999999999E-3</c:v>
                </c:pt>
                <c:pt idx="72">
                  <c:v>2.7983333333333332E-3</c:v>
                </c:pt>
                <c:pt idx="73">
                  <c:v>2.8366666666666666E-3</c:v>
                </c:pt>
                <c:pt idx="74">
                  <c:v>2.875E-3</c:v>
                </c:pt>
                <c:pt idx="75">
                  <c:v>2.9133333333333333E-3</c:v>
                </c:pt>
                <c:pt idx="76">
                  <c:v>2.9516666666666667E-3</c:v>
                </c:pt>
                <c:pt idx="77">
                  <c:v>2.99E-3</c:v>
                </c:pt>
                <c:pt idx="78">
                  <c:v>3.0283333333333334E-3</c:v>
                </c:pt>
                <c:pt idx="79">
                  <c:v>3.0666666666666663E-3</c:v>
                </c:pt>
                <c:pt idx="80">
                  <c:v>3.1049999999999993E-3</c:v>
                </c:pt>
                <c:pt idx="81">
                  <c:v>3.1433333333333335E-3</c:v>
                </c:pt>
                <c:pt idx="82">
                  <c:v>3.1816666666666664E-3</c:v>
                </c:pt>
                <c:pt idx="83">
                  <c:v>3.2199999999999998E-3</c:v>
                </c:pt>
                <c:pt idx="84">
                  <c:v>3.2583333333333331E-3</c:v>
                </c:pt>
                <c:pt idx="85">
                  <c:v>3.2966666666666665E-3</c:v>
                </c:pt>
                <c:pt idx="86">
                  <c:v>3.3349999999999999E-3</c:v>
                </c:pt>
                <c:pt idx="87">
                  <c:v>3.3733333333333332E-3</c:v>
                </c:pt>
                <c:pt idx="88">
                  <c:v>3.4116666666666666E-3</c:v>
                </c:pt>
                <c:pt idx="89">
                  <c:v>3.4499999999999999E-3</c:v>
                </c:pt>
                <c:pt idx="90">
                  <c:v>3.4883333333333329E-3</c:v>
                </c:pt>
                <c:pt idx="91">
                  <c:v>3.5266666666666671E-3</c:v>
                </c:pt>
                <c:pt idx="92">
                  <c:v>3.565E-3</c:v>
                </c:pt>
                <c:pt idx="93">
                  <c:v>3.6033333333333334E-3</c:v>
                </c:pt>
                <c:pt idx="94">
                  <c:v>3.6416666666666663E-3</c:v>
                </c:pt>
                <c:pt idx="95">
                  <c:v>3.6800000000000005E-3</c:v>
                </c:pt>
                <c:pt idx="96">
                  <c:v>3.7183333333333335E-3</c:v>
                </c:pt>
                <c:pt idx="97">
                  <c:v>3.7566666666666664E-3</c:v>
                </c:pt>
                <c:pt idx="98">
                  <c:v>3.7949999999999998E-3</c:v>
                </c:pt>
                <c:pt idx="99">
                  <c:v>3.8333333333333331E-3</c:v>
                </c:pt>
                <c:pt idx="100">
                  <c:v>3.8716666666666669E-3</c:v>
                </c:pt>
                <c:pt idx="101">
                  <c:v>3.9100000000000003E-3</c:v>
                </c:pt>
                <c:pt idx="102">
                  <c:v>3.9483333333333332E-3</c:v>
                </c:pt>
                <c:pt idx="103">
                  <c:v>3.986666666666667E-3</c:v>
                </c:pt>
                <c:pt idx="104">
                  <c:v>4.0249999999999999E-3</c:v>
                </c:pt>
                <c:pt idx="105">
                  <c:v>4.0633333333333337E-3</c:v>
                </c:pt>
                <c:pt idx="106">
                  <c:v>4.1016666666666667E-3</c:v>
                </c:pt>
                <c:pt idx="107">
                  <c:v>4.1400000000000005E-3</c:v>
                </c:pt>
                <c:pt idx="108">
                  <c:v>4.1783333333333334E-3</c:v>
                </c:pt>
                <c:pt idx="109">
                  <c:v>4.2166666666666663E-3</c:v>
                </c:pt>
                <c:pt idx="110">
                  <c:v>4.2550000000000001E-3</c:v>
                </c:pt>
                <c:pt idx="111">
                  <c:v>4.293333333333333E-3</c:v>
                </c:pt>
                <c:pt idx="112">
                  <c:v>4.3316666666666668E-3</c:v>
                </c:pt>
                <c:pt idx="113">
                  <c:v>4.3699999999999998E-3</c:v>
                </c:pt>
                <c:pt idx="114">
                  <c:v>4.4083333333333327E-3</c:v>
                </c:pt>
                <c:pt idx="115">
                  <c:v>4.4466666666666665E-3</c:v>
                </c:pt>
                <c:pt idx="116">
                  <c:v>4.4850000000000003E-3</c:v>
                </c:pt>
                <c:pt idx="117">
                  <c:v>4.5233333333333332E-3</c:v>
                </c:pt>
                <c:pt idx="118">
                  <c:v>4.561666666666667E-3</c:v>
                </c:pt>
                <c:pt idx="119">
                  <c:v>4.5999999999999999E-3</c:v>
                </c:pt>
                <c:pt idx="120">
                  <c:v>4.6383333333333337E-3</c:v>
                </c:pt>
                <c:pt idx="121">
                  <c:v>4.6766666666666666E-3</c:v>
                </c:pt>
                <c:pt idx="122">
                  <c:v>4.7150000000000004E-3</c:v>
                </c:pt>
                <c:pt idx="123">
                  <c:v>4.7533333333333334E-3</c:v>
                </c:pt>
                <c:pt idx="124">
                  <c:v>4.7916666666666663E-3</c:v>
                </c:pt>
                <c:pt idx="125">
                  <c:v>4.8300000000000001E-3</c:v>
                </c:pt>
                <c:pt idx="126">
                  <c:v>4.868333333333333E-3</c:v>
                </c:pt>
                <c:pt idx="127">
                  <c:v>4.9066666666666668E-3</c:v>
                </c:pt>
                <c:pt idx="128">
                  <c:v>4.9449999999999997E-3</c:v>
                </c:pt>
                <c:pt idx="129">
                  <c:v>4.9833333333333327E-3</c:v>
                </c:pt>
                <c:pt idx="130">
                  <c:v>5.0216666666666665E-3</c:v>
                </c:pt>
                <c:pt idx="131">
                  <c:v>5.0600000000000003E-3</c:v>
                </c:pt>
                <c:pt idx="132">
                  <c:v>5.0983333333333332E-3</c:v>
                </c:pt>
                <c:pt idx="133">
                  <c:v>5.1366666666666661E-3</c:v>
                </c:pt>
                <c:pt idx="134">
                  <c:v>5.174999999999999E-3</c:v>
                </c:pt>
                <c:pt idx="135">
                  <c:v>5.2133333333333337E-3</c:v>
                </c:pt>
                <c:pt idx="136">
                  <c:v>5.2516666666666666E-3</c:v>
                </c:pt>
                <c:pt idx="137">
                  <c:v>5.2899999999999996E-3</c:v>
                </c:pt>
                <c:pt idx="138">
                  <c:v>5.3283333333333325E-3</c:v>
                </c:pt>
                <c:pt idx="139">
                  <c:v>5.3666666666666663E-3</c:v>
                </c:pt>
                <c:pt idx="140">
                  <c:v>5.4050000000000001E-3</c:v>
                </c:pt>
                <c:pt idx="141">
                  <c:v>5.443333333333333E-3</c:v>
                </c:pt>
                <c:pt idx="142">
                  <c:v>5.4816666666666668E-3</c:v>
                </c:pt>
                <c:pt idx="143">
                  <c:v>5.5199999999999997E-3</c:v>
                </c:pt>
                <c:pt idx="144">
                  <c:v>5.5583333333333335E-3</c:v>
                </c:pt>
                <c:pt idx="145">
                  <c:v>5.5966666666666665E-3</c:v>
                </c:pt>
                <c:pt idx="146">
                  <c:v>5.6350000000000003E-3</c:v>
                </c:pt>
                <c:pt idx="147">
                  <c:v>5.6733333333333332E-3</c:v>
                </c:pt>
                <c:pt idx="148">
                  <c:v>5.711666666666667E-3</c:v>
                </c:pt>
                <c:pt idx="149">
                  <c:v>5.7499999999999999E-3</c:v>
                </c:pt>
              </c:numCache>
            </c:numRef>
          </c:yVal>
          <c:smooth val="1"/>
          <c:extLst>
            <c:ext xmlns:c16="http://schemas.microsoft.com/office/drawing/2014/chart" uri="{C3380CC4-5D6E-409C-BE32-E72D297353CC}">
              <c16:uniqueId val="{00000003-53D1-4006-8366-E2C9DA64EC11}"/>
            </c:ext>
          </c:extLst>
        </c:ser>
        <c:ser>
          <c:idx val="4"/>
          <c:order val="4"/>
          <c:tx>
            <c:v>D2</c:v>
          </c:tx>
          <c:marker>
            <c:symbol val="none"/>
          </c:marker>
          <c:xVal>
            <c:numRef>
              <c:f>Eff_vs_IOUT!$R$8:$R$157</c:f>
              <c:numCache>
                <c:formatCode>General</c:formatCode>
                <c:ptCount val="150"/>
                <c:pt idx="0">
                  <c:v>0.05</c:v>
                </c:pt>
                <c:pt idx="1">
                  <c:v>0.1</c:v>
                </c:pt>
                <c:pt idx="2">
                  <c:v>0.15000000000000002</c:v>
                </c:pt>
                <c:pt idx="3">
                  <c:v>0.2</c:v>
                </c:pt>
                <c:pt idx="4">
                  <c:v>0.25</c:v>
                </c:pt>
                <c:pt idx="5">
                  <c:v>0.30000000000000004</c:v>
                </c:pt>
                <c:pt idx="6">
                  <c:v>0.35000000000000003</c:v>
                </c:pt>
                <c:pt idx="7">
                  <c:v>0.4</c:v>
                </c:pt>
                <c:pt idx="8">
                  <c:v>0.45</c:v>
                </c:pt>
                <c:pt idx="9">
                  <c:v>0.5</c:v>
                </c:pt>
                <c:pt idx="10">
                  <c:v>0.55000000000000004</c:v>
                </c:pt>
                <c:pt idx="11">
                  <c:v>0.60000000000000009</c:v>
                </c:pt>
                <c:pt idx="12">
                  <c:v>0.65</c:v>
                </c:pt>
                <c:pt idx="13">
                  <c:v>0.70000000000000007</c:v>
                </c:pt>
                <c:pt idx="14">
                  <c:v>0.75</c:v>
                </c:pt>
                <c:pt idx="15">
                  <c:v>0.8</c:v>
                </c:pt>
                <c:pt idx="16">
                  <c:v>0.85000000000000009</c:v>
                </c:pt>
                <c:pt idx="17">
                  <c:v>0.9</c:v>
                </c:pt>
                <c:pt idx="18">
                  <c:v>0.95000000000000007</c:v>
                </c:pt>
                <c:pt idx="19">
                  <c:v>1</c:v>
                </c:pt>
                <c:pt idx="20">
                  <c:v>1.05</c:v>
                </c:pt>
                <c:pt idx="21">
                  <c:v>1.1000000000000001</c:v>
                </c:pt>
                <c:pt idx="22">
                  <c:v>1.1500000000000001</c:v>
                </c:pt>
                <c:pt idx="23">
                  <c:v>1.2000000000000002</c:v>
                </c:pt>
                <c:pt idx="24">
                  <c:v>1.25</c:v>
                </c:pt>
                <c:pt idx="25">
                  <c:v>1.3</c:v>
                </c:pt>
                <c:pt idx="26">
                  <c:v>1.35</c:v>
                </c:pt>
                <c:pt idx="27">
                  <c:v>1.4000000000000001</c:v>
                </c:pt>
                <c:pt idx="28">
                  <c:v>1.4500000000000002</c:v>
                </c:pt>
                <c:pt idx="29">
                  <c:v>1.5</c:v>
                </c:pt>
                <c:pt idx="30">
                  <c:v>1.55</c:v>
                </c:pt>
                <c:pt idx="31">
                  <c:v>1.6</c:v>
                </c:pt>
                <c:pt idx="32">
                  <c:v>1.6500000000000001</c:v>
                </c:pt>
                <c:pt idx="33">
                  <c:v>1.7000000000000002</c:v>
                </c:pt>
                <c:pt idx="34">
                  <c:v>1.75</c:v>
                </c:pt>
                <c:pt idx="35">
                  <c:v>1.8</c:v>
                </c:pt>
                <c:pt idx="36">
                  <c:v>1.85</c:v>
                </c:pt>
                <c:pt idx="37">
                  <c:v>1.9000000000000001</c:v>
                </c:pt>
                <c:pt idx="38">
                  <c:v>1.9500000000000002</c:v>
                </c:pt>
                <c:pt idx="39">
                  <c:v>2</c:v>
                </c:pt>
                <c:pt idx="40">
                  <c:v>2.0500000000000003</c:v>
                </c:pt>
                <c:pt idx="41">
                  <c:v>2.1</c:v>
                </c:pt>
                <c:pt idx="42">
                  <c:v>2.15</c:v>
                </c:pt>
                <c:pt idx="43">
                  <c:v>2.2000000000000002</c:v>
                </c:pt>
                <c:pt idx="44">
                  <c:v>2.25</c:v>
                </c:pt>
                <c:pt idx="45">
                  <c:v>2.3000000000000003</c:v>
                </c:pt>
                <c:pt idx="46">
                  <c:v>2.35</c:v>
                </c:pt>
                <c:pt idx="47">
                  <c:v>2.4000000000000004</c:v>
                </c:pt>
                <c:pt idx="48">
                  <c:v>2.4500000000000002</c:v>
                </c:pt>
                <c:pt idx="49">
                  <c:v>2.5</c:v>
                </c:pt>
                <c:pt idx="50">
                  <c:v>2.5500000000000003</c:v>
                </c:pt>
                <c:pt idx="51">
                  <c:v>2.6</c:v>
                </c:pt>
                <c:pt idx="52">
                  <c:v>2.6500000000000004</c:v>
                </c:pt>
                <c:pt idx="53">
                  <c:v>2.7</c:v>
                </c:pt>
                <c:pt idx="54">
                  <c:v>2.75</c:v>
                </c:pt>
                <c:pt idx="55">
                  <c:v>2.8000000000000003</c:v>
                </c:pt>
                <c:pt idx="56">
                  <c:v>2.85</c:v>
                </c:pt>
                <c:pt idx="57">
                  <c:v>2.9000000000000004</c:v>
                </c:pt>
                <c:pt idx="58">
                  <c:v>2.95</c:v>
                </c:pt>
                <c:pt idx="59">
                  <c:v>3</c:v>
                </c:pt>
                <c:pt idx="60">
                  <c:v>3.0500000000000003</c:v>
                </c:pt>
                <c:pt idx="61">
                  <c:v>3.1</c:v>
                </c:pt>
                <c:pt idx="62">
                  <c:v>3.1500000000000004</c:v>
                </c:pt>
                <c:pt idx="63">
                  <c:v>3.2</c:v>
                </c:pt>
                <c:pt idx="64">
                  <c:v>3.25</c:v>
                </c:pt>
                <c:pt idx="65">
                  <c:v>3.3000000000000003</c:v>
                </c:pt>
                <c:pt idx="66">
                  <c:v>3.35</c:v>
                </c:pt>
                <c:pt idx="67">
                  <c:v>3.4000000000000004</c:v>
                </c:pt>
                <c:pt idx="68">
                  <c:v>3.45</c:v>
                </c:pt>
                <c:pt idx="69">
                  <c:v>3.5</c:v>
                </c:pt>
                <c:pt idx="70">
                  <c:v>3.5500000000000003</c:v>
                </c:pt>
                <c:pt idx="71">
                  <c:v>3.6</c:v>
                </c:pt>
                <c:pt idx="72">
                  <c:v>3.6500000000000004</c:v>
                </c:pt>
                <c:pt idx="73">
                  <c:v>3.7</c:v>
                </c:pt>
                <c:pt idx="74">
                  <c:v>3.75</c:v>
                </c:pt>
                <c:pt idx="75">
                  <c:v>3.8000000000000003</c:v>
                </c:pt>
                <c:pt idx="76">
                  <c:v>3.85</c:v>
                </c:pt>
                <c:pt idx="77">
                  <c:v>3.9000000000000004</c:v>
                </c:pt>
                <c:pt idx="78">
                  <c:v>3.95</c:v>
                </c:pt>
                <c:pt idx="79">
                  <c:v>4</c:v>
                </c:pt>
                <c:pt idx="80">
                  <c:v>4.05</c:v>
                </c:pt>
                <c:pt idx="81">
                  <c:v>4.1000000000000005</c:v>
                </c:pt>
                <c:pt idx="82">
                  <c:v>4.1500000000000004</c:v>
                </c:pt>
                <c:pt idx="83">
                  <c:v>4.2</c:v>
                </c:pt>
                <c:pt idx="84">
                  <c:v>4.25</c:v>
                </c:pt>
                <c:pt idx="85">
                  <c:v>4.3</c:v>
                </c:pt>
                <c:pt idx="86">
                  <c:v>4.3500000000000005</c:v>
                </c:pt>
                <c:pt idx="87">
                  <c:v>4.4000000000000004</c:v>
                </c:pt>
                <c:pt idx="88">
                  <c:v>4.45</c:v>
                </c:pt>
                <c:pt idx="89">
                  <c:v>4.5</c:v>
                </c:pt>
                <c:pt idx="90">
                  <c:v>4.55</c:v>
                </c:pt>
                <c:pt idx="91">
                  <c:v>4.6000000000000005</c:v>
                </c:pt>
                <c:pt idx="92">
                  <c:v>4.6500000000000004</c:v>
                </c:pt>
                <c:pt idx="93">
                  <c:v>4.7</c:v>
                </c:pt>
                <c:pt idx="94">
                  <c:v>4.75</c:v>
                </c:pt>
                <c:pt idx="95">
                  <c:v>4.8000000000000007</c:v>
                </c:pt>
                <c:pt idx="96">
                  <c:v>4.8500000000000005</c:v>
                </c:pt>
                <c:pt idx="97">
                  <c:v>4.9000000000000004</c:v>
                </c:pt>
                <c:pt idx="98">
                  <c:v>4.95</c:v>
                </c:pt>
                <c:pt idx="99">
                  <c:v>5</c:v>
                </c:pt>
                <c:pt idx="100">
                  <c:v>5.0500000000000007</c:v>
                </c:pt>
                <c:pt idx="101">
                  <c:v>5.1000000000000005</c:v>
                </c:pt>
                <c:pt idx="102">
                  <c:v>5.15</c:v>
                </c:pt>
                <c:pt idx="103">
                  <c:v>5.2</c:v>
                </c:pt>
                <c:pt idx="104">
                  <c:v>5.25</c:v>
                </c:pt>
                <c:pt idx="105">
                  <c:v>5.3000000000000007</c:v>
                </c:pt>
                <c:pt idx="106">
                  <c:v>5.3500000000000005</c:v>
                </c:pt>
                <c:pt idx="107">
                  <c:v>5.4</c:v>
                </c:pt>
                <c:pt idx="108">
                  <c:v>5.45</c:v>
                </c:pt>
                <c:pt idx="109">
                  <c:v>5.5</c:v>
                </c:pt>
                <c:pt idx="110">
                  <c:v>5.5500000000000007</c:v>
                </c:pt>
                <c:pt idx="111">
                  <c:v>5.6000000000000005</c:v>
                </c:pt>
                <c:pt idx="112">
                  <c:v>5.65</c:v>
                </c:pt>
                <c:pt idx="113">
                  <c:v>5.7</c:v>
                </c:pt>
                <c:pt idx="114">
                  <c:v>5.75</c:v>
                </c:pt>
                <c:pt idx="115">
                  <c:v>5.8000000000000007</c:v>
                </c:pt>
                <c:pt idx="116">
                  <c:v>5.8500000000000005</c:v>
                </c:pt>
                <c:pt idx="117">
                  <c:v>5.9</c:v>
                </c:pt>
                <c:pt idx="118">
                  <c:v>5.95</c:v>
                </c:pt>
                <c:pt idx="119">
                  <c:v>6</c:v>
                </c:pt>
                <c:pt idx="120">
                  <c:v>6.0500000000000007</c:v>
                </c:pt>
                <c:pt idx="121">
                  <c:v>6.1000000000000005</c:v>
                </c:pt>
                <c:pt idx="122">
                  <c:v>6.15</c:v>
                </c:pt>
                <c:pt idx="123">
                  <c:v>6.2</c:v>
                </c:pt>
                <c:pt idx="124">
                  <c:v>6.25</c:v>
                </c:pt>
                <c:pt idx="125">
                  <c:v>6.3000000000000007</c:v>
                </c:pt>
                <c:pt idx="126">
                  <c:v>6.3500000000000005</c:v>
                </c:pt>
                <c:pt idx="127">
                  <c:v>6.4</c:v>
                </c:pt>
                <c:pt idx="128">
                  <c:v>6.45</c:v>
                </c:pt>
                <c:pt idx="129">
                  <c:v>6.5</c:v>
                </c:pt>
                <c:pt idx="130">
                  <c:v>6.5500000000000007</c:v>
                </c:pt>
                <c:pt idx="131">
                  <c:v>6.6000000000000005</c:v>
                </c:pt>
                <c:pt idx="132">
                  <c:v>6.65</c:v>
                </c:pt>
                <c:pt idx="133">
                  <c:v>6.7</c:v>
                </c:pt>
                <c:pt idx="134">
                  <c:v>6.75</c:v>
                </c:pt>
                <c:pt idx="135">
                  <c:v>6.8000000000000007</c:v>
                </c:pt>
                <c:pt idx="136">
                  <c:v>6.8500000000000005</c:v>
                </c:pt>
                <c:pt idx="137">
                  <c:v>6.9</c:v>
                </c:pt>
                <c:pt idx="138">
                  <c:v>6.95</c:v>
                </c:pt>
                <c:pt idx="139">
                  <c:v>7</c:v>
                </c:pt>
                <c:pt idx="140">
                  <c:v>7.0500000000000007</c:v>
                </c:pt>
                <c:pt idx="141">
                  <c:v>7.1000000000000005</c:v>
                </c:pt>
                <c:pt idx="142">
                  <c:v>7.15</c:v>
                </c:pt>
                <c:pt idx="143">
                  <c:v>7.2</c:v>
                </c:pt>
                <c:pt idx="144">
                  <c:v>7.25</c:v>
                </c:pt>
                <c:pt idx="145">
                  <c:v>7.3000000000000007</c:v>
                </c:pt>
                <c:pt idx="146">
                  <c:v>7.3500000000000005</c:v>
                </c:pt>
                <c:pt idx="147">
                  <c:v>7.4</c:v>
                </c:pt>
                <c:pt idx="148">
                  <c:v>7.45</c:v>
                </c:pt>
                <c:pt idx="149">
                  <c:v>7.5</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53D1-4006-8366-E2C9DA64EC11}"/>
            </c:ext>
          </c:extLst>
        </c:ser>
        <c:ser>
          <c:idx val="5"/>
          <c:order val="5"/>
          <c:tx>
            <c:v>D3</c:v>
          </c:tx>
          <c:marker>
            <c:symbol val="none"/>
          </c:marker>
          <c:xVal>
            <c:numRef>
              <c:f>Eff_vs_IOUT!$R$8:$R$157</c:f>
              <c:numCache>
                <c:formatCode>General</c:formatCode>
                <c:ptCount val="150"/>
                <c:pt idx="0">
                  <c:v>0.05</c:v>
                </c:pt>
                <c:pt idx="1">
                  <c:v>0.1</c:v>
                </c:pt>
                <c:pt idx="2">
                  <c:v>0.15000000000000002</c:v>
                </c:pt>
                <c:pt idx="3">
                  <c:v>0.2</c:v>
                </c:pt>
                <c:pt idx="4">
                  <c:v>0.25</c:v>
                </c:pt>
                <c:pt idx="5">
                  <c:v>0.30000000000000004</c:v>
                </c:pt>
                <c:pt idx="6">
                  <c:v>0.35000000000000003</c:v>
                </c:pt>
                <c:pt idx="7">
                  <c:v>0.4</c:v>
                </c:pt>
                <c:pt idx="8">
                  <c:v>0.45</c:v>
                </c:pt>
                <c:pt idx="9">
                  <c:v>0.5</c:v>
                </c:pt>
                <c:pt idx="10">
                  <c:v>0.55000000000000004</c:v>
                </c:pt>
                <c:pt idx="11">
                  <c:v>0.60000000000000009</c:v>
                </c:pt>
                <c:pt idx="12">
                  <c:v>0.65</c:v>
                </c:pt>
                <c:pt idx="13">
                  <c:v>0.70000000000000007</c:v>
                </c:pt>
                <c:pt idx="14">
                  <c:v>0.75</c:v>
                </c:pt>
                <c:pt idx="15">
                  <c:v>0.8</c:v>
                </c:pt>
                <c:pt idx="16">
                  <c:v>0.85000000000000009</c:v>
                </c:pt>
                <c:pt idx="17">
                  <c:v>0.9</c:v>
                </c:pt>
                <c:pt idx="18">
                  <c:v>0.95000000000000007</c:v>
                </c:pt>
                <c:pt idx="19">
                  <c:v>1</c:v>
                </c:pt>
                <c:pt idx="20">
                  <c:v>1.05</c:v>
                </c:pt>
                <c:pt idx="21">
                  <c:v>1.1000000000000001</c:v>
                </c:pt>
                <c:pt idx="22">
                  <c:v>1.1500000000000001</c:v>
                </c:pt>
                <c:pt idx="23">
                  <c:v>1.2000000000000002</c:v>
                </c:pt>
                <c:pt idx="24">
                  <c:v>1.25</c:v>
                </c:pt>
                <c:pt idx="25">
                  <c:v>1.3</c:v>
                </c:pt>
                <c:pt idx="26">
                  <c:v>1.35</c:v>
                </c:pt>
                <c:pt idx="27">
                  <c:v>1.4000000000000001</c:v>
                </c:pt>
                <c:pt idx="28">
                  <c:v>1.4500000000000002</c:v>
                </c:pt>
                <c:pt idx="29">
                  <c:v>1.5</c:v>
                </c:pt>
                <c:pt idx="30">
                  <c:v>1.55</c:v>
                </c:pt>
                <c:pt idx="31">
                  <c:v>1.6</c:v>
                </c:pt>
                <c:pt idx="32">
                  <c:v>1.6500000000000001</c:v>
                </c:pt>
                <c:pt idx="33">
                  <c:v>1.7000000000000002</c:v>
                </c:pt>
                <c:pt idx="34">
                  <c:v>1.75</c:v>
                </c:pt>
                <c:pt idx="35">
                  <c:v>1.8</c:v>
                </c:pt>
                <c:pt idx="36">
                  <c:v>1.85</c:v>
                </c:pt>
                <c:pt idx="37">
                  <c:v>1.9000000000000001</c:v>
                </c:pt>
                <c:pt idx="38">
                  <c:v>1.9500000000000002</c:v>
                </c:pt>
                <c:pt idx="39">
                  <c:v>2</c:v>
                </c:pt>
                <c:pt idx="40">
                  <c:v>2.0500000000000003</c:v>
                </c:pt>
                <c:pt idx="41">
                  <c:v>2.1</c:v>
                </c:pt>
                <c:pt idx="42">
                  <c:v>2.15</c:v>
                </c:pt>
                <c:pt idx="43">
                  <c:v>2.2000000000000002</c:v>
                </c:pt>
                <c:pt idx="44">
                  <c:v>2.25</c:v>
                </c:pt>
                <c:pt idx="45">
                  <c:v>2.3000000000000003</c:v>
                </c:pt>
                <c:pt idx="46">
                  <c:v>2.35</c:v>
                </c:pt>
                <c:pt idx="47">
                  <c:v>2.4000000000000004</c:v>
                </c:pt>
                <c:pt idx="48">
                  <c:v>2.4500000000000002</c:v>
                </c:pt>
                <c:pt idx="49">
                  <c:v>2.5</c:v>
                </c:pt>
                <c:pt idx="50">
                  <c:v>2.5500000000000003</c:v>
                </c:pt>
                <c:pt idx="51">
                  <c:v>2.6</c:v>
                </c:pt>
                <c:pt idx="52">
                  <c:v>2.6500000000000004</c:v>
                </c:pt>
                <c:pt idx="53">
                  <c:v>2.7</c:v>
                </c:pt>
                <c:pt idx="54">
                  <c:v>2.75</c:v>
                </c:pt>
                <c:pt idx="55">
                  <c:v>2.8000000000000003</c:v>
                </c:pt>
                <c:pt idx="56">
                  <c:v>2.85</c:v>
                </c:pt>
                <c:pt idx="57">
                  <c:v>2.9000000000000004</c:v>
                </c:pt>
                <c:pt idx="58">
                  <c:v>2.95</c:v>
                </c:pt>
                <c:pt idx="59">
                  <c:v>3</c:v>
                </c:pt>
                <c:pt idx="60">
                  <c:v>3.0500000000000003</c:v>
                </c:pt>
                <c:pt idx="61">
                  <c:v>3.1</c:v>
                </c:pt>
                <c:pt idx="62">
                  <c:v>3.1500000000000004</c:v>
                </c:pt>
                <c:pt idx="63">
                  <c:v>3.2</c:v>
                </c:pt>
                <c:pt idx="64">
                  <c:v>3.25</c:v>
                </c:pt>
                <c:pt idx="65">
                  <c:v>3.3000000000000003</c:v>
                </c:pt>
                <c:pt idx="66">
                  <c:v>3.35</c:v>
                </c:pt>
                <c:pt idx="67">
                  <c:v>3.4000000000000004</c:v>
                </c:pt>
                <c:pt idx="68">
                  <c:v>3.45</c:v>
                </c:pt>
                <c:pt idx="69">
                  <c:v>3.5</c:v>
                </c:pt>
                <c:pt idx="70">
                  <c:v>3.5500000000000003</c:v>
                </c:pt>
                <c:pt idx="71">
                  <c:v>3.6</c:v>
                </c:pt>
                <c:pt idx="72">
                  <c:v>3.6500000000000004</c:v>
                </c:pt>
                <c:pt idx="73">
                  <c:v>3.7</c:v>
                </c:pt>
                <c:pt idx="74">
                  <c:v>3.75</c:v>
                </c:pt>
                <c:pt idx="75">
                  <c:v>3.8000000000000003</c:v>
                </c:pt>
                <c:pt idx="76">
                  <c:v>3.85</c:v>
                </c:pt>
                <c:pt idx="77">
                  <c:v>3.9000000000000004</c:v>
                </c:pt>
                <c:pt idx="78">
                  <c:v>3.95</c:v>
                </c:pt>
                <c:pt idx="79">
                  <c:v>4</c:v>
                </c:pt>
                <c:pt idx="80">
                  <c:v>4.05</c:v>
                </c:pt>
                <c:pt idx="81">
                  <c:v>4.1000000000000005</c:v>
                </c:pt>
                <c:pt idx="82">
                  <c:v>4.1500000000000004</c:v>
                </c:pt>
                <c:pt idx="83">
                  <c:v>4.2</c:v>
                </c:pt>
                <c:pt idx="84">
                  <c:v>4.25</c:v>
                </c:pt>
                <c:pt idx="85">
                  <c:v>4.3</c:v>
                </c:pt>
                <c:pt idx="86">
                  <c:v>4.3500000000000005</c:v>
                </c:pt>
                <c:pt idx="87">
                  <c:v>4.4000000000000004</c:v>
                </c:pt>
                <c:pt idx="88">
                  <c:v>4.45</c:v>
                </c:pt>
                <c:pt idx="89">
                  <c:v>4.5</c:v>
                </c:pt>
                <c:pt idx="90">
                  <c:v>4.55</c:v>
                </c:pt>
                <c:pt idx="91">
                  <c:v>4.6000000000000005</c:v>
                </c:pt>
                <c:pt idx="92">
                  <c:v>4.6500000000000004</c:v>
                </c:pt>
                <c:pt idx="93">
                  <c:v>4.7</c:v>
                </c:pt>
                <c:pt idx="94">
                  <c:v>4.75</c:v>
                </c:pt>
                <c:pt idx="95">
                  <c:v>4.8000000000000007</c:v>
                </c:pt>
                <c:pt idx="96">
                  <c:v>4.8500000000000005</c:v>
                </c:pt>
                <c:pt idx="97">
                  <c:v>4.9000000000000004</c:v>
                </c:pt>
                <c:pt idx="98">
                  <c:v>4.95</c:v>
                </c:pt>
                <c:pt idx="99">
                  <c:v>5</c:v>
                </c:pt>
                <c:pt idx="100">
                  <c:v>5.0500000000000007</c:v>
                </c:pt>
                <c:pt idx="101">
                  <c:v>5.1000000000000005</c:v>
                </c:pt>
                <c:pt idx="102">
                  <c:v>5.15</c:v>
                </c:pt>
                <c:pt idx="103">
                  <c:v>5.2</c:v>
                </c:pt>
                <c:pt idx="104">
                  <c:v>5.25</c:v>
                </c:pt>
                <c:pt idx="105">
                  <c:v>5.3000000000000007</c:v>
                </c:pt>
                <c:pt idx="106">
                  <c:v>5.3500000000000005</c:v>
                </c:pt>
                <c:pt idx="107">
                  <c:v>5.4</c:v>
                </c:pt>
                <c:pt idx="108">
                  <c:v>5.45</c:v>
                </c:pt>
                <c:pt idx="109">
                  <c:v>5.5</c:v>
                </c:pt>
                <c:pt idx="110">
                  <c:v>5.5500000000000007</c:v>
                </c:pt>
                <c:pt idx="111">
                  <c:v>5.6000000000000005</c:v>
                </c:pt>
                <c:pt idx="112">
                  <c:v>5.65</c:v>
                </c:pt>
                <c:pt idx="113">
                  <c:v>5.7</c:v>
                </c:pt>
                <c:pt idx="114">
                  <c:v>5.75</c:v>
                </c:pt>
                <c:pt idx="115">
                  <c:v>5.8000000000000007</c:v>
                </c:pt>
                <c:pt idx="116">
                  <c:v>5.8500000000000005</c:v>
                </c:pt>
                <c:pt idx="117">
                  <c:v>5.9</c:v>
                </c:pt>
                <c:pt idx="118">
                  <c:v>5.95</c:v>
                </c:pt>
                <c:pt idx="119">
                  <c:v>6</c:v>
                </c:pt>
                <c:pt idx="120">
                  <c:v>6.0500000000000007</c:v>
                </c:pt>
                <c:pt idx="121">
                  <c:v>6.1000000000000005</c:v>
                </c:pt>
                <c:pt idx="122">
                  <c:v>6.15</c:v>
                </c:pt>
                <c:pt idx="123">
                  <c:v>6.2</c:v>
                </c:pt>
                <c:pt idx="124">
                  <c:v>6.25</c:v>
                </c:pt>
                <c:pt idx="125">
                  <c:v>6.3000000000000007</c:v>
                </c:pt>
                <c:pt idx="126">
                  <c:v>6.3500000000000005</c:v>
                </c:pt>
                <c:pt idx="127">
                  <c:v>6.4</c:v>
                </c:pt>
                <c:pt idx="128">
                  <c:v>6.45</c:v>
                </c:pt>
                <c:pt idx="129">
                  <c:v>6.5</c:v>
                </c:pt>
                <c:pt idx="130">
                  <c:v>6.5500000000000007</c:v>
                </c:pt>
                <c:pt idx="131">
                  <c:v>6.6000000000000005</c:v>
                </c:pt>
                <c:pt idx="132">
                  <c:v>6.65</c:v>
                </c:pt>
                <c:pt idx="133">
                  <c:v>6.7</c:v>
                </c:pt>
                <c:pt idx="134">
                  <c:v>6.75</c:v>
                </c:pt>
                <c:pt idx="135">
                  <c:v>6.8000000000000007</c:v>
                </c:pt>
                <c:pt idx="136">
                  <c:v>6.8500000000000005</c:v>
                </c:pt>
                <c:pt idx="137">
                  <c:v>6.9</c:v>
                </c:pt>
                <c:pt idx="138">
                  <c:v>6.95</c:v>
                </c:pt>
                <c:pt idx="139">
                  <c:v>7</c:v>
                </c:pt>
                <c:pt idx="140">
                  <c:v>7.0500000000000007</c:v>
                </c:pt>
                <c:pt idx="141">
                  <c:v>7.1000000000000005</c:v>
                </c:pt>
                <c:pt idx="142">
                  <c:v>7.15</c:v>
                </c:pt>
                <c:pt idx="143">
                  <c:v>7.2</c:v>
                </c:pt>
                <c:pt idx="144">
                  <c:v>7.25</c:v>
                </c:pt>
                <c:pt idx="145">
                  <c:v>7.3000000000000007</c:v>
                </c:pt>
                <c:pt idx="146">
                  <c:v>7.3500000000000005</c:v>
                </c:pt>
                <c:pt idx="147">
                  <c:v>7.4</c:v>
                </c:pt>
                <c:pt idx="148">
                  <c:v>7.45</c:v>
                </c:pt>
                <c:pt idx="149">
                  <c:v>7.5</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53D1-4006-8366-E2C9DA64EC11}"/>
            </c:ext>
          </c:extLst>
        </c:ser>
        <c:dLbls>
          <c:showLegendKey val="0"/>
          <c:showVal val="0"/>
          <c:showCatName val="0"/>
          <c:showSerName val="0"/>
          <c:showPercent val="0"/>
          <c:showBubbleSize val="0"/>
        </c:dLbls>
        <c:axId val="586827264"/>
        <c:axId val="586476928"/>
      </c:scatterChart>
      <c:valAx>
        <c:axId val="586473472"/>
        <c:scaling>
          <c:orientation val="minMax"/>
        </c:scaling>
        <c:delete val="0"/>
        <c:axPos val="b"/>
        <c:majorGridlines/>
        <c:numFmt formatCode="General" sourceLinked="1"/>
        <c:majorTickMark val="out"/>
        <c:minorTickMark val="none"/>
        <c:tickLblPos val="nextTo"/>
        <c:crossAx val="586475008"/>
        <c:crosses val="autoZero"/>
        <c:crossBetween val="midCat"/>
      </c:valAx>
      <c:valAx>
        <c:axId val="58647500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6473472"/>
        <c:crosses val="autoZero"/>
        <c:crossBetween val="midCat"/>
      </c:valAx>
      <c:valAx>
        <c:axId val="58647692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6827264"/>
        <c:crosses val="max"/>
        <c:crossBetween val="midCat"/>
      </c:valAx>
      <c:valAx>
        <c:axId val="586827264"/>
        <c:scaling>
          <c:orientation val="minMax"/>
        </c:scaling>
        <c:delete val="1"/>
        <c:axPos val="b"/>
        <c:title>
          <c:tx>
            <c:rich>
              <a:bodyPr/>
              <a:lstStyle/>
              <a:p>
                <a:pPr>
                  <a:defRPr sz="700"/>
                </a:pPr>
                <a:r>
                  <a:rPr lang="en-US" sz="1200" b="1" i="0" baseline="0">
                    <a:effectLst/>
                  </a:rPr>
                  <a:t>P</a:t>
                </a:r>
                <a:r>
                  <a:rPr lang="en-US" sz="1200" b="1" i="0" baseline="-25000">
                    <a:effectLst/>
                  </a:rPr>
                  <a:t>OUT</a:t>
                </a:r>
                <a:r>
                  <a:rPr lang="en-US" sz="1200" b="1" i="0" baseline="0">
                    <a:effectLst/>
                  </a:rPr>
                  <a:t> (W)</a:t>
                </a:r>
                <a:endParaRPr lang="en-US" sz="700">
                  <a:effectLst/>
                </a:endParaRPr>
              </a:p>
            </c:rich>
          </c:tx>
          <c:overlay val="0"/>
        </c:title>
        <c:numFmt formatCode="General" sourceLinked="1"/>
        <c:majorTickMark val="out"/>
        <c:minorTickMark val="none"/>
        <c:tickLblPos val="nextTo"/>
        <c:crossAx val="586476928"/>
        <c:crosses val="autoZero"/>
        <c:crossBetween val="midCat"/>
      </c:valAx>
    </c:plotArea>
    <c:legend>
      <c:legendPos val="r"/>
      <c:layout>
        <c:manualLayout>
          <c:xMode val="edge"/>
          <c:yMode val="edge"/>
          <c:x val="0.49723111871774606"/>
          <c:y val="6.4861313959085187E-3"/>
          <c:w val="0.41972466868865133"/>
          <c:h val="0.12461147870492213"/>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Non-Isolated Loop Response</a:t>
            </a: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5835006662757141"/>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CCM_Loop_Modeling_non_isolated!$AT$19:$AT$560</c:f>
              <c:numCache>
                <c:formatCode>0.000</c:formatCode>
                <c:ptCount val="542"/>
                <c:pt idx="0">
                  <c:v>50.684628142326332</c:v>
                </c:pt>
                <c:pt idx="1">
                  <c:v>50.31266110447546</c:v>
                </c:pt>
                <c:pt idx="2">
                  <c:v>49.940279764623874</c:v>
                </c:pt>
                <c:pt idx="3">
                  <c:v>49.567529782911393</c:v>
                </c:pt>
                <c:pt idx="4">
                  <c:v>49.194456631693562</c:v>
                </c:pt>
                <c:pt idx="5">
                  <c:v>48.82110561350261</c:v>
                </c:pt>
                <c:pt idx="6">
                  <c:v>48.447521880908688</c:v>
                </c:pt>
                <c:pt idx="7">
                  <c:v>48.073750458015553</c:v>
                </c:pt>
                <c:pt idx="8">
                  <c:v>47.699836263325388</c:v>
                </c:pt>
                <c:pt idx="9">
                  <c:v>47.325824133707322</c:v>
                </c:pt>
                <c:pt idx="10">
                  <c:v>46.951758849205014</c:v>
                </c:pt>
                <c:pt idx="11">
                  <c:v>46.577685158416216</c:v>
                </c:pt>
                <c:pt idx="12">
                  <c:v>46.203647804182133</c:v>
                </c:pt>
                <c:pt idx="13">
                  <c:v>45.82969154932016</c:v>
                </c:pt>
                <c:pt idx="14">
                  <c:v>45.455861202134116</c:v>
                </c:pt>
                <c:pt idx="15">
                  <c:v>45.082201641439887</c:v>
                </c:pt>
                <c:pt idx="16">
                  <c:v>44.708757840839503</c:v>
                </c:pt>
                <c:pt idx="17">
                  <c:v>44.335574891977394</c:v>
                </c:pt>
                <c:pt idx="18">
                  <c:v>43.962698026516733</c:v>
                </c:pt>
                <c:pt idx="19">
                  <c:v>43.590172636566528</c:v>
                </c:pt>
                <c:pt idx="20">
                  <c:v>43.218044293297346</c:v>
                </c:pt>
                <c:pt idx="21">
                  <c:v>42.846358763477603</c:v>
                </c:pt>
                <c:pt idx="22">
                  <c:v>42.475162023669384</c:v>
                </c:pt>
                <c:pt idx="23">
                  <c:v>42.104500271818154</c:v>
                </c:pt>
                <c:pt idx="24">
                  <c:v>41.734419935979794</c:v>
                </c:pt>
                <c:pt idx="25">
                  <c:v>41.36496767992324</c:v>
                </c:pt>
                <c:pt idx="26">
                  <c:v>40.996190405360821</c:v>
                </c:pt>
                <c:pt idx="27">
                  <c:v>40.628135250556696</c:v>
                </c:pt>
                <c:pt idx="28">
                  <c:v>40.260849585074595</c:v>
                </c:pt>
                <c:pt idx="29">
                  <c:v>39.894381000435672</c:v>
                </c:pt>
                <c:pt idx="30">
                  <c:v>39.528777296467062</c:v>
                </c:pt>
                <c:pt idx="31">
                  <c:v>39.164086463135533</c:v>
                </c:pt>
                <c:pt idx="32">
                  <c:v>38.800356657679032</c:v>
                </c:pt>
                <c:pt idx="33">
                  <c:v>38.437636176863002</c:v>
                </c:pt>
                <c:pt idx="34">
                  <c:v>38.075973424215007</c:v>
                </c:pt>
                <c:pt idx="35">
                  <c:v>37.715416872112833</c:v>
                </c:pt>
                <c:pt idx="36">
                  <c:v>37.356015018628483</c:v>
                </c:pt>
                <c:pt idx="37">
                  <c:v>36.997816339064343</c:v>
                </c:pt>
                <c:pt idx="38">
                  <c:v>36.640869232148411</c:v>
                </c:pt>
                <c:pt idx="39">
                  <c:v>36.285221960895782</c:v>
                </c:pt>
                <c:pt idx="40">
                  <c:v>35.930922588181154</c:v>
                </c:pt>
                <c:pt idx="41">
                  <c:v>35.578018907113787</c:v>
                </c:pt>
                <c:pt idx="42">
                  <c:v>35.22655836634933</c:v>
                </c:pt>
                <c:pt idx="43">
                  <c:v>34.876587990523959</c:v>
                </c:pt>
                <c:pt idx="44">
                  <c:v>34.528154296044733</c:v>
                </c:pt>
                <c:pt idx="45">
                  <c:v>34.181303202524688</c:v>
                </c:pt>
                <c:pt idx="46">
                  <c:v>33.836079940202119</c:v>
                </c:pt>
                <c:pt idx="47">
                  <c:v>33.492528953739154</c:v>
                </c:pt>
                <c:pt idx="48">
                  <c:v>33.150693802846178</c:v>
                </c:pt>
                <c:pt idx="49">
                  <c:v>32.810617060233476</c:v>
                </c:pt>
                <c:pt idx="50">
                  <c:v>32.472340207439395</c:v>
                </c:pt>
                <c:pt idx="51">
                  <c:v>32.135903529134346</c:v>
                </c:pt>
                <c:pt idx="52">
                  <c:v>31.801346006542886</c:v>
                </c:pt>
                <c:pt idx="53">
                  <c:v>31.468705210665963</c:v>
                </c:pt>
                <c:pt idx="54">
                  <c:v>31.13801719602067</c:v>
                </c:pt>
                <c:pt idx="55">
                  <c:v>30.809316395642025</c:v>
                </c:pt>
                <c:pt idx="56">
                  <c:v>30.482635518111874</c:v>
                </c:pt>
                <c:pt idx="57">
                  <c:v>30.158005447394473</c:v>
                </c:pt>
                <c:pt idx="58">
                  <c:v>29.835455146262827</c:v>
                </c:pt>
                <c:pt idx="59">
                  <c:v>29.51501156409374</c:v>
                </c:pt>
                <c:pt idx="60">
                  <c:v>29.196699549798844</c:v>
                </c:pt>
                <c:pt idx="61">
                  <c:v>28.880541770633791</c:v>
                </c:pt>
                <c:pt idx="62">
                  <c:v>28.566558637594774</c:v>
                </c:pt>
                <c:pt idx="63">
                  <c:v>28.254768238071776</c:v>
                </c:pt>
                <c:pt idx="64">
                  <c:v>27.94518627637283</c:v>
                </c:pt>
                <c:pt idx="65">
                  <c:v>27.637826022676055</c:v>
                </c:pt>
                <c:pt idx="66">
                  <c:v>27.332698270899019</c:v>
                </c:pt>
                <c:pt idx="67">
                  <c:v>27.029811305895368</c:v>
                </c:pt>
                <c:pt idx="68">
                  <c:v>26.729170880313045</c:v>
                </c:pt>
                <c:pt idx="69">
                  <c:v>26.430780201358061</c:v>
                </c:pt>
                <c:pt idx="70">
                  <c:v>26.134639927618419</c:v>
                </c:pt>
                <c:pt idx="71">
                  <c:v>25.840748176014642</c:v>
                </c:pt>
                <c:pt idx="72">
                  <c:v>25.549100538842154</c:v>
                </c:pt>
                <c:pt idx="73">
                  <c:v>25.259690110788355</c:v>
                </c:pt>
                <c:pt idx="74">
                  <c:v>24.97250752570703</c:v>
                </c:pt>
                <c:pt idx="75">
                  <c:v>24.687541002852221</c:v>
                </c:pt>
                <c:pt idx="76">
                  <c:v>24.404776402187373</c:v>
                </c:pt>
                <c:pt idx="77">
                  <c:v>24.124197288310398</c:v>
                </c:pt>
                <c:pt idx="78">
                  <c:v>23.845785002463927</c:v>
                </c:pt>
                <c:pt idx="79">
                  <c:v>23.569518742038753</c:v>
                </c:pt>
                <c:pt idx="80">
                  <c:v>23.295375646925631</c:v>
                </c:pt>
                <c:pt idx="81">
                  <c:v>23.023330892021264</c:v>
                </c:pt>
                <c:pt idx="82">
                  <c:v>22.753357785166664</c:v>
                </c:pt>
                <c:pt idx="83">
                  <c:v>22.48542786976207</c:v>
                </c:pt>
                <c:pt idx="84">
                  <c:v>22.219511031293031</c:v>
                </c:pt>
                <c:pt idx="85">
                  <c:v>21.955575606991104</c:v>
                </c:pt>
                <c:pt idx="86">
                  <c:v>21.693588497857252</c:v>
                </c:pt>
                <c:pt idx="87">
                  <c:v>21.43351528228624</c:v>
                </c:pt>
                <c:pt idx="88">
                  <c:v>21.175320330548079</c:v>
                </c:pt>
                <c:pt idx="89">
                  <c:v>20.918966919410622</c:v>
                </c:pt>
                <c:pt idx="90">
                  <c:v>20.664417346217899</c:v>
                </c:pt>
                <c:pt idx="91">
                  <c:v>20.411633041777254</c:v>
                </c:pt>
                <c:pt idx="92">
                  <c:v>20.160574681452104</c:v>
                </c:pt>
                <c:pt idx="93">
                  <c:v>19.911202293902548</c:v>
                </c:pt>
                <c:pt idx="94">
                  <c:v>19.663475366963855</c:v>
                </c:pt>
                <c:pt idx="95">
                  <c:v>19.417352950208965</c:v>
                </c:pt>
                <c:pt idx="96">
                  <c:v>19.172793753786863</c:v>
                </c:pt>
                <c:pt idx="97">
                  <c:v>18.929756243188315</c:v>
                </c:pt>
                <c:pt idx="98">
                  <c:v>18.688198729636291</c:v>
                </c:pt>
                <c:pt idx="99">
                  <c:v>18.448079455856572</c:v>
                </c:pt>
                <c:pt idx="100">
                  <c:v>18.209356677027287</c:v>
                </c:pt>
                <c:pt idx="101">
                  <c:v>17.971988736759279</c:v>
                </c:pt>
                <c:pt idx="102">
                  <c:v>17.735934138001202</c:v>
                </c:pt>
                <c:pt idx="103">
                  <c:v>17.501151608807067</c:v>
                </c:pt>
                <c:pt idx="104">
                  <c:v>17.26760016294304</c:v>
                </c:pt>
                <c:pt idx="105">
                  <c:v>17.035239155346162</c:v>
                </c:pt>
                <c:pt idx="106">
                  <c:v>16.804028332481469</c:v>
                </c:pt>
                <c:pt idx="107">
                  <c:v>16.57392787767191</c:v>
                </c:pt>
                <c:pt idx="108">
                  <c:v>16.344898451502022</c:v>
                </c:pt>
                <c:pt idx="109">
                  <c:v>16.116901227419223</c:v>
                </c:pt>
                <c:pt idx="110">
                  <c:v>15.889897922675459</c:v>
                </c:pt>
                <c:pt idx="111">
                  <c:v>15.663850824768419</c:v>
                </c:pt>
                <c:pt idx="112">
                  <c:v>15.43872281355371</c:v>
                </c:pt>
                <c:pt idx="113">
                  <c:v>15.214477379211296</c:v>
                </c:pt>
                <c:pt idx="114">
                  <c:v>14.991078636255729</c:v>
                </c:pt>
                <c:pt idx="115">
                  <c:v>14.768491333786976</c:v>
                </c:pt>
                <c:pt idx="116">
                  <c:v>14.546680862178537</c:v>
                </c:pt>
                <c:pt idx="117">
                  <c:v>14.325613256404949</c:v>
                </c:pt>
                <c:pt idx="118">
                  <c:v>14.105255196206459</c:v>
                </c:pt>
                <c:pt idx="119">
                  <c:v>13.885574003289276</c:v>
                </c:pt>
                <c:pt idx="120">
                  <c:v>13.666537635754711</c:v>
                </c:pt>
                <c:pt idx="121">
                  <c:v>13.448114679945398</c:v>
                </c:pt>
                <c:pt idx="122">
                  <c:v>13.230274339895177</c:v>
                </c:pt>
                <c:pt idx="123">
                  <c:v>13.012986424556487</c:v>
                </c:pt>
                <c:pt idx="124">
                  <c:v>12.796221332977902</c:v>
                </c:pt>
                <c:pt idx="125">
                  <c:v>12.579950037594603</c:v>
                </c:pt>
                <c:pt idx="126">
                  <c:v>12.36414406578556</c:v>
                </c:pt>
                <c:pt idx="127">
                  <c:v>12.148775479846268</c:v>
                </c:pt>
                <c:pt idx="128">
                  <c:v>11.933816855514852</c:v>
                </c:pt>
                <c:pt idx="129">
                  <c:v>11.719241259182811</c:v>
                </c:pt>
                <c:pt idx="130">
                  <c:v>11.505022223913755</c:v>
                </c:pt>
                <c:pt idx="131">
                  <c:v>11.291133724384146</c:v>
                </c:pt>
                <c:pt idx="132">
                  <c:v>11.07755015085427</c:v>
                </c:pt>
                <c:pt idx="133">
                  <c:v>10.864246282268965</c:v>
                </c:pt>
                <c:pt idx="134">
                  <c:v>10.651197258580716</c:v>
                </c:pt>
                <c:pt idx="135">
                  <c:v>10.438378552382119</c:v>
                </c:pt>
                <c:pt idx="136">
                  <c:v>10.225765939926667</c:v>
                </c:pt>
                <c:pt idx="137">
                  <c:v>10.013335471613253</c:v>
                </c:pt>
                <c:pt idx="138">
                  <c:v>9.8010634420018903</c:v>
                </c:pt>
                <c:pt idx="139">
                  <c:v>9.5889263594254306</c:v>
                </c:pt>
                <c:pt idx="140">
                  <c:v>9.3769009152569129</c:v>
                </c:pt>
                <c:pt idx="141">
                  <c:v>9.164963952888062</c:v>
                </c:pt>
                <c:pt idx="142">
                  <c:v>8.9530924364714224</c:v>
                </c:pt>
                <c:pt idx="143">
                  <c:v>8.7412634194761143</c:v>
                </c:pt>
                <c:pt idx="144">
                  <c:v>8.5294540131049388</c:v>
                </c:pt>
                <c:pt idx="145">
                  <c:v>8.317641354617928</c:v>
                </c:pt>
                <c:pt idx="146">
                  <c:v>8.1058025756084735</c:v>
                </c:pt>
                <c:pt idx="147">
                  <c:v>7.8939147702751802</c:v>
                </c:pt>
                <c:pt idx="148">
                  <c:v>7.6819549637343982</c:v>
                </c:pt>
                <c:pt idx="149">
                  <c:v>7.4699000804179807</c:v>
                </c:pt>
                <c:pt idx="150">
                  <c:v>7.2577269126030171</c:v>
                </c:pt>
                <c:pt idx="151">
                  <c:v>7.0454120891202043</c:v>
                </c:pt>
                <c:pt idx="152">
                  <c:v>6.8329320442918426</c:v>
                </c:pt>
                <c:pt idx="153">
                  <c:v>6.6202629871518104</c:v>
                </c:pt>
                <c:pt idx="154">
                  <c:v>6.4073808710036397</c:v>
                </c:pt>
                <c:pt idx="155">
                  <c:v>6.1942613633767145</c:v>
                </c:pt>
                <c:pt idx="156">
                  <c:v>5.9808798164456887</c:v>
                </c:pt>
                <c:pt idx="157">
                  <c:v>5.7672112379803098</c:v>
                </c:pt>
                <c:pt idx="158">
                  <c:v>5.5532302629036598</c:v>
                </c:pt>
                <c:pt idx="159">
                  <c:v>5.3389111255356392</c:v>
                </c:pt>
                <c:pt idx="160">
                  <c:v>5.1242276326113325</c:v>
                </c:pt>
                <c:pt idx="161">
                  <c:v>4.9091531371666566</c:v>
                </c:pt>
                <c:pt idx="162">
                  <c:v>4.6936605133909062</c:v>
                </c:pt>
                <c:pt idx="163">
                  <c:v>4.477722132556007</c:v>
                </c:pt>
                <c:pt idx="164">
                  <c:v>4.2613098401364455</c:v>
                </c:pt>
                <c:pt idx="165">
                  <c:v>4.0443949342445737</c:v>
                </c:pt>
                <c:pt idx="166">
                  <c:v>3.8269481455115137</c:v>
                </c:pt>
                <c:pt idx="167">
                  <c:v>3.6089396185541203</c:v>
                </c:pt>
                <c:pt idx="168">
                  <c:v>3.3903388951757893</c:v>
                </c:pt>
                <c:pt idx="169">
                  <c:v>3.1711148994556524</c:v>
                </c:pt>
                <c:pt idx="170">
                  <c:v>2.951235924890534</c:v>
                </c:pt>
                <c:pt idx="171">
                  <c:v>2.7306696237595682</c:v>
                </c:pt>
                <c:pt idx="172">
                  <c:v>2.5093829988887761</c:v>
                </c:pt>
                <c:pt idx="173">
                  <c:v>2.2873423980007273</c:v>
                </c:pt>
                <c:pt idx="174">
                  <c:v>2.0645135108355266</c:v>
                </c:pt>
                <c:pt idx="175">
                  <c:v>1.840861369239567</c:v>
                </c:pt>
                <c:pt idx="176">
                  <c:v>1.6163503504159569</c:v>
                </c:pt>
                <c:pt idx="177">
                  <c:v>1.3909441835373486</c:v>
                </c:pt>
                <c:pt idx="178">
                  <c:v>1.1646059599175824</c:v>
                </c:pt>
                <c:pt idx="179">
                  <c:v>0.93729814694138502</c:v>
                </c:pt>
                <c:pt idx="180">
                  <c:v>0.70898260594393547</c:v>
                </c:pt>
                <c:pt idx="181">
                  <c:v>0.47962061422985991</c:v>
                </c:pt>
                <c:pt idx="182">
                  <c:v>0.24917289140942817</c:v>
                </c:pt>
                <c:pt idx="183">
                  <c:v>1.7599630222823282E-2</c:v>
                </c:pt>
                <c:pt idx="184">
                  <c:v>-0.21513946799453337</c:v>
                </c:pt>
                <c:pt idx="185">
                  <c:v>-0.4490851530646694</c:v>
                </c:pt>
                <c:pt idx="186">
                  <c:v>-0.68427858082144355</c:v>
                </c:pt>
                <c:pt idx="187">
                  <c:v>-0.9207612629694204</c:v>
                </c:pt>
                <c:pt idx="188">
                  <c:v>-1.1585750118790559</c:v>
                </c:pt>
                <c:pt idx="189">
                  <c:v>-1.3977618802787948</c:v>
                </c:pt>
                <c:pt idx="190">
                  <c:v>-1.6383640958380339</c:v>
                </c:pt>
                <c:pt idx="191">
                  <c:v>-1.880423990673556</c:v>
                </c:pt>
                <c:pt idx="192">
                  <c:v>-2.1239839258474982</c:v>
                </c:pt>
                <c:pt idx="193">
                  <c:v>-2.3690862109735171</c:v>
                </c:pt>
                <c:pt idx="194">
                  <c:v>-2.6157730190898771</c:v>
                </c:pt>
                <c:pt idx="195">
                  <c:v>-2.8640862970065091</c:v>
                </c:pt>
                <c:pt idx="196">
                  <c:v>-3.1140676713862709</c:v>
                </c:pt>
                <c:pt idx="197">
                  <c:v>-3.3657583508681839</c:v>
                </c:pt>
                <c:pt idx="198">
                  <c:v>-3.619199024596806</c:v>
                </c:pt>
                <c:pt idx="199">
                  <c:v>-3.8744297575721869</c:v>
                </c:pt>
                <c:pt idx="200">
                  <c:v>-4.1314898832894524</c:v>
                </c:pt>
                <c:pt idx="201">
                  <c:v>-4.3904178941858945</c:v>
                </c:pt>
                <c:pt idx="202">
                  <c:v>-4.6512513304645866</c:v>
                </c:pt>
                <c:pt idx="203">
                  <c:v>-4.9140266679092512</c:v>
                </c:pt>
                <c:pt idx="204">
                  <c:v>-5.1787792053453874</c:v>
                </c:pt>
                <c:pt idx="205">
                  <c:v>-5.4455429524430619</c:v>
                </c:pt>
                <c:pt idx="206">
                  <c:v>-5.714350518585789</c:v>
                </c:pt>
                <c:pt idx="207">
                  <c:v>-5.9852330035570684</c:v>
                </c:pt>
                <c:pt idx="208">
                  <c:v>-6.25821989081249</c:v>
                </c:pt>
                <c:pt idx="209">
                  <c:v>-6.5333389441159548</c:v>
                </c:pt>
                <c:pt idx="210">
                  <c:v>-6.8106161083193033</c:v>
                </c:pt>
                <c:pt idx="211">
                  <c:v>-7.0900754150572016</c:v>
                </c:pt>
                <c:pt idx="212">
                  <c:v>-7.3717388941108855</c:v>
                </c:pt>
                <c:pt idx="213">
                  <c:v>-7.6556264911682117</c:v>
                </c:pt>
                <c:pt idx="214">
                  <c:v>-7.9417559926707266</c:v>
                </c:pt>
                <c:pt idx="215">
                  <c:v>-8.2301429583923404</c:v>
                </c:pt>
                <c:pt idx="216">
                  <c:v>-8.5208006623394326</c:v>
                </c:pt>
                <c:pt idx="217">
                  <c:v>-8.8137400424990808</c:v>
                </c:pt>
                <c:pt idx="218">
                  <c:v>-9.1089696598915424</c:v>
                </c:pt>
                <c:pt idx="219">
                  <c:v>-9.4064956673046574</c:v>
                </c:pt>
                <c:pt idx="220">
                  <c:v>-9.7063217880049972</c:v>
                </c:pt>
                <c:pt idx="221">
                  <c:v>-10.008449304634265</c:v>
                </c:pt>
                <c:pt idx="222">
                  <c:v>-10.312877058405785</c:v>
                </c:pt>
                <c:pt idx="223">
                  <c:v>-10.61960145862659</c:v>
                </c:pt>
                <c:pt idx="224">
                  <c:v>-10.928616502475432</c:v>
                </c:pt>
                <c:pt idx="225">
                  <c:v>-11.239913804876437</c:v>
                </c:pt>
                <c:pt idx="226">
                  <c:v>-11.553482638219849</c:v>
                </c:pt>
                <c:pt idx="227">
                  <c:v>-11.869309981592197</c:v>
                </c:pt>
                <c:pt idx="228">
                  <c:v>-12.187380579103539</c:v>
                </c:pt>
                <c:pt idx="229">
                  <c:v>-12.507677006821323</c:v>
                </c:pt>
                <c:pt idx="230">
                  <c:v>-12.830179747753805</c:v>
                </c:pt>
                <c:pt idx="231">
                  <c:v>-13.154867274271215</c:v>
                </c:pt>
                <c:pt idx="232">
                  <c:v>-13.481716137296306</c:v>
                </c:pt>
                <c:pt idx="233">
                  <c:v>-13.810701061563528</c:v>
                </c:pt>
                <c:pt idx="234">
                  <c:v>-14.141795046206383</c:v>
                </c:pt>
                <c:pt idx="235">
                  <c:v>-14.474969469917232</c:v>
                </c:pt>
                <c:pt idx="236">
                  <c:v>-14.810194199909372</c:v>
                </c:pt>
                <c:pt idx="237">
                  <c:v>-15.147437703907444</c:v>
                </c:pt>
                <c:pt idx="238">
                  <c:v>-15.486667164401027</c:v>
                </c:pt>
                <c:pt idx="239">
                  <c:v>-15.827848594407058</c:v>
                </c:pt>
                <c:pt idx="240">
                  <c:v>-16.170946954013466</c:v>
                </c:pt>
                <c:pt idx="241">
                  <c:v>-16.515926266999742</c:v>
                </c:pt>
                <c:pt idx="242">
                  <c:v>-16.862749736871553</c:v>
                </c:pt>
                <c:pt idx="243">
                  <c:v>-17.211379861680435</c:v>
                </c:pt>
                <c:pt idx="244">
                  <c:v>-17.561778547050324</c:v>
                </c:pt>
                <c:pt idx="245">
                  <c:v>-17.913907216875181</c:v>
                </c:pt>
                <c:pt idx="246">
                  <c:v>-18.267726921207007</c:v>
                </c:pt>
                <c:pt idx="247">
                  <c:v>-18.623198440903067</c:v>
                </c:pt>
                <c:pt idx="248">
                  <c:v>-18.980282388654672</c:v>
                </c:pt>
                <c:pt idx="249">
                  <c:v>-19.338939306074213</c:v>
                </c:pt>
                <c:pt idx="250">
                  <c:v>-19.699129756567114</c:v>
                </c:pt>
                <c:pt idx="251">
                  <c:v>-20.060814413769748</c:v>
                </c:pt>
                <c:pt idx="252">
                  <c:v>-20.423954145381384</c:v>
                </c:pt>
                <c:pt idx="253">
                  <c:v>-20.788510092265717</c:v>
                </c:pt>
                <c:pt idx="254">
                  <c:v>-21.154443742743346</c:v>
                </c:pt>
                <c:pt idx="255">
                  <c:v>-21.52171700203731</c:v>
                </c:pt>
                <c:pt idx="256">
                  <c:v>-21.890292256870833</c:v>
                </c:pt>
                <c:pt idx="257">
                  <c:v>-22.260132435255993</c:v>
                </c:pt>
                <c:pt idx="258">
                  <c:v>-22.631201061537219</c:v>
                </c:pt>
                <c:pt idx="259">
                  <c:v>-23.003462306788187</c:v>
                </c:pt>
                <c:pt idx="260">
                  <c:v>-23.37688103468129</c:v>
                </c:pt>
                <c:pt idx="261">
                  <c:v>-23.751422842971493</c:v>
                </c:pt>
                <c:pt idx="262">
                  <c:v>-24.127054100757164</c:v>
                </c:pt>
                <c:pt idx="263">
                  <c:v>-24.503741981689913</c:v>
                </c:pt>
                <c:pt idx="264">
                  <c:v>-24.881454493324526</c:v>
                </c:pt>
                <c:pt idx="265">
                  <c:v>-25.260160502804759</c:v>
                </c:pt>
                <c:pt idx="266">
                  <c:v>-25.639829759088862</c:v>
                </c:pt>
                <c:pt idx="267">
                  <c:v>-26.020432911924697</c:v>
                </c:pt>
                <c:pt idx="268">
                  <c:v>-26.401941527784484</c:v>
                </c:pt>
                <c:pt idx="269">
                  <c:v>-26.784328102972218</c:v>
                </c:pt>
                <c:pt idx="270">
                  <c:v>-27.167566074112813</c:v>
                </c:pt>
                <c:pt idx="271">
                  <c:v>-27.551629826231569</c:v>
                </c:pt>
                <c:pt idx="272">
                  <c:v>-27.936494698628099</c:v>
                </c:pt>
                <c:pt idx="273">
                  <c:v>-28.322136988741494</c:v>
                </c:pt>
                <c:pt idx="274">
                  <c:v>-28.708533954200725</c:v>
                </c:pt>
                <c:pt idx="275">
                  <c:v>-29.095663813244808</c:v>
                </c:pt>
                <c:pt idx="276">
                  <c:v>-29.483505743690557</c:v>
                </c:pt>
                <c:pt idx="277">
                  <c:v>-29.872039880616555</c:v>
                </c:pt>
                <c:pt idx="278">
                  <c:v>-30.261247312925619</c:v>
                </c:pt>
                <c:pt idx="279">
                  <c:v>-30.651110078936728</c:v>
                </c:pt>
                <c:pt idx="280">
                  <c:v>-31.041611161148658</c:v>
                </c:pt>
                <c:pt idx="281">
                  <c:v>-31.432734480310074</c:v>
                </c:pt>
                <c:pt idx="282">
                  <c:v>-31.824464888919366</c:v>
                </c:pt>
                <c:pt idx="283">
                  <c:v>-32.216788164269346</c:v>
                </c:pt>
                <c:pt idx="284">
                  <c:v>-32.60969100114216</c:v>
                </c:pt>
                <c:pt idx="285">
                  <c:v>-33.003161004250359</c:v>
                </c:pt>
                <c:pt idx="286">
                  <c:v>-33.397186680512768</c:v>
                </c:pt>
                <c:pt idx="287">
                  <c:v>-33.791757431241074</c:v>
                </c:pt>
                <c:pt idx="288">
                  <c:v>-34.186863544308025</c:v>
                </c:pt>
                <c:pt idx="289">
                  <c:v>-34.582496186358036</c:v>
                </c:pt>
                <c:pt idx="290">
                  <c:v>-34.978647395110222</c:v>
                </c:pt>
                <c:pt idx="291">
                  <c:v>-35.375310071800349</c:v>
                </c:pt>
                <c:pt idx="292">
                  <c:v>-35.772477973794956</c:v>
                </c:pt>
                <c:pt idx="293">
                  <c:v>-36.170145707404934</c:v>
                </c:pt>
                <c:pt idx="294">
                  <c:v>-36.568308720918964</c:v>
                </c:pt>
                <c:pt idx="295">
                  <c:v>-36.966963297866954</c:v>
                </c:pt>
                <c:pt idx="296">
                  <c:v>-37.366106550517337</c:v>
                </c:pt>
                <c:pt idx="297">
                  <c:v>-37.765736413602419</c:v>
                </c:pt>
                <c:pt idx="298">
                  <c:v>-38.165851638261671</c:v>
                </c:pt>
                <c:pt idx="299">
                  <c:v>-38.566451786180579</c:v>
                </c:pt>
                <c:pt idx="300">
                  <c:v>-38.9675372238991</c:v>
                </c:pt>
                <c:pt idx="301">
                  <c:v>-39.369109117251732</c:v>
                </c:pt>
                <c:pt idx="302">
                  <c:v>-39.77116942589813</c:v>
                </c:pt>
                <c:pt idx="303">
                  <c:v>-40.173720897890739</c:v>
                </c:pt>
                <c:pt idx="304">
                  <c:v>-40.576767064220967</c:v>
                </c:pt>
                <c:pt idx="305">
                  <c:v>-40.98031223327591</c:v>
                </c:pt>
                <c:pt idx="306">
                  <c:v>-41.384361485129972</c:v>
                </c:pt>
                <c:pt idx="307">
                  <c:v>-41.788920665587447</c:v>
                </c:pt>
                <c:pt idx="308">
                  <c:v>-42.193996379884105</c:v>
                </c:pt>
                <c:pt idx="309">
                  <c:v>-42.599595985946408</c:v>
                </c:pt>
                <c:pt idx="310">
                  <c:v>-43.005727587099784</c:v>
                </c:pt>
                <c:pt idx="311">
                  <c:v>-43.412400024108592</c:v>
                </c:pt>
                <c:pt idx="312">
                  <c:v>-43.819622866422122</c:v>
                </c:pt>
                <c:pt idx="313">
                  <c:v>-44.227406402491489</c:v>
                </c:pt>
                <c:pt idx="314">
                  <c:v>-44.635761629016379</c:v>
                </c:pt>
                <c:pt idx="315">
                  <c:v>-45.044700238970449</c:v>
                </c:pt>
                <c:pt idx="316">
                  <c:v>-45.454234608247631</c:v>
                </c:pt>
                <c:pt idx="317">
                  <c:v>-45.864377780764414</c:v>
                </c:pt>
                <c:pt idx="318">
                  <c:v>-46.275143451844784</c:v>
                </c:pt>
                <c:pt idx="319">
                  <c:v>-46.686545949710556</c:v>
                </c:pt>
                <c:pt idx="320">
                  <c:v>-47.098600214892855</c:v>
                </c:pt>
                <c:pt idx="321">
                  <c:v>-47.511321777375237</c:v>
                </c:pt>
                <c:pt idx="322">
                  <c:v>-47.924726731277318</c:v>
                </c:pt>
                <c:pt idx="323">
                  <c:v>-48.338831706883276</c:v>
                </c:pt>
                <c:pt idx="324">
                  <c:v>-48.753653839821453</c:v>
                </c:pt>
                <c:pt idx="325">
                  <c:v>-49.169210737196721</c:v>
                </c:pt>
                <c:pt idx="326">
                  <c:v>-49.585520440486263</c:v>
                </c:pt>
                <c:pt idx="327">
                  <c:v>-50.002601385009122</c:v>
                </c:pt>
                <c:pt idx="328">
                  <c:v>-50.420472355786821</c:v>
                </c:pt>
                <c:pt idx="329">
                  <c:v>-50.839152439626353</c:v>
                </c:pt>
                <c:pt idx="330">
                  <c:v>-51.258660973259026</c:v>
                </c:pt>
                <c:pt idx="331">
                  <c:v>-51.679017487396017</c:v>
                </c:pt>
                <c:pt idx="332">
                  <c:v>-52.100241646566317</c:v>
                </c:pt>
                <c:pt idx="333">
                  <c:v>-52.522353184635179</c:v>
                </c:pt>
                <c:pt idx="334">
                  <c:v>-52.945371835917207</c:v>
                </c:pt>
                <c:pt idx="335">
                  <c:v>-53.369317261831227</c:v>
                </c:pt>
                <c:pt idx="336">
                  <c:v>-53.794208973074184</c:v>
                </c:pt>
                <c:pt idx="337">
                  <c:v>-54.22006624732812</c:v>
                </c:pt>
                <c:pt idx="338">
                  <c:v>-54.646908042551388</c:v>
                </c:pt>
                <c:pt idx="339">
                  <c:v>-55.074752905950376</c:v>
                </c:pt>
                <c:pt idx="340">
                  <c:v>-55.503618878773999</c:v>
                </c:pt>
                <c:pt idx="341">
                  <c:v>-55.933523397123224</c:v>
                </c:pt>
                <c:pt idx="342">
                  <c:v>-56.364483189020163</c:v>
                </c:pt>
                <c:pt idx="343">
                  <c:v>-56.796514168039266</c:v>
                </c:pt>
                <c:pt idx="344">
                  <c:v>-57.229631323858101</c:v>
                </c:pt>
                <c:pt idx="345">
                  <c:v>-57.663848610149259</c:v>
                </c:pt>
                <c:pt idx="346">
                  <c:v>-58.099178830291649</c:v>
                </c:pt>
                <c:pt idx="347">
                  <c:v>-58.535633521443728</c:v>
                </c:pt>
                <c:pt idx="348">
                  <c:v>-58.973222837583172</c:v>
                </c:pt>
                <c:pt idx="349">
                  <c:v>-59.411955432172803</c:v>
                </c:pt>
                <c:pt idx="350">
                  <c:v>-59.851838341176133</c:v>
                </c:pt>
                <c:pt idx="351">
                  <c:v>-60.29287686719583</c:v>
                </c:pt>
                <c:pt idx="352">
                  <c:v>-60.73507446556134</c:v>
                </c:pt>
                <c:pt idx="353">
                  <c:v>-61.178432633233967</c:v>
                </c:pt>
                <c:pt idx="354">
                  <c:v>-61.62295080144019</c:v>
                </c:pt>
                <c:pt idx="355">
                  <c:v>-62.068626232969883</c:v>
                </c:pt>
                <c:pt idx="356">
                  <c:v>-62.515453925103884</c:v>
                </c:pt>
                <c:pt idx="357">
                  <c:v>-62.963426519143383</c:v>
                </c:pt>
                <c:pt idx="358">
                  <c:v>-63.41253421752063</c:v>
                </c:pt>
                <c:pt idx="359">
                  <c:v>-63.862764709458176</c:v>
                </c:pt>
                <c:pt idx="360">
                  <c:v>-64.314103106128059</c:v>
                </c:pt>
                <c:pt idx="361">
                  <c:v>-64.766531886225948</c:v>
                </c:pt>
                <c:pt idx="362">
                  <c:v>-65.220030852835407</c:v>
                </c:pt>
                <c:pt idx="363">
                  <c:v>-65.674577102395588</c:v>
                </c:pt>
                <c:pt idx="364">
                  <c:v>-66.130145006521047</c:v>
                </c:pt>
                <c:pt idx="365">
                  <c:v>-66.586706207339503</c:v>
                </c:pt>
                <c:pt idx="366">
                  <c:v>-67.044229626920441</c:v>
                </c:pt>
                <c:pt idx="367">
                  <c:v>-67.502681491264809</c:v>
                </c:pt>
                <c:pt idx="368">
                  <c:v>-67.962025369215667</c:v>
                </c:pt>
                <c:pt idx="369">
                  <c:v>-68.422222226525292</c:v>
                </c:pt>
                <c:pt idx="370">
                  <c:v>-68.88323049518894</c:v>
                </c:pt>
                <c:pt idx="371">
                  <c:v>-69.345006158022315</c:v>
                </c:pt>
                <c:pt idx="372">
                  <c:v>-69.807502848319402</c:v>
                </c:pt>
                <c:pt idx="373">
                  <c:v>-70.270671964292347</c:v>
                </c:pt>
                <c:pt idx="374">
                  <c:v>-70.734462797851535</c:v>
                </c:pt>
                <c:pt idx="375">
                  <c:v>-71.198822677147533</c:v>
                </c:pt>
                <c:pt idx="376">
                  <c:v>-71.663697122162503</c:v>
                </c:pt>
                <c:pt idx="377">
                  <c:v>-72.129030012505737</c:v>
                </c:pt>
                <c:pt idx="378">
                  <c:v>-72.594763766448764</c:v>
                </c:pt>
                <c:pt idx="379">
                  <c:v>-73.06083953012012</c:v>
                </c:pt>
                <c:pt idx="380">
                  <c:v>-73.527197375672571</c:v>
                </c:pt>
                <c:pt idx="381">
                  <c:v>-73.993776507148937</c:v>
                </c:pt>
                <c:pt idx="382">
                  <c:v>-74.460515472688058</c:v>
                </c:pt>
                <c:pt idx="383">
                  <c:v>-74.927352381648092</c:v>
                </c:pt>
                <c:pt idx="384">
                  <c:v>-75.394225125175467</c:v>
                </c:pt>
                <c:pt idx="385">
                  <c:v>-75.861071598707966</c:v>
                </c:pt>
                <c:pt idx="386">
                  <c:v>-76.327829924886629</c:v>
                </c:pt>
                <c:pt idx="387">
                  <c:v>-76.7944386753434</c:v>
                </c:pt>
                <c:pt idx="388">
                  <c:v>-77.260837089846191</c:v>
                </c:pt>
                <c:pt idx="389">
                  <c:v>-77.726965291314144</c:v>
                </c:pt>
                <c:pt idx="390">
                  <c:v>-78.192764495257592</c:v>
                </c:pt>
                <c:pt idx="391">
                  <c:v>-78.658177212261506</c:v>
                </c:pt>
                <c:pt idx="392">
                  <c:v>-79.123147442201571</c:v>
                </c:pt>
                <c:pt idx="393">
                  <c:v>-79.587620858972954</c:v>
                </c:pt>
                <c:pt idx="394">
                  <c:v>-80.051544984611979</c:v>
                </c:pt>
                <c:pt idx="395">
                  <c:v>-80.514869351797188</c:v>
                </c:pt>
                <c:pt idx="396">
                  <c:v>-80.977545653844643</c:v>
                </c:pt>
                <c:pt idx="397">
                  <c:v>-81.439527881429314</c:v>
                </c:pt>
                <c:pt idx="398">
                  <c:v>-81.900772445407469</c:v>
                </c:pt>
                <c:pt idx="399">
                  <c:v>-82.361238285246031</c:v>
                </c:pt>
                <c:pt idx="400">
                  <c:v>-82.820886962708585</c:v>
                </c:pt>
                <c:pt idx="401">
                  <c:v>-83.279682740583624</c:v>
                </c:pt>
                <c:pt idx="402">
                  <c:v>-83.737592646385707</c:v>
                </c:pt>
                <c:pt idx="403">
                  <c:v>-84.194586521087274</c:v>
                </c:pt>
                <c:pt idx="404">
                  <c:v>-84.6506370530781</c:v>
                </c:pt>
                <c:pt idx="405">
                  <c:v>-85.10571979766803</c:v>
                </c:pt>
                <c:pt idx="406">
                  <c:v>-85.559813182565307</c:v>
                </c:pt>
                <c:pt idx="407">
                  <c:v>-86.012898499873032</c:v>
                </c:pt>
                <c:pt idx="408">
                  <c:v>-86.464959885241214</c:v>
                </c:pt>
                <c:pt idx="409">
                  <c:v>-86.915984284897263</c:v>
                </c:pt>
                <c:pt idx="410">
                  <c:v>-87.365961411354206</c:v>
                </c:pt>
                <c:pt idx="411">
                  <c:v>-87.81488368865574</c:v>
                </c:pt>
                <c:pt idx="412">
                  <c:v>-88.26274618806849</c:v>
                </c:pt>
                <c:pt idx="413">
                  <c:v>-88.709546555168956</c:v>
                </c:pt>
                <c:pt idx="414">
                  <c:v>-89.155284929297025</c:v>
                </c:pt>
                <c:pt idx="415">
                  <c:v>-89.5999638563612</c:v>
                </c:pt>
                <c:pt idx="416">
                  <c:v>-90.04358819598464</c:v>
                </c:pt>
                <c:pt idx="417">
                  <c:v>-90.486165023968539</c:v>
                </c:pt>
                <c:pt idx="418">
                  <c:v>-90.927703531034737</c:v>
                </c:pt>
                <c:pt idx="419">
                  <c:v>-91.368214918779401</c:v>
                </c:pt>
                <c:pt idx="420">
                  <c:v>-91.807712293736458</c:v>
                </c:pt>
                <c:pt idx="421">
                  <c:v>-92.246210560404123</c:v>
                </c:pt>
                <c:pt idx="422">
                  <c:v>-92.683726314043639</c:v>
                </c:pt>
                <c:pt idx="423">
                  <c:v>-93.120277734002684</c:v>
                </c:pt>
                <c:pt idx="424">
                  <c:v>-93.55588447826419</c:v>
                </c:pt>
                <c:pt idx="425">
                  <c:v>-93.990567579856048</c:v>
                </c:pt>
                <c:pt idx="426">
                  <c:v>-94.424349345703064</c:v>
                </c:pt>
                <c:pt idx="427">
                  <c:v>-94.857253258435207</c:v>
                </c:pt>
                <c:pt idx="428">
                  <c:v>-95.289303881608703</c:v>
                </c:pt>
                <c:pt idx="429">
                  <c:v>-95.720526768733961</c:v>
                </c:pt>
                <c:pt idx="430">
                  <c:v>-96.150948376443665</c:v>
                </c:pt>
                <c:pt idx="431">
                  <c:v>-96.580595982083267</c:v>
                </c:pt>
                <c:pt idx="432">
                  <c:v>-97.009497605939544</c:v>
                </c:pt>
                <c:pt idx="433">
                  <c:v>-97.437681938286232</c:v>
                </c:pt>
                <c:pt idx="434">
                  <c:v>-97.865178271362481</c:v>
                </c:pt>
                <c:pt idx="435">
                  <c:v>-98.292016436364534</c:v>
                </c:pt>
                <c:pt idx="436">
                  <c:v>-98.718226745484415</c:v>
                </c:pt>
                <c:pt idx="437">
                  <c:v>-99.143839938992016</c:v>
                </c:pt>
                <c:pt idx="438">
                  <c:v>-99.56888713732414</c:v>
                </c:pt>
                <c:pt idx="439">
                  <c:v>-99.993399798107021</c:v>
                </c:pt>
                <c:pt idx="440">
                  <c:v>-100.41740967802139</c:v>
                </c:pt>
                <c:pt idx="441">
                  <c:v>-100.84094879938289</c:v>
                </c:pt>
                <c:pt idx="442">
                  <c:v>-101.26404942129953</c:v>
                </c:pt>
                <c:pt idx="443">
                  <c:v>-101.6867440152417</c:v>
                </c:pt>
                <c:pt idx="444">
                  <c:v>-102.10906524484932</c:v>
                </c:pt>
                <c:pt idx="445">
                  <c:v>-102.53104594978763</c:v>
                </c:pt>
                <c:pt idx="446">
                  <c:v>-102.95271913344807</c:v>
                </c:pt>
                <c:pt idx="447">
                  <c:v>-103.37411795428633</c:v>
                </c:pt>
                <c:pt idx="448">
                  <c:v>-103.79527572058097</c:v>
                </c:pt>
                <c:pt idx="449">
                  <c:v>-104.21622588838942</c:v>
                </c:pt>
                <c:pt idx="450">
                  <c:v>-104.63700206247553</c:v>
                </c:pt>
                <c:pt idx="451">
                  <c:v>-105.05763799997902</c:v>
                </c:pt>
                <c:pt idx="452">
                  <c:v>-105.47816761659593</c:v>
                </c:pt>
                <c:pt idx="453">
                  <c:v>-105.89862499503481</c:v>
                </c:pt>
                <c:pt idx="454">
                  <c:v>-106.31904439551752</c:v>
                </c:pt>
                <c:pt idx="455">
                  <c:v>-106.73946026808829</c:v>
                </c:pt>
                <c:pt idx="456">
                  <c:v>-107.15990726649565</c:v>
                </c:pt>
                <c:pt idx="457">
                  <c:v>-107.58042026341491</c:v>
                </c:pt>
                <c:pt idx="458">
                  <c:v>-108.00103436677324</c:v>
                </c:pt>
                <c:pt idx="459">
                  <c:v>-108.42178493694422</c:v>
                </c:pt>
                <c:pt idx="460">
                  <c:v>-108.842707604575</c:v>
                </c:pt>
                <c:pt idx="461">
                  <c:v>-109.26383828881021</c:v>
                </c:pt>
                <c:pt idx="462">
                  <c:v>-109.68521321567721</c:v>
                </c:pt>
                <c:pt idx="463">
                  <c:v>-110.10686893639269</c:v>
                </c:pt>
                <c:pt idx="464">
                  <c:v>-110.52884234535306</c:v>
                </c:pt>
                <c:pt idx="465">
                  <c:v>-110.95117069756888</c:v>
                </c:pt>
                <c:pt idx="466">
                  <c:v>-111.37389162529983</c:v>
                </c:pt>
                <c:pt idx="467">
                  <c:v>-111.79704315364836</c:v>
                </c:pt>
                <c:pt idx="468">
                  <c:v>-112.22066371486655</c:v>
                </c:pt>
                <c:pt idx="469">
                  <c:v>-112.64479216112912</c:v>
                </c:pt>
                <c:pt idx="470">
                  <c:v>-113.06946777552541</c:v>
                </c:pt>
                <c:pt idx="471">
                  <c:v>-113.49473028102194</c:v>
                </c:pt>
                <c:pt idx="472">
                  <c:v>-113.92061984714508</c:v>
                </c:pt>
                <c:pt idx="473">
                  <c:v>-114.34717709413513</c:v>
                </c:pt>
                <c:pt idx="474">
                  <c:v>-114.77444309432508</c:v>
                </c:pt>
                <c:pt idx="475">
                  <c:v>-115.2024593704962</c:v>
                </c:pt>
                <c:pt idx="476">
                  <c:v>-115.63126789096944</c:v>
                </c:pt>
                <c:pt idx="477">
                  <c:v>-116.06091106119283</c:v>
                </c:pt>
                <c:pt idx="478">
                  <c:v>-116.49143171159577</c:v>
                </c:pt>
                <c:pt idx="479">
                  <c:v>-116.92287308148602</c:v>
                </c:pt>
                <c:pt idx="480">
                  <c:v>-117.35527879877566</c:v>
                </c:pt>
                <c:pt idx="481">
                  <c:v>-117.78869285533872</c:v>
                </c:pt>
                <c:pt idx="482">
                  <c:v>-118.22315957781393</c:v>
                </c:pt>
                <c:pt idx="483">
                  <c:v>-118.65872359368772</c:v>
                </c:pt>
                <c:pt idx="484">
                  <c:v>-119.09542979251125</c:v>
                </c:pt>
                <c:pt idx="485">
                  <c:v>-119.53332328213129</c:v>
                </c:pt>
                <c:pt idx="486">
                  <c:v>-119.97244933984035</c:v>
                </c:pt>
                <c:pt idx="487">
                  <c:v>-120.41285335838441</c:v>
                </c:pt>
                <c:pt idx="488">
                  <c:v>-120.85458078679585</c:v>
                </c:pt>
                <c:pt idx="489">
                  <c:v>-121.29767706606323</c:v>
                </c:pt>
                <c:pt idx="490">
                  <c:v>-121.74218755968185</c:v>
                </c:pt>
                <c:pt idx="491">
                  <c:v>-122.18815747918021</c:v>
                </c:pt>
                <c:pt idx="492">
                  <c:v>-122.63563180475569</c:v>
                </c:pt>
                <c:pt idx="493">
                  <c:v>-123.08465520120804</c:v>
                </c:pt>
                <c:pt idx="494">
                  <c:v>-123.53527192940525</c:v>
                </c:pt>
                <c:pt idx="495">
                  <c:v>-123.98752575356997</c:v>
                </c:pt>
                <c:pt idx="496">
                  <c:v>-124.44145984472928</c:v>
                </c:pt>
                <c:pt idx="497">
                  <c:v>-124.89711668072104</c:v>
                </c:pt>
                <c:pt idx="498">
                  <c:v>-125.35453794320574</c:v>
                </c:pt>
                <c:pt idx="499">
                  <c:v>-125.81376441218468</c:v>
                </c:pt>
                <c:pt idx="500">
                  <c:v>-126.27483585857497</c:v>
                </c:pt>
                <c:pt idx="501">
                  <c:v>-126.73779093543915</c:v>
                </c:pt>
                <c:pt idx="502">
                  <c:v>-127.20266706851385</c:v>
                </c:pt>
                <c:pt idx="503">
                  <c:v>-127.66950034671609</c:v>
                </c:pt>
                <c:pt idx="504">
                  <c:v>-128.13832541334642</c:v>
                </c:pt>
                <c:pt idx="505">
                  <c:v>-128.60917535873008</c:v>
                </c:pt>
                <c:pt idx="506">
                  <c:v>-129.08208161506141</c:v>
                </c:pt>
                <c:pt idx="507">
                  <c:v>-129.55707385422755</c:v>
                </c:pt>
                <c:pt idx="508">
                  <c:v>-130.0341798893943</c:v>
                </c:pt>
                <c:pt idx="509">
                  <c:v>-130.51342558112822</c:v>
                </c:pt>
                <c:pt idx="510">
                  <c:v>-130.99483474881936</c:v>
                </c:pt>
                <c:pt idx="511">
                  <c:v>-131.47842908814178</c:v>
                </c:pt>
                <c:pt idx="512">
                  <c:v>-131.96422809525987</c:v>
                </c:pt>
                <c:pt idx="513">
                  <c:v>-132.45224899843964</c:v>
                </c:pt>
                <c:pt idx="514">
                  <c:v>-132.94250669767993</c:v>
                </c:pt>
                <c:pt idx="515">
                  <c:v>-133.43501371291094</c:v>
                </c:pt>
                <c:pt idx="516">
                  <c:v>-133.92978014124421</c:v>
                </c:pt>
                <c:pt idx="517">
                  <c:v>-134.42681362367975</c:v>
                </c:pt>
                <c:pt idx="518">
                  <c:v>-134.92611932159588</c:v>
                </c:pt>
                <c:pt idx="519">
                  <c:v>-135.42769990325976</c:v>
                </c:pt>
                <c:pt idx="520">
                  <c:v>-135.9315555405102</c:v>
                </c:pt>
                <c:pt idx="521">
                  <c:v>-136.43768391566599</c:v>
                </c:pt>
                <c:pt idx="522">
                  <c:v>-136.94608023862583</c:v>
                </c:pt>
                <c:pt idx="523">
                  <c:v>-137.45673727403036</c:v>
                </c:pt>
                <c:pt idx="524">
                  <c:v>-137.96964537826921</c:v>
                </c:pt>
                <c:pt idx="525">
                  <c:v>-138.48479254602452</c:v>
                </c:pt>
                <c:pt idx="526">
                  <c:v>-139.00216446596491</c:v>
                </c:pt>
                <c:pt idx="527">
                  <c:v>-139.5217445851253</c:v>
                </c:pt>
                <c:pt idx="528">
                  <c:v>-140.04351418143705</c:v>
                </c:pt>
                <c:pt idx="529">
                  <c:v>-140.56745244381833</c:v>
                </c:pt>
                <c:pt idx="530">
                  <c:v>-141.09353655916652</c:v>
                </c:pt>
                <c:pt idx="531">
                  <c:v>-141.62174180557184</c:v>
                </c:pt>
                <c:pt idx="532">
                  <c:v>-142.15204165101397</c:v>
                </c:pt>
                <c:pt idx="533">
                  <c:v>-142.68440785679931</c:v>
                </c:pt>
                <c:pt idx="534">
                  <c:v>-143.21881058496271</c:v>
                </c:pt>
                <c:pt idx="535">
                  <c:v>-143.7552185088673</c:v>
                </c:pt>
                <c:pt idx="536">
                  <c:v>-144.293598926225</c:v>
                </c:pt>
                <c:pt idx="537">
                  <c:v>-144.83391787378503</c:v>
                </c:pt>
                <c:pt idx="538">
                  <c:v>-145.37614024294561</c:v>
                </c:pt>
                <c:pt idx="539">
                  <c:v>-145.92022989557807</c:v>
                </c:pt>
                <c:pt idx="540">
                  <c:v>-146.46614977938188</c:v>
                </c:pt>
                <c:pt idx="541">
                  <c:v>-147.01386204213048</c:v>
                </c:pt>
              </c:numCache>
            </c:numRef>
          </c:yVal>
          <c:smooth val="1"/>
          <c:extLst>
            <c:ext xmlns:c16="http://schemas.microsoft.com/office/drawing/2014/chart" uri="{C3380CC4-5D6E-409C-BE32-E72D297353CC}">
              <c16:uniqueId val="{00000000-1798-4659-8C8F-5766C9E652D3}"/>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1798-4659-8C8F-5766C9E652D3}"/>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798-4659-8C8F-5766C9E652D3}"/>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CCM_Loop_Modeling_non_isolated!$O$11</c:f>
              <c:numCache>
                <c:formatCode>0</c:formatCode>
                <c:ptCount val="1"/>
                <c:pt idx="0">
                  <c:v>3.4057847904438514</c:v>
                </c:pt>
              </c:numCache>
            </c:numRef>
          </c:xVal>
          <c:yVal>
            <c:numRef>
              <c:f>CCM_Loop_Modeling_non_isolated!$AT$11</c:f>
              <c:numCache>
                <c:formatCode>0.000</c:formatCode>
                <c:ptCount val="1"/>
                <c:pt idx="0">
                  <c:v>67.078384869752185</c:v>
                </c:pt>
              </c:numCache>
            </c:numRef>
          </c:yVal>
          <c:smooth val="0"/>
          <c:extLst>
            <c:ext xmlns:c16="http://schemas.microsoft.com/office/drawing/2014/chart" uri="{C3380CC4-5D6E-409C-BE32-E72D297353CC}">
              <c16:uniqueId val="{00000002-1798-4659-8C8F-5766C9E652D3}"/>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1798-4659-8C8F-5766C9E652D3}"/>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CCM_Loop_Modeling_non_isolated!$O$9</c:f>
              <c:numCache>
                <c:formatCode>0</c:formatCode>
                <c:ptCount val="1"/>
                <c:pt idx="0">
                  <c:v>98243.792032034165</c:v>
                </c:pt>
              </c:numCache>
            </c:numRef>
          </c:xVal>
          <c:yVal>
            <c:numRef>
              <c:f>CCM_Loop_Modeling_non_isolated!$AT$9</c:f>
              <c:numCache>
                <c:formatCode>0.000</c:formatCode>
                <c:ptCount val="1"/>
                <c:pt idx="0">
                  <c:v>-82.006985718111181</c:v>
                </c:pt>
              </c:numCache>
            </c:numRef>
          </c:yVal>
          <c:smooth val="1"/>
          <c:extLst>
            <c:ext xmlns:c16="http://schemas.microsoft.com/office/drawing/2014/chart" uri="{C3380CC4-5D6E-409C-BE32-E72D297353CC}">
              <c16:uniqueId val="{00000004-1798-4659-8C8F-5766C9E652D3}"/>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1798-4659-8C8F-5766C9E652D3}"/>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1798-4659-8C8F-5766C9E652D3}"/>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CCM_Loop_Modeling_non_isolated!$O$10</c:f>
              <c:numCache>
                <c:formatCode>0</c:formatCode>
                <c:ptCount val="1"/>
                <c:pt idx="0">
                  <c:v>53051647697.298447</c:v>
                </c:pt>
              </c:numCache>
            </c:numRef>
          </c:xVal>
          <c:yVal>
            <c:numRef>
              <c:f>CCM_Loop_Modeling_non_isolated!$AT$10</c:f>
              <c:numCache>
                <c:formatCode>0.000</c:formatCode>
                <c:ptCount val="1"/>
                <c:pt idx="0">
                  <c:v>-400.99368797612897</c:v>
                </c:pt>
              </c:numCache>
            </c:numRef>
          </c:yVal>
          <c:smooth val="1"/>
          <c:extLst>
            <c:ext xmlns:c16="http://schemas.microsoft.com/office/drawing/2014/chart" uri="{C3380CC4-5D6E-409C-BE32-E72D297353CC}">
              <c16:uniqueId val="{00000006-1798-4659-8C8F-5766C9E652D3}"/>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798-4659-8C8F-5766C9E652D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CCM_Loop_Modeling_non_isolated!$O$12</c:f>
              <c:numCache>
                <c:formatCode>General</c:formatCode>
                <c:ptCount val="1"/>
                <c:pt idx="0">
                  <c:v>49.121896016017075</c:v>
                </c:pt>
              </c:numCache>
            </c:numRef>
          </c:xVal>
          <c:yVal>
            <c:numRef>
              <c:f>CCM_Loop_Modeling_non_isolated!$AT$12</c:f>
              <c:numCache>
                <c:formatCode>0.000</c:formatCode>
                <c:ptCount val="1"/>
                <c:pt idx="0">
                  <c:v>26.690997261226016</c:v>
                </c:pt>
              </c:numCache>
            </c:numRef>
          </c:yVal>
          <c:smooth val="1"/>
          <c:extLst>
            <c:ext xmlns:c16="http://schemas.microsoft.com/office/drawing/2014/chart" uri="{C3380CC4-5D6E-409C-BE32-E72D297353CC}">
              <c16:uniqueId val="{00000008-1798-4659-8C8F-5766C9E652D3}"/>
            </c:ext>
          </c:extLst>
        </c:ser>
        <c:ser>
          <c:idx val="6"/>
          <c:order val="6"/>
          <c:tx>
            <c:v>fp_ea</c:v>
          </c:tx>
          <c:marker>
            <c:symbol val="x"/>
            <c:size val="7"/>
            <c:spPr>
              <a:noFill/>
              <a:ln w="25400">
                <a:solidFill>
                  <a:srgbClr val="00B0F0"/>
                </a:solidFill>
              </a:ln>
            </c:spPr>
          </c:marker>
          <c:dLbls>
            <c:dLbl>
              <c:idx val="0"/>
              <c:layout>
                <c:manualLayout>
                  <c:x val="-5.3995739911983948E-2"/>
                  <c:y val="3.371251000900660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798-4659-8C8F-5766C9E652D3}"/>
                </c:ext>
              </c:extLst>
            </c:dLbl>
            <c:spPr>
              <a:noFill/>
              <a:ln>
                <a:noFill/>
              </a:ln>
              <a:effectLst/>
            </c:spPr>
            <c:txPr>
              <a:bodyPr/>
              <a:lstStyle/>
              <a:p>
                <a:pPr>
                  <a:defRPr b="1"/>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CCM_Loop_Modeling_non_isolated!$O$13</c:f>
              <c:numCache>
                <c:formatCode>General</c:formatCode>
                <c:ptCount val="1"/>
                <c:pt idx="0">
                  <c:v>49171.017912033101</c:v>
                </c:pt>
              </c:numCache>
            </c:numRef>
          </c:xVal>
          <c:yVal>
            <c:numRef>
              <c:f>CCM_Loop_Modeling_non_isolated!$AT$13</c:f>
              <c:numCache>
                <c:formatCode>0.000</c:formatCode>
                <c:ptCount val="1"/>
                <c:pt idx="0">
                  <c:v>-68.040622847774671</c:v>
                </c:pt>
              </c:numCache>
            </c:numRef>
          </c:yVal>
          <c:smooth val="1"/>
          <c:extLst>
            <c:ext xmlns:c16="http://schemas.microsoft.com/office/drawing/2014/chart" uri="{C3380CC4-5D6E-409C-BE32-E72D297353CC}">
              <c16:uniqueId val="{0000000A-1798-4659-8C8F-5766C9E652D3}"/>
            </c:ext>
          </c:extLst>
        </c:ser>
        <c:dLbls>
          <c:showLegendKey val="0"/>
          <c:showVal val="0"/>
          <c:showCatName val="0"/>
          <c:showSerName val="0"/>
          <c:showPercent val="0"/>
          <c:showBubbleSize val="0"/>
        </c:dLbls>
        <c:axId val="589245056"/>
        <c:axId val="589259520"/>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CCM_Loop_Modeling_non_isolated!$AU$19:$AU$560</c:f>
              <c:numCache>
                <c:formatCode>General</c:formatCode>
                <c:ptCount val="542"/>
                <c:pt idx="0">
                  <c:v>29.794112140610547</c:v>
                </c:pt>
                <c:pt idx="1">
                  <c:v>29.659738256165308</c:v>
                </c:pt>
                <c:pt idx="2">
                  <c:v>29.538037914839684</c:v>
                </c:pt>
                <c:pt idx="3">
                  <c:v>29.429036124285542</c:v>
                </c:pt>
                <c:pt idx="4">
                  <c:v>29.332753855955879</c:v>
                </c:pt>
                <c:pt idx="5">
                  <c:v>29.249208218158721</c:v>
                </c:pt>
                <c:pt idx="6">
                  <c:v>29.178412607586917</c:v>
                </c:pt>
                <c:pt idx="7">
                  <c:v>29.12037683871463</c:v>
                </c:pt>
                <c:pt idx="8">
                  <c:v>29.075107250551458</c:v>
                </c:pt>
                <c:pt idx="9">
                  <c:v>29.042606790338315</c:v>
                </c:pt>
                <c:pt idx="10">
                  <c:v>29.022875073866704</c:v>
                </c:pt>
                <c:pt idx="11">
                  <c:v>29.015908422186211</c:v>
                </c:pt>
                <c:pt idx="12">
                  <c:v>29.021699874557868</c:v>
                </c:pt>
                <c:pt idx="13">
                  <c:v>29.040239177593232</c:v>
                </c:pt>
                <c:pt idx="14">
                  <c:v>29.0715127506075</c:v>
                </c:pt>
                <c:pt idx="15">
                  <c:v>29.115503627293403</c:v>
                </c:pt>
                <c:pt idx="16">
                  <c:v>29.172191373918078</c:v>
                </c:pt>
                <c:pt idx="17">
                  <c:v>29.2415519843304</c:v>
                </c:pt>
                <c:pt idx="18">
                  <c:v>29.323557752150784</c:v>
                </c:pt>
                <c:pt idx="19">
                  <c:v>29.418177120623369</c:v>
                </c:pt>
                <c:pt idx="20">
                  <c:v>29.525374510695475</c:v>
                </c:pt>
                <c:pt idx="21">
                  <c:v>29.645110128006401</c:v>
                </c:pt>
                <c:pt idx="22">
                  <c:v>29.777339749564547</c:v>
                </c:pt>
                <c:pt idx="23">
                  <c:v>29.922014491017787</c:v>
                </c:pt>
                <c:pt idx="24">
                  <c:v>30.079080555531188</c:v>
                </c:pt>
                <c:pt idx="25">
                  <c:v>30.248478965429374</c:v>
                </c:pt>
                <c:pt idx="26">
                  <c:v>30.430145277874463</c:v>
                </c:pt>
                <c:pt idx="27">
                  <c:v>30.62400928600621</c:v>
                </c:pt>
                <c:pt idx="28">
                  <c:v>30.829994707108543</c:v>
                </c:pt>
                <c:pt idx="29">
                  <c:v>31.048018859512624</c:v>
                </c:pt>
                <c:pt idx="30">
                  <c:v>31.27799233010888</c:v>
                </c:pt>
                <c:pt idx="31">
                  <c:v>31.51981863448809</c:v>
                </c:pt>
                <c:pt idx="32">
                  <c:v>31.773393871893372</c:v>
                </c:pt>
                <c:pt idx="33">
                  <c:v>32.038606377323319</c:v>
                </c:pt>
                <c:pt idx="34">
                  <c:v>32.315336373277844</c:v>
                </c:pt>
                <c:pt idx="35">
                  <c:v>32.603455623793842</c:v>
                </c:pt>
                <c:pt idx="36">
                  <c:v>32.902827093560049</c:v>
                </c:pt>
                <c:pt idx="37">
                  <c:v>33.213304615034623</c:v>
                </c:pt>
                <c:pt idx="38">
                  <c:v>33.53473256661772</c:v>
                </c:pt>
                <c:pt idx="39">
                  <c:v>33.866945565031692</c:v>
                </c:pt>
                <c:pt idx="40">
                  <c:v>34.209768175157961</c:v>
                </c:pt>
                <c:pt idx="41">
                  <c:v>34.563014640645953</c:v>
                </c:pt>
                <c:pt idx="42">
                  <c:v>34.926488638651307</c:v>
                </c:pt>
                <c:pt idx="43">
                  <c:v>35.299983062079242</c:v>
                </c:pt>
                <c:pt idx="44">
                  <c:v>35.683279832690801</c:v>
                </c:pt>
                <c:pt idx="45">
                  <c:v>36.076149748382399</c:v>
                </c:pt>
                <c:pt idx="46">
                  <c:v>36.478352367859038</c:v>
                </c:pt>
                <c:pt idx="47">
                  <c:v>36.889635935798857</c:v>
                </c:pt>
                <c:pt idx="48">
                  <c:v>37.309737351439367</c:v>
                </c:pt>
                <c:pt idx="49">
                  <c:v>37.738382183302981</c:v>
                </c:pt>
                <c:pt idx="50">
                  <c:v>38.175284732533832</c:v>
                </c:pt>
                <c:pt idx="51">
                  <c:v>38.620148147015769</c:v>
                </c:pt>
                <c:pt idx="52">
                  <c:v>39.072664588107543</c:v>
                </c:pt>
                <c:pt idx="53">
                  <c:v>39.532515451457556</c:v>
                </c:pt>
                <c:pt idx="54">
                  <c:v>39.999371642932154</c:v>
                </c:pt>
                <c:pt idx="55">
                  <c:v>40.472893910261099</c:v>
                </c:pt>
                <c:pt idx="56">
                  <c:v>40.952733230503874</c:v>
                </c:pt>
                <c:pt idx="57">
                  <c:v>41.438531252952622</c:v>
                </c:pt>
                <c:pt idx="58">
                  <c:v>41.929920796555351</c:v>
                </c:pt>
                <c:pt idx="59">
                  <c:v>42.42652640040874</c:v>
                </c:pt>
                <c:pt idx="60">
                  <c:v>42.927964925340092</c:v>
                </c:pt>
                <c:pt idx="61">
                  <c:v>43.433846204049061</c:v>
                </c:pt>
                <c:pt idx="62">
                  <c:v>43.943773736768343</c:v>
                </c:pt>
                <c:pt idx="63">
                  <c:v>44.457345428894179</c:v>
                </c:pt>
                <c:pt idx="64">
                  <c:v>44.974154366565585</c:v>
                </c:pt>
                <c:pt idx="65">
                  <c:v>45.493789625728397</c:v>
                </c:pt>
                <c:pt idx="66">
                  <c:v>46.015837109838102</c:v>
                </c:pt>
                <c:pt idx="67">
                  <c:v>46.539880411003189</c:v>
                </c:pt>
                <c:pt idx="68">
                  <c:v>47.065501689096536</c:v>
                </c:pt>
                <c:pt idx="69">
                  <c:v>47.592282563131249</c:v>
                </c:pt>
                <c:pt idx="70">
                  <c:v>48.119805009058709</c:v>
                </c:pt>
                <c:pt idx="71">
                  <c:v>48.647652258051252</c:v>
                </c:pt>
                <c:pt idx="72">
                  <c:v>49.175409689322009</c:v>
                </c:pt>
                <c:pt idx="73">
                  <c:v>49.702665711604155</c:v>
                </c:pt>
                <c:pt idx="74">
                  <c:v>50.229012627531638</c:v>
                </c:pt>
                <c:pt idx="75">
                  <c:v>50.754047475367898</c:v>
                </c:pt>
                <c:pt idx="76">
                  <c:v>51.277372842786484</c:v>
                </c:pt>
                <c:pt idx="77">
                  <c:v>51.798597647742227</c:v>
                </c:pt>
                <c:pt idx="78">
                  <c:v>52.317337881832323</c:v>
                </c:pt>
                <c:pt idx="79">
                  <c:v>52.833217311971801</c:v>
                </c:pt>
                <c:pt idx="80">
                  <c:v>53.345868136681808</c:v>
                </c:pt>
                <c:pt idx="81">
                  <c:v>53.854931593756376</c:v>
                </c:pt>
                <c:pt idx="82">
                  <c:v>54.360058516610167</c:v>
                </c:pt>
                <c:pt idx="83">
                  <c:v>54.860909837118733</c:v>
                </c:pt>
                <c:pt idx="84">
                  <c:v>55.357157033309811</c:v>
                </c:pt>
                <c:pt idx="85">
                  <c:v>55.848482520783698</c:v>
                </c:pt>
                <c:pt idx="86">
                  <c:v>56.334579987268285</c:v>
                </c:pt>
                <c:pt idx="87">
                  <c:v>56.815154670213502</c:v>
                </c:pt>
                <c:pt idx="88">
                  <c:v>57.289923577811969</c:v>
                </c:pt>
                <c:pt idx="89">
                  <c:v>57.75861565428589</c:v>
                </c:pt>
                <c:pt idx="90">
                  <c:v>58.220971890689903</c:v>
                </c:pt>
                <c:pt idx="91">
                  <c:v>58.676745382870052</c:v>
                </c:pt>
                <c:pt idx="92">
                  <c:v>59.125701338552027</c:v>
                </c:pt>
                <c:pt idx="93">
                  <c:v>59.567617035834168</c:v>
                </c:pt>
                <c:pt idx="94">
                  <c:v>60.002281735613188</c:v>
                </c:pt>
                <c:pt idx="95">
                  <c:v>60.429496550685997</c:v>
                </c:pt>
                <c:pt idx="96">
                  <c:v>60.849074274435822</c:v>
                </c:pt>
                <c:pt idx="97">
                  <c:v>61.260839172142589</c:v>
                </c:pt>
                <c:pt idx="98">
                  <c:v>61.664626738041562</c:v>
                </c:pt>
                <c:pt idx="99">
                  <c:v>62.060283421309293</c:v>
                </c:pt>
                <c:pt idx="100">
                  <c:v>62.447666324161453</c:v>
                </c:pt>
                <c:pt idx="101">
                  <c:v>62.826642875241895</c:v>
                </c:pt>
                <c:pt idx="102">
                  <c:v>63.197090481426521</c:v>
                </c:pt>
                <c:pt idx="103">
                  <c:v>63.558896161094815</c:v>
                </c:pt>
                <c:pt idx="104">
                  <c:v>63.911956161836777</c:v>
                </c:pt>
                <c:pt idx="105">
                  <c:v>64.25617556543223</c:v>
                </c:pt>
                <c:pt idx="106">
                  <c:v>64.591467882828482</c:v>
                </c:pt>
                <c:pt idx="107">
                  <c:v>64.917754641687878</c:v>
                </c:pt>
                <c:pt idx="108">
                  <c:v>65.234964968929447</c:v>
                </c:pt>
                <c:pt idx="109">
                  <c:v>65.543035170532221</c:v>
                </c:pt>
                <c:pt idx="110">
                  <c:v>65.841908310699068</c:v>
                </c:pt>
                <c:pt idx="111">
                  <c:v>66.131533792323069</c:v>
                </c:pt>
                <c:pt idx="112">
                  <c:v>66.41186694052594</c:v>
                </c:pt>
                <c:pt idx="113">
                  <c:v>66.682868590879181</c:v>
                </c:pt>
                <c:pt idx="114">
                  <c:v>66.94450468375922</c:v>
                </c:pt>
                <c:pt idx="115">
                  <c:v>67.196745866132616</c:v>
                </c:pt>
                <c:pt idx="116">
                  <c:v>67.439567101916353</c:v>
                </c:pt>
                <c:pt idx="117">
                  <c:v>67.672947291925027</c:v>
                </c:pt>
                <c:pt idx="118">
                  <c:v>67.896868904270406</c:v>
                </c:pt>
                <c:pt idx="119">
                  <c:v>68.11131761596576</c:v>
                </c:pt>
                <c:pt idx="120">
                  <c:v>68.316281966362723</c:v>
                </c:pt>
                <c:pt idx="121">
                  <c:v>68.511753022942628</c:v>
                </c:pt>
                <c:pt idx="122">
                  <c:v>68.697724059884379</c:v>
                </c:pt>
                <c:pt idx="123">
                  <c:v>68.874190249744544</c:v>
                </c:pt>
                <c:pt idx="124">
                  <c:v>69.041148368495627</c:v>
                </c:pt>
                <c:pt idx="125">
                  <c:v>69.198596514106256</c:v>
                </c:pt>
                <c:pt idx="126">
                  <c:v>69.346533838772956</c:v>
                </c:pt>
                <c:pt idx="127">
                  <c:v>69.4849602948631</c:v>
                </c:pt>
                <c:pt idx="128">
                  <c:v>69.613876394576508</c:v>
                </c:pt>
                <c:pt idx="129">
                  <c:v>69.733282983292739</c:v>
                </c:pt>
                <c:pt idx="130">
                  <c:v>69.843181026538716</c:v>
                </c:pt>
                <c:pt idx="131">
                  <c:v>69.943571410475499</c:v>
                </c:pt>
                <c:pt idx="132">
                  <c:v>70.034454755793405</c:v>
                </c:pt>
                <c:pt idx="133">
                  <c:v>70.115831244873377</c:v>
                </c:pt>
                <c:pt idx="134">
                  <c:v>70.187700462074091</c:v>
                </c:pt>
                <c:pt idx="135">
                  <c:v>70.250061246986334</c:v>
                </c:pt>
                <c:pt idx="136">
                  <c:v>70.302911560503873</c:v>
                </c:pt>
                <c:pt idx="137">
                  <c:v>70.346248363551481</c:v>
                </c:pt>
                <c:pt idx="138">
                  <c:v>70.380067508321645</c:v>
                </c:pt>
                <c:pt idx="139">
                  <c:v>70.404363641878874</c:v>
                </c:pt>
                <c:pt idx="140">
                  <c:v>70.419130121997114</c:v>
                </c:pt>
                <c:pt idx="141">
                  <c:v>70.424358945112104</c:v>
                </c:pt>
                <c:pt idx="142">
                  <c:v>70.420040686284025</c:v>
                </c:pt>
                <c:pt idx="143">
                  <c:v>70.406164451081551</c:v>
                </c:pt>
                <c:pt idx="144">
                  <c:v>70.382717839318332</c:v>
                </c:pt>
                <c:pt idx="145">
                  <c:v>70.349686920587558</c:v>
                </c:pt>
                <c:pt idx="146">
                  <c:v>70.307056221564764</c:v>
                </c:pt>
                <c:pt idx="147">
                  <c:v>70.254808725065459</c:v>
                </c:pt>
                <c:pt idx="148">
                  <c:v>70.192925880864522</c:v>
                </c:pt>
                <c:pt idx="149">
                  <c:v>70.121387628306891</c:v>
                </c:pt>
                <c:pt idx="150">
                  <c:v>70.040172430754865</c:v>
                </c:pt>
                <c:pt idx="151">
                  <c:v>69.949257321936997</c:v>
                </c:pt>
                <c:pt idx="152">
                  <c:v>69.848617964283946</c:v>
                </c:pt>
                <c:pt idx="153">
                  <c:v>69.738228719348754</c:v>
                </c:pt>
                <c:pt idx="154">
                  <c:v>69.618062730425606</c:v>
                </c:pt>
                <c:pt idx="155">
                  <c:v>69.488092017493912</c:v>
                </c:pt>
                <c:pt idx="156">
                  <c:v>69.348287584622312</c:v>
                </c:pt>
                <c:pt idx="157">
                  <c:v>69.198619539977457</c:v>
                </c:pt>
                <c:pt idx="158">
                  <c:v>69.039057228585008</c:v>
                </c:pt>
                <c:pt idx="159">
                  <c:v>68.86956937798891</c:v>
                </c:pt>
                <c:pt idx="160">
                  <c:v>68.690124256957489</c:v>
                </c:pt>
                <c:pt idx="161">
                  <c:v>68.500689847369998</c:v>
                </c:pt>
                <c:pt idx="162">
                  <c:v>68.301234029410352</c:v>
                </c:pt>
                <c:pt idx="163">
                  <c:v>68.091724780174459</c:v>
                </c:pt>
                <c:pt idx="164">
                  <c:v>67.872130385778661</c:v>
                </c:pt>
                <c:pt idx="165">
                  <c:v>67.6424196670188</c:v>
                </c:pt>
                <c:pt idx="166">
                  <c:v>67.402562218603407</c:v>
                </c:pt>
                <c:pt idx="167">
                  <c:v>67.152528661938547</c:v>
                </c:pt>
                <c:pt idx="168">
                  <c:v>66.892290911386496</c:v>
                </c:pt>
                <c:pt idx="169">
                  <c:v>66.621822453873435</c:v>
                </c:pt>
                <c:pt idx="170">
                  <c:v>66.341098641645772</c:v>
                </c:pt>
                <c:pt idx="171">
                  <c:v>66.050096997906266</c:v>
                </c:pt>
                <c:pt idx="172">
                  <c:v>65.748797534975864</c:v>
                </c:pt>
                <c:pt idx="173">
                  <c:v>65.437183084538304</c:v>
                </c:pt>
                <c:pt idx="174">
                  <c:v>65.115239639419485</c:v>
                </c:pt>
                <c:pt idx="175">
                  <c:v>64.782956706250232</c:v>
                </c:pt>
                <c:pt idx="176">
                  <c:v>64.440327668236762</c:v>
                </c:pt>
                <c:pt idx="177">
                  <c:v>64.08735015714241</c:v>
                </c:pt>
                <c:pt idx="178">
                  <c:v>63.724026433441331</c:v>
                </c:pt>
                <c:pt idx="179">
                  <c:v>63.350363773474427</c:v>
                </c:pt>
                <c:pt idx="180">
                  <c:v>62.966374862273199</c:v>
                </c:pt>
                <c:pt idx="181">
                  <c:v>62.57207819057605</c:v>
                </c:pt>
                <c:pt idx="182">
                  <c:v>62.167498454393574</c:v>
                </c:pt>
                <c:pt idx="183">
                  <c:v>61.7526669553164</c:v>
                </c:pt>
                <c:pt idx="184">
                  <c:v>61.327621999598819</c:v>
                </c:pt>
                <c:pt idx="185">
                  <c:v>60.892409293882771</c:v>
                </c:pt>
                <c:pt idx="186">
                  <c:v>60.447082335264156</c:v>
                </c:pt>
                <c:pt idx="187">
                  <c:v>59.991702793250234</c:v>
                </c:pt>
                <c:pt idx="188">
                  <c:v>59.526340880999975</c:v>
                </c:pt>
                <c:pt idx="189">
                  <c:v>59.051075713105377</c:v>
                </c:pt>
                <c:pt idx="190">
                  <c:v>58.565995647041291</c:v>
                </c:pt>
                <c:pt idx="191">
                  <c:v>58.071198605299891</c:v>
                </c:pt>
                <c:pt idx="192">
                  <c:v>57.566792375137041</c:v>
                </c:pt>
                <c:pt idx="193">
                  <c:v>57.052894882789275</c:v>
                </c:pt>
                <c:pt idx="194">
                  <c:v>56.529634438976629</c:v>
                </c:pt>
                <c:pt idx="195">
                  <c:v>55.997149952493771</c:v>
                </c:pt>
                <c:pt idx="196">
                  <c:v>55.455591108714721</c:v>
                </c:pt>
                <c:pt idx="197">
                  <c:v>54.905118509888261</c:v>
                </c:pt>
                <c:pt idx="198">
                  <c:v>54.345903774201133</c:v>
                </c:pt>
                <c:pt idx="199">
                  <c:v>53.778129590707081</c:v>
                </c:pt>
                <c:pt idx="200">
                  <c:v>53.201989727414748</c:v>
                </c:pt>
                <c:pt idx="201">
                  <c:v>52.617688990027752</c:v>
                </c:pt>
                <c:pt idx="202">
                  <c:v>52.025443129103493</c:v>
                </c:pt>
                <c:pt idx="203">
                  <c:v>51.425478693698864</c:v>
                </c:pt>
                <c:pt idx="204">
                  <c:v>50.818032829916916</c:v>
                </c:pt>
                <c:pt idx="205">
                  <c:v>50.203353023159501</c:v>
                </c:pt>
                <c:pt idx="206">
                  <c:v>49.581696783308793</c:v>
                </c:pt>
                <c:pt idx="207">
                  <c:v>48.953331272517438</c:v>
                </c:pt>
                <c:pt idx="208">
                  <c:v>48.318532875781521</c:v>
                </c:pt>
                <c:pt idx="209">
                  <c:v>47.677586714960562</c:v>
                </c:pt>
                <c:pt idx="210">
                  <c:v>47.03078610744771</c:v>
                </c:pt>
                <c:pt idx="211">
                  <c:v>46.378431971216671</c:v>
                </c:pt>
                <c:pt idx="212">
                  <c:v>45.720832178508687</c:v>
                </c:pt>
                <c:pt idx="213">
                  <c:v>45.058300860948883</c:v>
                </c:pt>
                <c:pt idx="214">
                  <c:v>44.391157669394723</c:v>
                </c:pt>
                <c:pt idx="215">
                  <c:v>43.719726992305269</c:v>
                </c:pt>
                <c:pt idx="216">
                  <c:v>43.044337136879541</c:v>
                </c:pt>
                <c:pt idx="217">
                  <c:v>42.365319477626592</c:v>
                </c:pt>
                <c:pt idx="218">
                  <c:v>41.683007577402307</c:v>
                </c:pt>
                <c:pt idx="219">
                  <c:v>40.997736286259361</c:v>
                </c:pt>
                <c:pt idx="220">
                  <c:v>40.309840823719107</c:v>
                </c:pt>
                <c:pt idx="221">
                  <c:v>39.619655850258312</c:v>
                </c:pt>
                <c:pt idx="222">
                  <c:v>38.927514533930243</c:v>
                </c:pt>
                <c:pt idx="223">
                  <c:v>38.233747618095727</c:v>
                </c:pt>
                <c:pt idx="224">
                  <c:v>37.538682496208004</c:v>
                </c:pt>
                <c:pt idx="225">
                  <c:v>36.84264229952251</c:v>
                </c:pt>
                <c:pt idx="226">
                  <c:v>36.145945003422391</c:v>
                </c:pt>
                <c:pt idx="227">
                  <c:v>35.448902557845827</c:v>
                </c:pt>
                <c:pt idx="228">
                  <c:v>34.751820046991789</c:v>
                </c:pt>
                <c:pt idx="229">
                  <c:v>34.054994883147415</c:v>
                </c:pt>
                <c:pt idx="230">
                  <c:v>33.358716039086673</c:v>
                </c:pt>
                <c:pt idx="231">
                  <c:v>32.663263323038407</c:v>
                </c:pt>
                <c:pt idx="232">
                  <c:v>31.968906699762446</c:v>
                </c:pt>
                <c:pt idx="233">
                  <c:v>31.275905660756774</c:v>
                </c:pt>
                <c:pt idx="234">
                  <c:v>30.584508646113132</c:v>
                </c:pt>
                <c:pt idx="235">
                  <c:v>29.894952519993012</c:v>
                </c:pt>
                <c:pt idx="236">
                  <c:v>29.207462101174162</c:v>
                </c:pt>
                <c:pt idx="237">
                  <c:v>28.522249749584965</c:v>
                </c:pt>
                <c:pt idx="238">
                  <c:v>27.839515009231192</c:v>
                </c:pt>
                <c:pt idx="239">
                  <c:v>27.159444307427478</c:v>
                </c:pt>
                <c:pt idx="240">
                  <c:v>26.482210709774414</c:v>
                </c:pt>
                <c:pt idx="241">
                  <c:v>25.807973729884534</c:v>
                </c:pt>
                <c:pt idx="242">
                  <c:v>25.136879192463017</c:v>
                </c:pt>
                <c:pt idx="243">
                  <c:v>24.469059147981572</c:v>
                </c:pt>
                <c:pt idx="244">
                  <c:v>23.804631836860494</c:v>
                </c:pt>
                <c:pt idx="245">
                  <c:v>23.143701700799618</c:v>
                </c:pt>
                <c:pt idx="246">
                  <c:v>22.486359438654617</c:v>
                </c:pt>
                <c:pt idx="247">
                  <c:v>21.832682104073875</c:v>
                </c:pt>
                <c:pt idx="248">
                  <c:v>21.182733241946501</c:v>
                </c:pt>
                <c:pt idx="249">
                  <c:v>20.536563060617816</c:v>
                </c:pt>
                <c:pt idx="250">
                  <c:v>19.894208636748836</c:v>
                </c:pt>
                <c:pt idx="251">
                  <c:v>19.25569414966521</c:v>
                </c:pt>
                <c:pt idx="252">
                  <c:v>18.621031142050036</c:v>
                </c:pt>
                <c:pt idx="253">
                  <c:v>17.990218803857164</c:v>
                </c:pt>
                <c:pt idx="254">
                  <c:v>17.363244276390201</c:v>
                </c:pt>
                <c:pt idx="255">
                  <c:v>16.740082973572701</c:v>
                </c:pt>
                <c:pt idx="256">
                  <c:v>16.120698917548189</c:v>
                </c:pt>
                <c:pt idx="257">
                  <c:v>15.505045085864841</c:v>
                </c:pt>
                <c:pt idx="258">
                  <c:v>14.893063767647654</c:v>
                </c:pt>
                <c:pt idx="259">
                  <c:v>14.284686926307192</c:v>
                </c:pt>
                <c:pt idx="260">
                  <c:v>13.67983656649869</c:v>
                </c:pt>
                <c:pt idx="261">
                  <c:v>13.078425103206904</c:v>
                </c:pt>
                <c:pt idx="262">
                  <c:v>12.480355731008377</c:v>
                </c:pt>
                <c:pt idx="263">
                  <c:v>11.885522791730505</c:v>
                </c:pt>
                <c:pt idx="264">
                  <c:v>11.29381213890273</c:v>
                </c:pt>
                <c:pt idx="265">
                  <c:v>10.705101497560168</c:v>
                </c:pt>
                <c:pt idx="266">
                  <c:v>10.119260818131144</c:v>
                </c:pt>
                <c:pt idx="267">
                  <c:v>9.5361526232963527</c:v>
                </c:pt>
                <c:pt idx="268">
                  <c:v>8.9556323468693311</c:v>
                </c:pt>
                <c:pt idx="269">
                  <c:v>8.3775486638879002</c:v>
                </c:pt>
                <c:pt idx="270">
                  <c:v>7.8017438112582269</c:v>
                </c:pt>
                <c:pt idx="271">
                  <c:v>7.2280538984148324</c:v>
                </c:pt>
                <c:pt idx="272">
                  <c:v>6.6563092076000405</c:v>
                </c:pt>
                <c:pt idx="273">
                  <c:v>6.0863344834666533</c:v>
                </c:pt>
                <c:pt idx="274">
                  <c:v>5.5179492118351989</c:v>
                </c:pt>
                <c:pt idx="275">
                  <c:v>4.9509678875209993</c:v>
                </c:pt>
                <c:pt idx="276">
                  <c:v>4.3852002712532441</c:v>
                </c:pt>
                <c:pt idx="277">
                  <c:v>3.8204516357848992</c:v>
                </c:pt>
                <c:pt idx="278">
                  <c:v>3.2565230013748039</c:v>
                </c:pt>
                <c:pt idx="279">
                  <c:v>2.6932113608906776</c:v>
                </c:pt>
                <c:pt idx="280">
                  <c:v>2.1303098948499484</c:v>
                </c:pt>
                <c:pt idx="281">
                  <c:v>1.5676081767707051</c:v>
                </c:pt>
                <c:pt idx="282">
                  <c:v>1.0048923692558376</c:v>
                </c:pt>
                <c:pt idx="283">
                  <c:v>0.44194541128437653</c:v>
                </c:pt>
                <c:pt idx="284">
                  <c:v>-0.121452802779772</c:v>
                </c:pt>
                <c:pt idx="285">
                  <c:v>-0.68552525190910429</c:v>
                </c:pt>
                <c:pt idx="286">
                  <c:v>-1.2504976242834021</c:v>
                </c:pt>
                <c:pt idx="287">
                  <c:v>-1.8165981596979313</c:v>
                </c:pt>
                <c:pt idx="288">
                  <c:v>-2.3840574978700357</c:v>
                </c:pt>
                <c:pt idx="289">
                  <c:v>-2.9531085319878945</c:v>
                </c:pt>
                <c:pt idx="290">
                  <c:v>-3.5239862668188309</c:v>
                </c:pt>
                <c:pt idx="291">
                  <c:v>-4.0969276806827839</c:v>
                </c:pt>
                <c:pt idx="292">
                  <c:v>-4.6721715905786176</c:v>
                </c:pt>
                <c:pt idx="293">
                  <c:v>-5.249958519739681</c:v>
                </c:pt>
                <c:pt idx="294">
                  <c:v>-5.8305305668824445</c:v>
                </c:pt>
                <c:pt idx="295">
                  <c:v>-6.4141312764037801</c:v>
                </c:pt>
                <c:pt idx="296">
                  <c:v>-7.0010055087766236</c:v>
                </c:pt>
                <c:pt idx="297">
                  <c:v>-7.5913993103795789</c:v>
                </c:pt>
                <c:pt idx="298">
                  <c:v>-8.18555978200461</c:v>
                </c:pt>
                <c:pt idx="299">
                  <c:v>-8.7837349452681917</c:v>
                </c:pt>
                <c:pt idx="300">
                  <c:v>-9.3861736061632897</c:v>
                </c:pt>
                <c:pt idx="301">
                  <c:v>-9.9931252149772654</c:v>
                </c:pt>
                <c:pt idx="302">
                  <c:v>-10.604839721812036</c:v>
                </c:pt>
                <c:pt idx="303">
                  <c:v>-11.221567426938053</c:v>
                </c:pt>
                <c:pt idx="304">
                  <c:v>-11.843558825223139</c:v>
                </c:pt>
                <c:pt idx="305">
                  <c:v>-12.471064443882579</c:v>
                </c:pt>
                <c:pt idx="306">
                  <c:v>-13.104334672806544</c:v>
                </c:pt>
                <c:pt idx="307">
                  <c:v>-13.74361958673272</c:v>
                </c:pt>
                <c:pt idx="308">
                  <c:v>-14.389168758547525</c:v>
                </c:pt>
                <c:pt idx="309">
                  <c:v>-15.041231063017332</c:v>
                </c:pt>
                <c:pt idx="310">
                  <c:v>-15.700054470273143</c:v>
                </c:pt>
                <c:pt idx="311">
                  <c:v>-16.365885828397456</c:v>
                </c:pt>
                <c:pt idx="312">
                  <c:v>-17.038970634495257</c:v>
                </c:pt>
                <c:pt idx="313">
                  <c:v>-17.719552793660529</c:v>
                </c:pt>
                <c:pt idx="314">
                  <c:v>-18.407874365298664</c:v>
                </c:pt>
                <c:pt idx="315">
                  <c:v>-19.104175296303964</c:v>
                </c:pt>
                <c:pt idx="316">
                  <c:v>-19.808693140645854</c:v>
                </c:pt>
                <c:pt idx="317">
                  <c:v>-20.521662764982409</c:v>
                </c:pt>
                <c:pt idx="318">
                  <c:v>-21.243316039975692</c:v>
                </c:pt>
                <c:pt idx="319">
                  <c:v>-21.973881517066424</c:v>
                </c:pt>
                <c:pt idx="320">
                  <c:v>-22.713584090540827</c:v>
                </c:pt>
                <c:pt idx="321">
                  <c:v>-23.462644644815839</c:v>
                </c:pt>
                <c:pt idx="322">
                  <c:v>-24.221279686962966</c:v>
                </c:pt>
                <c:pt idx="323">
                  <c:v>-24.989700964599219</c:v>
                </c:pt>
                <c:pt idx="324">
                  <c:v>-25.768115069392405</c:v>
                </c:pt>
                <c:pt idx="325">
                  <c:v>-26.556723026538066</c:v>
                </c:pt>
                <c:pt idx="326">
                  <c:v>-27.355719870712417</c:v>
                </c:pt>
                <c:pt idx="327">
                  <c:v>-28.1652942091387</c:v>
                </c:pt>
                <c:pt idx="328">
                  <c:v>-28.985627772540475</c:v>
                </c:pt>
                <c:pt idx="329">
                  <c:v>-29.816894954933165</c:v>
                </c:pt>
                <c:pt idx="330">
                  <c:v>-30.659262343335257</c:v>
                </c:pt>
                <c:pt idx="331">
                  <c:v>-31.512888238669007</c:v>
                </c:pt>
                <c:pt idx="332">
                  <c:v>-32.377922169273553</c:v>
                </c:pt>
                <c:pt idx="333">
                  <c:v>-33.254504398632832</c:v>
                </c:pt>
                <c:pt idx="334">
                  <c:v>-34.142765429079958</c:v>
                </c:pt>
                <c:pt idx="335">
                  <c:v>-35.042825503419564</c:v>
                </c:pt>
                <c:pt idx="336">
                  <c:v>-35.954794106566226</c:v>
                </c:pt>
                <c:pt idx="337">
                  <c:v>-36.87876946946156</c:v>
                </c:pt>
                <c:pt idx="338">
                  <c:v>-37.814838077676491</c:v>
                </c:pt>
                <c:pt idx="339">
                  <c:v>-38.76307418725078</c:v>
                </c:pt>
                <c:pt idx="340">
                  <c:v>-39.723539350436511</c:v>
                </c:pt>
                <c:pt idx="341">
                  <c:v>-40.696281954135642</c:v>
                </c:pt>
                <c:pt idx="342">
                  <c:v>-41.681336773889214</c:v>
                </c:pt>
                <c:pt idx="343">
                  <c:v>-42.678724546352903</c:v>
                </c:pt>
                <c:pt idx="344">
                  <c:v>-43.688451563236093</c:v>
                </c:pt>
                <c:pt idx="345">
                  <c:v>-44.710509289676871</c:v>
                </c:pt>
                <c:pt idx="346">
                  <c:v>-45.7448740100224</c:v>
                </c:pt>
                <c:pt idx="347">
                  <c:v>-46.791506503919805</c:v>
                </c:pt>
                <c:pt idx="348">
                  <c:v>-47.850351755547415</c:v>
                </c:pt>
                <c:pt idx="349">
                  <c:v>-48.921338698684188</c:v>
                </c:pt>
                <c:pt idx="350">
                  <c:v>-50.004380000170222</c:v>
                </c:pt>
                <c:pt idx="351">
                  <c:v>-51.099371884113744</c:v>
                </c:pt>
                <c:pt idx="352">
                  <c:v>-52.206193998974406</c:v>
                </c:pt>
                <c:pt idx="353">
                  <c:v>-53.324709329400569</c:v>
                </c:pt>
                <c:pt idx="354">
                  <c:v>-54.454764154410583</c:v>
                </c:pt>
                <c:pt idx="355">
                  <c:v>-55.596188053183923</c:v>
                </c:pt>
                <c:pt idx="356">
                  <c:v>-56.748793959413611</c:v>
                </c:pt>
                <c:pt idx="357">
                  <c:v>-57.91237826479405</c:v>
                </c:pt>
                <c:pt idx="358">
                  <c:v>-59.086720971869447</c:v>
                </c:pt>
                <c:pt idx="359">
                  <c:v>-60.271585896091196</c:v>
                </c:pt>
                <c:pt idx="360">
                  <c:v>-61.466720916557883</c:v>
                </c:pt>
                <c:pt idx="361">
                  <c:v>-62.671858274550033</c:v>
                </c:pt>
                <c:pt idx="362">
                  <c:v>-63.886714918619859</c:v>
                </c:pt>
                <c:pt idx="363">
                  <c:v>-65.110992894666907</c:v>
                </c:pt>
                <c:pt idx="364">
                  <c:v>-66.344379779119365</c:v>
                </c:pt>
                <c:pt idx="365">
                  <c:v>-67.586549153075708</c:v>
                </c:pt>
                <c:pt idx="366">
                  <c:v>-68.837161115028564</c:v>
                </c:pt>
                <c:pt idx="367">
                  <c:v>-70.095862829588171</c:v>
                </c:pt>
                <c:pt idx="368">
                  <c:v>-71.362289109496686</c:v>
                </c:pt>
                <c:pt idx="369">
                  <c:v>-72.636063028103109</c:v>
                </c:pt>
                <c:pt idx="370">
                  <c:v>-73.916796559439689</c:v>
                </c:pt>
                <c:pt idx="371">
                  <c:v>-75.204091243020528</c:v>
                </c:pt>
                <c:pt idx="372">
                  <c:v>-76.497538870547757</c:v>
                </c:pt>
                <c:pt idx="373">
                  <c:v>-77.79672219177759</c:v>
                </c:pt>
                <c:pt idx="374">
                  <c:v>-79.10121563694716</c:v>
                </c:pt>
                <c:pt idx="375">
                  <c:v>-80.410586053309572</c:v>
                </c:pt>
                <c:pt idx="376">
                  <c:v>-81.72439345352069</c:v>
                </c:pt>
                <c:pt idx="377">
                  <c:v>-83.042191773832073</c:v>
                </c:pt>
                <c:pt idx="378">
                  <c:v>-84.363529640254342</c:v>
                </c:pt>
                <c:pt idx="379">
                  <c:v>-85.687951141098239</c:v>
                </c:pt>
                <c:pt idx="380">
                  <c:v>-87.014996604502215</c:v>
                </c:pt>
                <c:pt idx="381">
                  <c:v>-88.344203379773788</c:v>
                </c:pt>
                <c:pt idx="382">
                  <c:v>-89.675106621562747</c:v>
                </c:pt>
                <c:pt idx="383">
                  <c:v>-91.007240076032858</c:v>
                </c:pt>
                <c:pt idx="384">
                  <c:v>-92.340136868341347</c:v>
                </c:pt>
                <c:pt idx="385">
                  <c:v>-93.67333029081496</c:v>
                </c:pt>
                <c:pt idx="386">
                  <c:v>-95.006354591270608</c:v>
                </c:pt>
                <c:pt idx="387">
                  <c:v>-96.338745760931232</c:v>
                </c:pt>
                <c:pt idx="388">
                  <c:v>-97.670042321354032</c:v>
                </c:pt>
                <c:pt idx="389">
                  <c:v>-98.999786109711792</c:v>
                </c:pt>
                <c:pt idx="390">
                  <c:v>-100.32752306165779</c:v>
                </c:pt>
                <c:pt idx="391">
                  <c:v>-101.65280399084067</c:v>
                </c:pt>
                <c:pt idx="392">
                  <c:v>-102.97518536397956</c:v>
                </c:pt>
                <c:pt idx="393">
                  <c:v>-104.29423007018131</c:v>
                </c:pt>
                <c:pt idx="394">
                  <c:v>-105.60950818298622</c:v>
                </c:pt>
                <c:pt idx="395">
                  <c:v>-106.9205977133882</c:v>
                </c:pt>
                <c:pt idx="396">
                  <c:v>-108.22708535186109</c:v>
                </c:pt>
                <c:pt idx="397">
                  <c:v>-109.52856719719755</c:v>
                </c:pt>
                <c:pt idx="398">
                  <c:v>-110.82464946977122</c:v>
                </c:pt>
                <c:pt idx="399">
                  <c:v>-112.11494920666459</c:v>
                </c:pt>
                <c:pt idx="400">
                  <c:v>-113.39909493594446</c:v>
                </c:pt>
                <c:pt idx="401">
                  <c:v>-114.6767273272808</c:v>
                </c:pt>
                <c:pt idx="402">
                  <c:v>-115.94749981602097</c:v>
                </c:pt>
                <c:pt idx="403">
                  <c:v>-117.21107919782537</c:v>
                </c:pt>
                <c:pt idx="404">
                  <c:v>-118.4671461909919</c:v>
                </c:pt>
                <c:pt idx="405">
                  <c:v>-119.71539596367374</c:v>
                </c:pt>
                <c:pt idx="406">
                  <c:v>-120.95553862332554</c:v>
                </c:pt>
                <c:pt idx="407">
                  <c:v>-122.18729966587688</c:v>
                </c:pt>
                <c:pt idx="408">
                  <c:v>-123.41042038235602</c:v>
                </c:pt>
                <c:pt idx="409">
                  <c:v>-124.6246582209296</c:v>
                </c:pt>
                <c:pt idx="410">
                  <c:v>-125.82978710262796</c:v>
                </c:pt>
                <c:pt idx="411">
                  <c:v>-127.02559768933106</c:v>
                </c:pt>
                <c:pt idx="412">
                  <c:v>-128.21189760293896</c:v>
                </c:pt>
                <c:pt idx="413">
                  <c:v>-129.3885115950028</c:v>
                </c:pt>
                <c:pt idx="414">
                  <c:v>-130.55528166646218</c:v>
                </c:pt>
                <c:pt idx="415">
                  <c:v>-131.71206713750112</c:v>
                </c:pt>
                <c:pt idx="416">
                  <c:v>-132.85874466790239</c:v>
                </c:pt>
                <c:pt idx="417">
                  <c:v>-133.99520822863045</c:v>
                </c:pt>
                <c:pt idx="418">
                  <c:v>-135.12136902571541</c:v>
                </c:pt>
                <c:pt idx="419">
                  <c:v>-136.23715537783499</c:v>
                </c:pt>
                <c:pt idx="420">
                  <c:v>-137.34251254926653</c:v>
                </c:pt>
                <c:pt idx="421">
                  <c:v>-138.43740254016947</c:v>
                </c:pt>
                <c:pt idx="422">
                  <c:v>-139.52180383636778</c:v>
                </c:pt>
                <c:pt idx="423">
                  <c:v>-140.59571112102662</c:v>
                </c:pt>
                <c:pt idx="424">
                  <c:v>-141.65913495075085</c:v>
                </c:pt>
                <c:pt idx="425">
                  <c:v>-142.71210139879449</c:v>
                </c:pt>
                <c:pt idx="426">
                  <c:v>-143.75465166814021</c:v>
                </c:pt>
                <c:pt idx="427">
                  <c:v>-144.7868416772715</c:v>
                </c:pt>
                <c:pt idx="428">
                  <c:v>-145.80874162149559</c:v>
                </c:pt>
                <c:pt idx="429">
                  <c:v>-146.82043551266304</c:v>
                </c:pt>
                <c:pt idx="430">
                  <c:v>-147.82202070008654</c:v>
                </c:pt>
                <c:pt idx="431">
                  <c:v>-148.81360737541249</c:v>
                </c:pt>
                <c:pt idx="432">
                  <c:v>-149.79531806410904</c:v>
                </c:pt>
                <c:pt idx="433">
                  <c:v>-150.76728710612215</c:v>
                </c:pt>
                <c:pt idx="434">
                  <c:v>-151.7296601281289</c:v>
                </c:pt>
                <c:pt idx="435">
                  <c:v>-152.68259350967506</c:v>
                </c:pt>
                <c:pt idx="436">
                  <c:v>-153.62625384533385</c:v>
                </c:pt>
                <c:pt idx="437">
                  <c:v>-154.56081740485047</c:v>
                </c:pt>
                <c:pt idx="438">
                  <c:v>-155.48646959307484</c:v>
                </c:pt>
                <c:pt idx="439">
                  <c:v>-156.40340441130638</c:v>
                </c:pt>
                <c:pt idx="440">
                  <c:v>-157.31182392149219</c:v>
                </c:pt>
                <c:pt idx="441">
                  <c:v>-158.21193771455361</c:v>
                </c:pt>
                <c:pt idx="442">
                  <c:v>-159.10396238392318</c:v>
                </c:pt>
                <c:pt idx="443">
                  <c:v>-159.98812100521897</c:v>
                </c:pt>
                <c:pt idx="444">
                  <c:v>-160.86464262280194</c:v>
                </c:pt>
                <c:pt idx="445">
                  <c:v>-161.73376174380411</c:v>
                </c:pt>
                <c:pt idx="446">
                  <c:v>-162.59571784006465</c:v>
                </c:pt>
                <c:pt idx="447">
                  <c:v>-163.45075485825788</c:v>
                </c:pt>
                <c:pt idx="448">
                  <c:v>-164.29912073836175</c:v>
                </c:pt>
                <c:pt idx="449">
                  <c:v>-165.14106694049048</c:v>
                </c:pt>
                <c:pt idx="450">
                  <c:v>-165.97684797999131</c:v>
                </c:pt>
                <c:pt idx="451">
                  <c:v>-166.80672097059937</c:v>
                </c:pt>
                <c:pt idx="452">
                  <c:v>-167.63094517534608</c:v>
                </c:pt>
                <c:pt idx="453">
                  <c:v>-168.44978156483171</c:v>
                </c:pt>
                <c:pt idx="454">
                  <c:v>-169.26349238239141</c:v>
                </c:pt>
                <c:pt idx="455">
                  <c:v>-170.07234071562294</c:v>
                </c:pt>
                <c:pt idx="456">
                  <c:v>-170.87659007368214</c:v>
                </c:pt>
                <c:pt idx="457">
                  <c:v>-171.67650396972002</c:v>
                </c:pt>
                <c:pt idx="458">
                  <c:v>-172.47234550778427</c:v>
                </c:pt>
                <c:pt idx="459">
                  <c:v>-173.26437697350156</c:v>
                </c:pt>
                <c:pt idx="460">
                  <c:v>-174.05285942783109</c:v>
                </c:pt>
                <c:pt idx="461">
                  <c:v>-174.83805230318515</c:v>
                </c:pt>
                <c:pt idx="462">
                  <c:v>-175.62021300121779</c:v>
                </c:pt>
                <c:pt idx="463">
                  <c:v>-176.39959649160195</c:v>
                </c:pt>
                <c:pt idx="464">
                  <c:v>-177.17645491114394</c:v>
                </c:pt>
                <c:pt idx="465">
                  <c:v>-177.95103716262267</c:v>
                </c:pt>
                <c:pt idx="466">
                  <c:v>-178.72358851279537</c:v>
                </c:pt>
                <c:pt idx="467">
                  <c:v>-179.49435018906638</c:v>
                </c:pt>
                <c:pt idx="468">
                  <c:v>179.73644102561124</c:v>
                </c:pt>
                <c:pt idx="469">
                  <c:v>178.968553199946</c:v>
                </c:pt>
                <c:pt idx="470">
                  <c:v>178.20175966389152</c:v>
                </c:pt>
                <c:pt idx="471">
                  <c:v>177.43583942075253</c:v>
                </c:pt>
                <c:pt idx="472">
                  <c:v>176.67057756186028</c:v>
                </c:pt>
                <c:pt idx="473">
                  <c:v>175.90576568373166</c:v>
                </c:pt>
                <c:pt idx="474">
                  <c:v>175.14120230750078</c:v>
                </c:pt>
                <c:pt idx="475">
                  <c:v>174.37669330027043</c:v>
                </c:pt>
                <c:pt idx="476">
                  <c:v>173.61205229787441</c:v>
                </c:pt>
                <c:pt idx="477">
                  <c:v>172.84710112839051</c:v>
                </c:pt>
                <c:pt idx="478">
                  <c:v>172.0816702355738</c:v>
                </c:pt>
                <c:pt idx="479">
                  <c:v>171.31559910120851</c:v>
                </c:pt>
                <c:pt idx="480">
                  <c:v>170.5487366652014</c:v>
                </c:pt>
                <c:pt idx="481">
                  <c:v>169.78094174205665</c:v>
                </c:pt>
                <c:pt idx="482">
                  <c:v>169.01208343219113</c:v>
                </c:pt>
                <c:pt idx="483">
                  <c:v>168.24204152636531</c:v>
                </c:pt>
                <c:pt idx="484">
                  <c:v>167.47070690132452</c:v>
                </c:pt>
                <c:pt idx="485">
                  <c:v>166.69798190456808</c:v>
                </c:pt>
                <c:pt idx="486">
                  <c:v>165.92378072599604</c:v>
                </c:pt>
                <c:pt idx="487">
                  <c:v>165.1480297540183</c:v>
                </c:pt>
                <c:pt idx="488">
                  <c:v>164.37066791357302</c:v>
                </c:pt>
                <c:pt idx="489">
                  <c:v>163.59164698335562</c:v>
                </c:pt>
                <c:pt idx="490">
                  <c:v>162.81093188946247</c:v>
                </c:pt>
                <c:pt idx="491">
                  <c:v>162.02850097255052</c:v>
                </c:pt>
                <c:pt idx="492">
                  <c:v>161.24434622555472</c:v>
                </c:pt>
                <c:pt idx="493">
                  <c:v>160.45847349897195</c:v>
                </c:pt>
                <c:pt idx="494">
                  <c:v>159.67090267071001</c:v>
                </c:pt>
                <c:pt idx="495">
                  <c:v>158.88166777753833</c:v>
                </c:pt>
                <c:pt idx="496">
                  <c:v>158.09081710524092</c:v>
                </c:pt>
                <c:pt idx="497">
                  <c:v>157.2984132346846</c:v>
                </c:pt>
                <c:pt idx="498">
                  <c:v>156.50453304116823</c:v>
                </c:pt>
                <c:pt idx="499">
                  <c:v>155.70926764460904</c:v>
                </c:pt>
                <c:pt idx="500">
                  <c:v>154.91272230836086</c:v>
                </c:pt>
                <c:pt idx="501">
                  <c:v>154.11501628474898</c:v>
                </c:pt>
                <c:pt idx="502">
                  <c:v>153.31628260571881</c:v>
                </c:pt>
                <c:pt idx="503">
                  <c:v>152.51666781736631</c:v>
                </c:pt>
                <c:pt idx="504">
                  <c:v>151.71633165753292</c:v>
                </c:pt>
                <c:pt idx="505">
                  <c:v>150.91544667606541</c:v>
                </c:pt>
                <c:pt idx="506">
                  <c:v>150.11419779782727</c:v>
                </c:pt>
                <c:pt idx="507">
                  <c:v>149.31278182903878</c:v>
                </c:pt>
                <c:pt idx="508">
                  <c:v>148.51140690802788</c:v>
                </c:pt>
                <c:pt idx="509">
                  <c:v>147.71029190200952</c:v>
                </c:pt>
                <c:pt idx="510">
                  <c:v>146.90966575203285</c:v>
                </c:pt>
                <c:pt idx="511">
                  <c:v>146.10976676876504</c:v>
                </c:pt>
                <c:pt idx="512">
                  <c:v>145.31084188229067</c:v>
                </c:pt>
                <c:pt idx="513">
                  <c:v>144.51314584960321</c:v>
                </c:pt>
                <c:pt idx="514">
                  <c:v>143.71694042392534</c:v>
                </c:pt>
                <c:pt idx="515">
                  <c:v>142.92249349042828</c:v>
                </c:pt>
                <c:pt idx="516">
                  <c:v>142.13007817329395</c:v>
                </c:pt>
                <c:pt idx="517">
                  <c:v>141.33997191940884</c:v>
                </c:pt>
                <c:pt idx="518">
                  <c:v>140.55245556423927</c:v>
                </c:pt>
                <c:pt idx="519">
                  <c:v>139.76781238565786</c:v>
                </c:pt>
                <c:pt idx="520">
                  <c:v>138.98632715163083</c:v>
                </c:pt>
                <c:pt idx="521">
                  <c:v>138.20828516774748</c:v>
                </c:pt>
                <c:pt idx="522">
                  <c:v>137.43397133058798</c:v>
                </c:pt>
                <c:pt idx="523">
                  <c:v>136.66366919283709</c:v>
                </c:pt>
                <c:pt idx="524">
                  <c:v>135.89766004593218</c:v>
                </c:pt>
                <c:pt idx="525">
                  <c:v>135.13622202581681</c:v>
                </c:pt>
                <c:pt idx="526">
                  <c:v>134.37962924710274</c:v>
                </c:pt>
                <c:pt idx="527">
                  <c:v>133.62815097061886</c:v>
                </c:pt>
                <c:pt idx="528">
                  <c:v>132.88205080894085</c:v>
                </c:pt>
                <c:pt idx="529">
                  <c:v>132.14158597406291</c:v>
                </c:pt>
                <c:pt idx="530">
                  <c:v>131.407006570931</c:v>
                </c:pt>
                <c:pt idx="531">
                  <c:v>130.67855494002734</c:v>
                </c:pt>
                <c:pt idx="532">
                  <c:v>129.9564650517122</c:v>
                </c:pt>
                <c:pt idx="533">
                  <c:v>129.24096195447868</c:v>
                </c:pt>
                <c:pt idx="534">
                  <c:v>128.53226127875209</c:v>
                </c:pt>
                <c:pt idx="535">
                  <c:v>127.83056879732941</c:v>
                </c:pt>
                <c:pt idx="536">
                  <c:v>127.13608004303705</c:v>
                </c:pt>
                <c:pt idx="537">
                  <c:v>126.44897998367624</c:v>
                </c:pt>
                <c:pt idx="538">
                  <c:v>125.76944275385618</c:v>
                </c:pt>
                <c:pt idx="539">
                  <c:v>125.09763144285151</c:v>
                </c:pt>
                <c:pt idx="540">
                  <c:v>124.43369793722141</c:v>
                </c:pt>
                <c:pt idx="541">
                  <c:v>123.77778281652982</c:v>
                </c:pt>
              </c:numCache>
            </c:numRef>
          </c:yVal>
          <c:smooth val="1"/>
          <c:extLst>
            <c:ext xmlns:c16="http://schemas.microsoft.com/office/drawing/2014/chart" uri="{C3380CC4-5D6E-409C-BE32-E72D297353CC}">
              <c16:uniqueId val="{0000000B-1798-4659-8C8F-5766C9E652D3}"/>
            </c:ext>
          </c:extLst>
        </c:ser>
        <c:dLbls>
          <c:showLegendKey val="0"/>
          <c:showVal val="0"/>
          <c:showCatName val="0"/>
          <c:showSerName val="0"/>
          <c:showPercent val="0"/>
          <c:showBubbleSize val="0"/>
        </c:dLbls>
        <c:axId val="589267712"/>
        <c:axId val="589261440"/>
      </c:scatterChart>
      <c:valAx>
        <c:axId val="589245056"/>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589259520"/>
        <c:crosses val="autoZero"/>
        <c:crossBetween val="midCat"/>
      </c:valAx>
      <c:valAx>
        <c:axId val="589259520"/>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589245056"/>
        <c:crosses val="autoZero"/>
        <c:crossBetween val="midCat"/>
        <c:majorUnit val="20"/>
        <c:minorUnit val="10"/>
      </c:valAx>
      <c:valAx>
        <c:axId val="589261440"/>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589267712"/>
        <c:crosses val="max"/>
        <c:crossBetween val="midCat"/>
        <c:majorUnit val="90"/>
        <c:minorUnit val="45"/>
      </c:valAx>
      <c:valAx>
        <c:axId val="589267712"/>
        <c:scaling>
          <c:logBase val="10"/>
          <c:orientation val="minMax"/>
        </c:scaling>
        <c:delete val="1"/>
        <c:axPos val="b"/>
        <c:numFmt formatCode="0.00" sourceLinked="1"/>
        <c:majorTickMark val="out"/>
        <c:minorTickMark val="none"/>
        <c:tickLblPos val="nextTo"/>
        <c:crossAx val="589261440"/>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Isolated Loop Response</a:t>
            </a:r>
            <a:endParaRPr lang="en-US" sz="1600">
              <a:effectLst/>
            </a:endParaRP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CCM_Loop_Modeling_Isolated!$AW$19:$AW$560</c:f>
              <c:numCache>
                <c:formatCode>0.000</c:formatCode>
                <c:ptCount val="542"/>
                <c:pt idx="0">
                  <c:v>103.26727143061564</c:v>
                </c:pt>
                <c:pt idx="1">
                  <c:v>103.05067632087672</c:v>
                </c:pt>
                <c:pt idx="2">
                  <c:v>102.83205003227458</c:v>
                </c:pt>
                <c:pt idx="3">
                  <c:v>102.61139770691655</c:v>
                </c:pt>
                <c:pt idx="4">
                  <c:v>102.38872457995055</c:v>
                </c:pt>
                <c:pt idx="5">
                  <c:v>102.16403609866084</c:v>
                </c:pt>
                <c:pt idx="6">
                  <c:v>101.93733804690687</c:v>
                </c:pt>
                <c:pt idx="7">
                  <c:v>101.70863667422262</c:v>
                </c:pt>
                <c:pt idx="8">
                  <c:v>101.47793882883983</c:v>
                </c:pt>
                <c:pt idx="9">
                  <c:v>101.24525209385</c:v>
                </c:pt>
                <c:pt idx="10">
                  <c:v>101.01058492566736</c:v>
                </c:pt>
                <c:pt idx="11">
                  <c:v>100.77394679391362</c:v>
                </c:pt>
                <c:pt idx="12">
                  <c:v>100.53534832180169</c:v>
                </c:pt>
                <c:pt idx="13">
                  <c:v>100.29480142605811</c:v>
                </c:pt>
                <c:pt idx="14">
                  <c:v>100.05231945539532</c:v>
                </c:pt>
                <c:pt idx="15">
                  <c:v>99.807917326518023</c:v>
                </c:pt>
                <c:pt idx="16">
                  <c:v>99.561611656633474</c:v>
                </c:pt>
                <c:pt idx="17">
                  <c:v>99.313420891423817</c:v>
                </c:pt>
                <c:pt idx="18">
                  <c:v>99.063365427440701</c:v>
                </c:pt>
                <c:pt idx="19">
                  <c:v>98.811467727890076</c:v>
                </c:pt>
                <c:pt idx="20">
                  <c:v>98.557752430795205</c:v>
                </c:pt>
                <c:pt idx="21">
                  <c:v>98.302246448551955</c:v>
                </c:pt>
                <c:pt idx="22">
                  <c:v>98.044979057932139</c:v>
                </c:pt>
                <c:pt idx="23">
                  <c:v>97.78598197963808</c:v>
                </c:pt>
                <c:pt idx="24">
                  <c:v>97.525289446568337</c:v>
                </c:pt>
                <c:pt idx="25">
                  <c:v>97.262938260024413</c:v>
                </c:pt>
                <c:pt idx="26">
                  <c:v>96.998967833163448</c:v>
                </c:pt>
                <c:pt idx="27">
                  <c:v>96.733420221086263</c:v>
                </c:pt>
                <c:pt idx="28">
                  <c:v>96.466340137040362</c:v>
                </c:pt>
                <c:pt idx="29">
                  <c:v>96.19777495431785</c:v>
                </c:pt>
                <c:pt idx="30">
                  <c:v>95.92777469352626</c:v>
                </c:pt>
                <c:pt idx="31">
                  <c:v>95.656391995020925</c:v>
                </c:pt>
                <c:pt idx="32">
                  <c:v>95.383682076393015</c:v>
                </c:pt>
                <c:pt idx="33">
                  <c:v>95.109702675018866</c:v>
                </c:pt>
                <c:pt idx="34">
                  <c:v>94.834513975787061</c:v>
                </c:pt>
                <c:pt idx="35">
                  <c:v>94.558178524228239</c:v>
                </c:pt>
                <c:pt idx="36">
                  <c:v>94.280761125378888</c:v>
                </c:pt>
                <c:pt idx="37">
                  <c:v>94.00232872881729</c:v>
                </c:pt>
                <c:pt idx="38">
                  <c:v>93.722950300406097</c:v>
                </c:pt>
                <c:pt idx="39">
                  <c:v>93.44269668137315</c:v>
                </c:pt>
                <c:pt idx="40">
                  <c:v>93.161640435450636</c:v>
                </c:pt>
                <c:pt idx="41">
                  <c:v>92.879855684875139</c:v>
                </c:pt>
                <c:pt idx="42">
                  <c:v>92.597417936128124</c:v>
                </c:pt>
                <c:pt idx="43">
                  <c:v>92.314403896364297</c:v>
                </c:pt>
                <c:pt idx="44">
                  <c:v>92.030891281536569</c:v>
                </c:pt>
                <c:pt idx="45">
                  <c:v>91.746958617282601</c:v>
                </c:pt>
                <c:pt idx="46">
                  <c:v>91.462685033679691</c:v>
                </c:pt>
                <c:pt idx="47">
                  <c:v>91.178150055017312</c:v>
                </c:pt>
                <c:pt idx="48">
                  <c:v>90.893433385764013</c:v>
                </c:pt>
                <c:pt idx="49">
                  <c:v>90.608614693930065</c:v>
                </c:pt>
                <c:pt idx="50">
                  <c:v>90.323773393039758</c:v>
                </c:pt>
                <c:pt idx="51">
                  <c:v>90.038988423936303</c:v>
                </c:pt>
                <c:pt idx="52">
                  <c:v>89.754338037640963</c:v>
                </c:pt>
                <c:pt idx="53">
                  <c:v>89.469899580477374</c:v>
                </c:pt>
                <c:pt idx="54">
                  <c:v>89.185749282659287</c:v>
                </c:pt>
                <c:pt idx="55">
                  <c:v>88.901962051512385</c:v>
                </c:pt>
                <c:pt idx="56">
                  <c:v>88.618611270470353</c:v>
                </c:pt>
                <c:pt idx="57">
                  <c:v>88.335768604945955</c:v>
                </c:pt>
                <c:pt idx="58">
                  <c:v>88.053503816128995</c:v>
                </c:pt>
                <c:pt idx="59">
                  <c:v>87.771884583709664</c:v>
                </c:pt>
                <c:pt idx="60">
                  <c:v>87.490976338460825</c:v>
                </c:pt>
                <c:pt idx="61">
                  <c:v>87.210842105545993</c:v>
                </c:pt>
                <c:pt idx="62">
                  <c:v>86.931542359339176</c:v>
                </c:pt>
                <c:pt idx="63">
                  <c:v>86.653134890463136</c:v>
                </c:pt>
                <c:pt idx="64">
                  <c:v>86.375674685660471</c:v>
                </c:pt>
                <c:pt idx="65">
                  <c:v>86.099213821017813</c:v>
                </c:pt>
                <c:pt idx="66">
                  <c:v>85.823801368966286</c:v>
                </c:pt>
                <c:pt idx="67">
                  <c:v>85.549483319375113</c:v>
                </c:pt>
                <c:pt idx="68">
                  <c:v>85.276302514951695</c:v>
                </c:pt>
                <c:pt idx="69">
                  <c:v>85.004298601054813</c:v>
                </c:pt>
                <c:pt idx="70">
                  <c:v>84.733507989916106</c:v>
                </c:pt>
                <c:pt idx="71">
                  <c:v>84.463963839165274</c:v>
                </c:pt>
                <c:pt idx="72">
                  <c:v>84.195696044439714</c:v>
                </c:pt>
                <c:pt idx="73">
                  <c:v>83.928731245767409</c:v>
                </c:pt>
                <c:pt idx="74">
                  <c:v>83.663092847307468</c:v>
                </c:pt>
                <c:pt idx="75">
                  <c:v>83.398801049944581</c:v>
                </c:pt>
                <c:pt idx="76">
                  <c:v>83.135872896147674</c:v>
                </c:pt>
                <c:pt idx="77">
                  <c:v>82.874322326426238</c:v>
                </c:pt>
                <c:pt idx="78">
                  <c:v>82.614160246647558</c:v>
                </c:pt>
                <c:pt idx="79">
                  <c:v>82.355394605422305</c:v>
                </c:pt>
                <c:pt idx="80">
                  <c:v>82.098030480710449</c:v>
                </c:pt>
                <c:pt idx="81">
                  <c:v>81.842070174765297</c:v>
                </c:pt>
                <c:pt idx="82">
                  <c:v>81.587513316499738</c:v>
                </c:pt>
                <c:pt idx="83">
                  <c:v>81.334356970344984</c:v>
                </c:pt>
                <c:pt idx="84">
                  <c:v>81.082595750655543</c:v>
                </c:pt>
                <c:pt idx="85">
                  <c:v>80.832221940723258</c:v>
                </c:pt>
                <c:pt idx="86">
                  <c:v>80.583225615468024</c:v>
                </c:pt>
                <c:pt idx="87">
                  <c:v>80.335594766894644</c:v>
                </c:pt>
                <c:pt idx="88">
                  <c:v>80.08931543143099</c:v>
                </c:pt>
                <c:pt idx="89">
                  <c:v>79.844371818297461</c:v>
                </c:pt>
                <c:pt idx="90">
                  <c:v>79.600746438100018</c:v>
                </c:pt>
                <c:pt idx="91">
                  <c:v>79.358420230882658</c:v>
                </c:pt>
                <c:pt idx="92">
                  <c:v>79.117372692927944</c:v>
                </c:pt>
                <c:pt idx="93">
                  <c:v>78.877582001649102</c:v>
                </c:pt>
                <c:pt idx="94">
                  <c:v>78.639025137969838</c:v>
                </c:pt>
                <c:pt idx="95">
                  <c:v>78.401678005654119</c:v>
                </c:pt>
                <c:pt idx="96">
                  <c:v>78.165515547100327</c:v>
                </c:pt>
                <c:pt idx="97">
                  <c:v>77.930511855178366</c:v>
                </c:pt>
                <c:pt idx="98">
                  <c:v>77.696640280744489</c:v>
                </c:pt>
                <c:pt idx="99">
                  <c:v>77.463873535529444</c:v>
                </c:pt>
                <c:pt idx="100">
                  <c:v>77.232183790146578</c:v>
                </c:pt>
                <c:pt idx="101">
                  <c:v>77.001542767023977</c:v>
                </c:pt>
                <c:pt idx="102">
                  <c:v>76.771921828112809</c:v>
                </c:pt>
                <c:pt idx="103">
                  <c:v>76.543292057271231</c:v>
                </c:pt>
                <c:pt idx="104">
                  <c:v>76.315624337268702</c:v>
                </c:pt>
                <c:pt idx="105">
                  <c:v>76.08888942139302</c:v>
                </c:pt>
                <c:pt idx="106">
                  <c:v>75.863057999682781</c:v>
                </c:pt>
                <c:pt idx="107">
                  <c:v>75.638100759836803</c:v>
                </c:pt>
                <c:pt idx="108">
                  <c:v>75.413988442883763</c:v>
                </c:pt>
                <c:pt idx="109">
                  <c:v>75.190691893720384</c:v>
                </c:pt>
                <c:pt idx="110">
                  <c:v>74.968182106647859</c:v>
                </c:pt>
                <c:pt idx="111">
                  <c:v>74.746430266056024</c:v>
                </c:pt>
                <c:pt idx="112">
                  <c:v>74.525407782418142</c:v>
                </c:pt>
                <c:pt idx="113">
                  <c:v>74.305086323774105</c:v>
                </c:pt>
                <c:pt idx="114">
                  <c:v>74.085437842887615</c:v>
                </c:pt>
                <c:pt idx="115">
                  <c:v>73.866434600271162</c:v>
                </c:pt>
                <c:pt idx="116">
                  <c:v>73.648049183275731</c:v>
                </c:pt>
                <c:pt idx="117">
                  <c:v>73.430254521446471</c:v>
                </c:pt>
                <c:pt idx="118">
                  <c:v>73.213023898344971</c:v>
                </c:pt>
                <c:pt idx="119">
                  <c:v>72.996330960038293</c:v>
                </c:pt>
                <c:pt idx="120">
                  <c:v>72.780149720453068</c:v>
                </c:pt>
                <c:pt idx="121">
                  <c:v>72.564454563785389</c:v>
                </c:pt>
                <c:pt idx="122">
                  <c:v>72.349220244160406</c:v>
                </c:pt>
                <c:pt idx="123">
                  <c:v>72.134421882719565</c:v>
                </c:pt>
                <c:pt idx="124">
                  <c:v>71.920034962315555</c:v>
                </c:pt>
                <c:pt idx="125">
                  <c:v>71.706035319983712</c:v>
                </c:pt>
                <c:pt idx="126">
                  <c:v>71.49239913735174</c:v>
                </c:pt>
                <c:pt idx="127">
                  <c:v>71.279102929143164</c:v>
                </c:pt>
                <c:pt idx="128">
                  <c:v>71.066123529919921</c:v>
                </c:pt>
                <c:pt idx="129">
                  <c:v>70.853438079204537</c:v>
                </c:pt>
                <c:pt idx="130">
                  <c:v>70.641024005111262</c:v>
                </c:pt>
                <c:pt idx="131">
                  <c:v>70.428859006610452</c:v>
                </c:pt>
                <c:pt idx="132">
                  <c:v>70.216921034540235</c:v>
                </c:pt>
                <c:pt idx="133">
                  <c:v>70.005188271474793</c:v>
                </c:pt>
                <c:pt idx="134">
                  <c:v>69.793639110549833</c:v>
                </c:pt>
                <c:pt idx="135">
                  <c:v>69.582252133339608</c:v>
                </c:pt>
                <c:pt idx="136">
                  <c:v>69.371006086872498</c:v>
                </c:pt>
                <c:pt idx="137">
                  <c:v>69.159879859869591</c:v>
                </c:pt>
                <c:pt idx="138">
                  <c:v>68.948852458280101</c:v>
                </c:pt>
                <c:pt idx="139">
                  <c:v>68.737902980186846</c:v>
                </c:pt>
                <c:pt idx="140">
                  <c:v>68.527010590149402</c:v>
                </c:pt>
                <c:pt idx="141">
                  <c:v>68.316154493046284</c:v>
                </c:pt>
                <c:pt idx="142">
                  <c:v>68.105313907477864</c:v>
                </c:pt>
                <c:pt idx="143">
                  <c:v>67.894468038785675</c:v>
                </c:pt>
                <c:pt idx="144">
                  <c:v>67.683596051742526</c:v>
                </c:pt>
                <c:pt idx="145">
                  <c:v>67.472677042967277</c:v>
                </c:pt>
                <c:pt idx="146">
                  <c:v>67.261690013113508</c:v>
                </c:pt>
                <c:pt idx="147">
                  <c:v>67.050613838885184</c:v>
                </c:pt>
                <c:pt idx="148">
                  <c:v>66.839427244927606</c:v>
                </c:pt>
                <c:pt idx="149">
                  <c:v>66.628108775645345</c:v>
                </c:pt>
                <c:pt idx="150">
                  <c:v>66.416636767000213</c:v>
                </c:pt>
                <c:pt idx="151">
                  <c:v>66.204989318339614</c:v>
                </c:pt>
                <c:pt idx="152">
                  <c:v>65.993144264313798</c:v>
                </c:pt>
                <c:pt idx="153">
                  <c:v>65.781079146937898</c:v>
                </c:pt>
                <c:pt idx="154">
                  <c:v>65.568771187860463</c:v>
                </c:pt>
                <c:pt idx="155">
                  <c:v>65.356197260903485</c:v>
                </c:pt>
                <c:pt idx="156">
                  <c:v>65.143333864943315</c:v>
                </c:pt>
                <c:pt idx="157">
                  <c:v>64.930157097204329</c:v>
                </c:pt>
                <c:pt idx="158">
                  <c:v>64.71664262704644</c:v>
                </c:pt>
                <c:pt idx="159">
                  <c:v>64.502765670330035</c:v>
                </c:pt>
                <c:pt idx="160">
                  <c:v>64.28850096444863</c:v>
                </c:pt>
                <c:pt idx="161">
                  <c:v>64.073822744127341</c:v>
                </c:pt>
                <c:pt idx="162">
                  <c:v>63.858704718089932</c:v>
                </c:pt>
                <c:pt idx="163">
                  <c:v>63.643120046707878</c:v>
                </c:pt>
                <c:pt idx="164">
                  <c:v>63.427041320747549</c:v>
                </c:pt>
                <c:pt idx="165">
                  <c:v>63.210440541344582</c:v>
                </c:pt>
                <c:pt idx="166">
                  <c:v>62.993289101337766</c:v>
                </c:pt>
                <c:pt idx="167">
                  <c:v>62.775557768106374</c:v>
                </c:pt>
                <c:pt idx="168">
                  <c:v>62.557216668060498</c:v>
                </c:pt>
                <c:pt idx="169">
                  <c:v>62.338235272941716</c:v>
                </c:pt>
                <c:pt idx="170">
                  <c:v>62.11858238810148</c:v>
                </c:pt>
                <c:pt idx="171">
                  <c:v>61.898226142927768</c:v>
                </c:pt>
                <c:pt idx="172">
                  <c:v>61.677133983601834</c:v>
                </c:pt>
                <c:pt idx="173">
                  <c:v>61.455272668368657</c:v>
                </c:pt>
                <c:pt idx="174">
                  <c:v>61.232608265512994</c:v>
                </c:pt>
                <c:pt idx="175">
                  <c:v>61.009106154235667</c:v>
                </c:pt>
                <c:pt idx="176">
                  <c:v>60.784731028628165</c:v>
                </c:pt>
                <c:pt idx="177">
                  <c:v>60.55944690494627</c:v>
                </c:pt>
                <c:pt idx="178">
                  <c:v>60.333217132380312</c:v>
                </c:pt>
                <c:pt idx="179">
                  <c:v>60.106004407524061</c:v>
                </c:pt>
                <c:pt idx="180">
                  <c:v>59.87777079273318</c:v>
                </c:pt>
                <c:pt idx="181">
                  <c:v>59.648477738565113</c:v>
                </c:pt>
                <c:pt idx="182">
                  <c:v>59.418086110477702</c:v>
                </c:pt>
                <c:pt idx="183">
                  <c:v>59.186556219960551</c:v>
                </c:pt>
                <c:pt idx="184">
                  <c:v>58.95384786024956</c:v>
                </c:pt>
                <c:pt idx="185">
                  <c:v>58.719920346768717</c:v>
                </c:pt>
                <c:pt idx="186">
                  <c:v>58.484732562414209</c:v>
                </c:pt>
                <c:pt idx="187">
                  <c:v>58.248243007779564</c:v>
                </c:pt>
                <c:pt idx="188">
                  <c:v>58.010409856389202</c:v>
                </c:pt>
                <c:pt idx="189">
                  <c:v>57.771191014980367</c:v>
                </c:pt>
                <c:pt idx="190">
                  <c:v>57.530544188839343</c:v>
                </c:pt>
                <c:pt idx="191">
                  <c:v>57.288426952159696</c:v>
                </c:pt>
                <c:pt idx="192">
                  <c:v>57.044796823352954</c:v>
                </c:pt>
                <c:pt idx="193">
                  <c:v>56.799611345196823</c:v>
                </c:pt>
                <c:pt idx="194">
                  <c:v>56.552828169659158</c:v>
                </c:pt>
                <c:pt idx="195">
                  <c:v>56.304405147192369</c:v>
                </c:pt>
                <c:pt idx="196">
                  <c:v>56.054300420236423</c:v>
                </c:pt>
                <c:pt idx="197">
                  <c:v>55.802472520621542</c:v>
                </c:pt>
                <c:pt idx="198">
                  <c:v>55.548880470506319</c:v>
                </c:pt>
                <c:pt idx="199">
                  <c:v>55.29348388643524</c:v>
                </c:pt>
                <c:pt idx="200">
                  <c:v>55.036243086046007</c:v>
                </c:pt>
                <c:pt idx="201">
                  <c:v>54.777119196907066</c:v>
                </c:pt>
                <c:pt idx="202">
                  <c:v>54.516074266915233</c:v>
                </c:pt>
                <c:pt idx="203">
                  <c:v>54.253071375637525</c:v>
                </c:pt>
                <c:pt idx="204">
                  <c:v>53.988074745940111</c:v>
                </c:pt>
                <c:pt idx="205">
                  <c:v>53.721049855207752</c:v>
                </c:pt>
                <c:pt idx="206">
                  <c:v>53.451963545427645</c:v>
                </c:pt>
                <c:pt idx="207">
                  <c:v>53.180784131383298</c:v>
                </c:pt>
                <c:pt idx="208">
                  <c:v>52.907481506190067</c:v>
                </c:pt>
                <c:pt idx="209">
                  <c:v>52.632027243390198</c:v>
                </c:pt>
                <c:pt idx="210">
                  <c:v>52.354394694826738</c:v>
                </c:pt>
                <c:pt idx="211">
                  <c:v>52.074559083521812</c:v>
                </c:pt>
                <c:pt idx="212">
                  <c:v>51.792497590803272</c:v>
                </c:pt>
                <c:pt idx="213">
                  <c:v>51.50818943694911</c:v>
                </c:pt>
                <c:pt idx="214">
                  <c:v>51.221615954657473</c:v>
                </c:pt>
                <c:pt idx="215">
                  <c:v>50.93276065469329</c:v>
                </c:pt>
                <c:pt idx="216">
                  <c:v>50.641609283119983</c:v>
                </c:pt>
                <c:pt idx="217">
                  <c:v>50.348149869585406</c:v>
                </c:pt>
                <c:pt idx="218">
                  <c:v>50.052372766203604</c:v>
                </c:pt>
                <c:pt idx="219">
                  <c:v>49.75427067665052</c:v>
                </c:pt>
                <c:pt idx="220">
                  <c:v>49.453838675176371</c:v>
                </c:pt>
                <c:pt idx="221">
                  <c:v>49.151074215320847</c:v>
                </c:pt>
                <c:pt idx="222">
                  <c:v>48.845977128214841</c:v>
                </c:pt>
                <c:pt idx="223">
                  <c:v>48.538549610437592</c:v>
                </c:pt>
                <c:pt idx="224">
                  <c:v>48.228796201495491</c:v>
                </c:pt>
                <c:pt idx="225">
                  <c:v>47.916723751078777</c:v>
                </c:pt>
                <c:pt idx="226">
                  <c:v>47.6023413763414</c:v>
                </c:pt>
                <c:pt idx="227">
                  <c:v>47.285660409535176</c:v>
                </c:pt>
                <c:pt idx="228">
                  <c:v>46.966694336408594</c:v>
                </c:pt>
                <c:pt idx="229">
                  <c:v>46.645458725855484</c:v>
                </c:pt>
                <c:pt idx="230">
                  <c:v>46.321971151364927</c:v>
                </c:pt>
                <c:pt idx="231">
                  <c:v>45.9962511048819</c:v>
                </c:pt>
                <c:pt idx="232">
                  <c:v>45.668319903739906</c:v>
                </c:pt>
                <c:pt idx="233">
                  <c:v>45.338200591363773</c:v>
                </c:pt>
                <c:pt idx="234">
                  <c:v>45.005917832477166</c:v>
                </c:pt>
                <c:pt idx="235">
                  <c:v>44.671497803566112</c:v>
                </c:pt>
                <c:pt idx="236">
                  <c:v>44.334968079364174</c:v>
                </c:pt>
                <c:pt idx="237">
                  <c:v>43.99635751612869</c:v>
                </c:pt>
                <c:pt idx="238">
                  <c:v>43.655696132468265</c:v>
                </c:pt>
                <c:pt idx="239">
                  <c:v>43.313014988471885</c:v>
                </c:pt>
                <c:pt idx="240">
                  <c:v>42.968346063862725</c:v>
                </c:pt>
                <c:pt idx="241">
                  <c:v>42.621722135876638</c:v>
                </c:pt>
                <c:pt idx="242">
                  <c:v>42.273176657524694</c:v>
                </c:pt>
                <c:pt idx="243">
                  <c:v>41.922743636864524</c:v>
                </c:pt>
                <c:pt idx="244">
                  <c:v>41.570457517856177</c:v>
                </c:pt>
                <c:pt idx="245">
                  <c:v>41.216353063334438</c:v>
                </c:pt>
                <c:pt idx="246">
                  <c:v>40.86046524057538</c:v>
                </c:pt>
                <c:pt idx="247">
                  <c:v>40.502829109888424</c:v>
                </c:pt>
                <c:pt idx="248">
                  <c:v>40.143479716606919</c:v>
                </c:pt>
                <c:pt idx="249">
                  <c:v>39.782451986802243</c:v>
                </c:pt>
                <c:pt idx="250">
                  <c:v>39.419780626993578</c:v>
                </c:pt>
                <c:pt idx="251">
                  <c:v>39.055500028072203</c:v>
                </c:pt>
                <c:pt idx="252">
                  <c:v>38.689644173616259</c:v>
                </c:pt>
                <c:pt idx="253">
                  <c:v>38.322246552720216</c:v>
                </c:pt>
                <c:pt idx="254">
                  <c:v>37.953340077423256</c:v>
                </c:pt>
                <c:pt idx="255">
                  <c:v>37.582957004779423</c:v>
                </c:pt>
                <c:pt idx="256">
                  <c:v>37.211128863576185</c:v>
                </c:pt>
                <c:pt idx="257">
                  <c:v>36.837886385671837</c:v>
                </c:pt>
                <c:pt idx="258">
                  <c:v>36.463259441895872</c:v>
                </c:pt>
                <c:pt idx="259">
                  <c:v>36.087276982428797</c:v>
                </c:pt>
                <c:pt idx="260">
                  <c:v>35.70996698155178</c:v>
                </c:pt>
                <c:pt idx="261">
                  <c:v>35.331356386644202</c:v>
                </c:pt>
                <c:pt idx="262">
                  <c:v>34.951471071283088</c:v>
                </c:pt>
                <c:pt idx="263">
                  <c:v>34.570335792294451</c:v>
                </c:pt>
                <c:pt idx="264">
                  <c:v>34.187974150589532</c:v>
                </c:pt>
                <c:pt idx="265">
                  <c:v>33.804408555617925</c:v>
                </c:pt>
                <c:pt idx="266">
                  <c:v>33.419660193263958</c:v>
                </c:pt>
                <c:pt idx="267">
                  <c:v>33.033748997012786</c:v>
                </c:pt>
                <c:pt idx="268">
                  <c:v>32.646693622211885</c:v>
                </c:pt>
                <c:pt idx="269">
                  <c:v>32.258511423261218</c:v>
                </c:pt>
                <c:pt idx="270">
                  <c:v>31.869218433567429</c:v>
                </c:pt>
                <c:pt idx="271">
                  <c:v>31.478829348107528</c:v>
                </c:pt>
                <c:pt idx="272">
                  <c:v>31.087357508455025</c:v>
                </c:pt>
                <c:pt idx="273">
                  <c:v>30.694814890133316</c:v>
                </c:pt>
                <c:pt idx="274">
                  <c:v>30.301212092173131</c:v>
                </c:pt>
                <c:pt idx="275">
                  <c:v>29.906558328761946</c:v>
                </c:pt>
                <c:pt idx="276">
                  <c:v>29.510861422889402</c:v>
                </c:pt>
                <c:pt idx="277">
                  <c:v>29.114127801908168</c:v>
                </c:pt>
                <c:pt idx="278">
                  <c:v>28.716362494939478</c:v>
                </c:pt>
                <c:pt idx="279">
                  <c:v>28.31756913207867</c:v>
                </c:pt>
                <c:pt idx="280">
                  <c:v>27.917749945360939</c:v>
                </c:pt>
                <c:pt idx="281">
                  <c:v>27.516905771473041</c:v>
                </c:pt>
                <c:pt idx="282">
                  <c:v>27.115036056208751</c:v>
                </c:pt>
                <c:pt idx="283">
                  <c:v>26.712138860684679</c:v>
                </c:pt>
                <c:pt idx="284">
                  <c:v>26.308210869347871</c:v>
                </c:pt>
                <c:pt idx="285">
                  <c:v>25.903247399826764</c:v>
                </c:pt>
                <c:pt idx="286">
                  <c:v>25.497242414688767</c:v>
                </c:pt>
                <c:pt idx="287">
                  <c:v>25.09018853518706</c:v>
                </c:pt>
                <c:pt idx="288">
                  <c:v>24.682077057093686</c:v>
                </c:pt>
                <c:pt idx="289">
                  <c:v>24.272897968728927</c:v>
                </c:pt>
                <c:pt idx="290">
                  <c:v>23.862639971313744</c:v>
                </c:pt>
                <c:pt idx="291">
                  <c:v>23.451290501781237</c:v>
                </c:pt>
                <c:pt idx="292">
                  <c:v>23.038835758198172</c:v>
                </c:pt>
                <c:pt idx="293">
                  <c:v>22.625260727956732</c:v>
                </c:pt>
                <c:pt idx="294">
                  <c:v>22.210549218903122</c:v>
                </c:pt>
                <c:pt idx="295">
                  <c:v>21.794683893580363</c:v>
                </c:pt>
                <c:pt idx="296">
                  <c:v>21.37764630676714</c:v>
                </c:pt>
                <c:pt idx="297">
                  <c:v>20.959416946495466</c:v>
                </c:pt>
                <c:pt idx="298">
                  <c:v>20.539975278733735</c:v>
                </c:pt>
                <c:pt idx="299">
                  <c:v>20.119299795918046</c:v>
                </c:pt>
                <c:pt idx="300">
                  <c:v>19.697368069512585</c:v>
                </c:pt>
                <c:pt idx="301">
                  <c:v>19.274156806770982</c:v>
                </c:pt>
                <c:pt idx="302">
                  <c:v>18.849641911860587</c:v>
                </c:pt>
                <c:pt idx="303">
                  <c:v>18.423798551500028</c:v>
                </c:pt>
                <c:pt idx="304">
                  <c:v>17.996601225240621</c:v>
                </c:pt>
                <c:pt idx="305">
                  <c:v>17.568023840505486</c:v>
                </c:pt>
                <c:pt idx="306">
                  <c:v>17.138039792472888</c:v>
                </c:pt>
                <c:pt idx="307">
                  <c:v>16.706622048864734</c:v>
                </c:pt>
                <c:pt idx="308">
                  <c:v>16.273743239669393</c:v>
                </c:pt>
                <c:pt idx="309">
                  <c:v>15.839375751793924</c:v>
                </c:pt>
                <c:pt idx="310">
                  <c:v>15.403491828600416</c:v>
                </c:pt>
                <c:pt idx="311">
                  <c:v>14.966063674241767</c:v>
                </c:pt>
                <c:pt idx="312">
                  <c:v>14.52706356266518</c:v>
                </c:pt>
                <c:pt idx="313">
                  <c:v>14.086463951106227</c:v>
                </c:pt>
                <c:pt idx="314">
                  <c:v>13.644237597844626</c:v>
                </c:pt>
                <c:pt idx="315">
                  <c:v>13.200357683941803</c:v>
                </c:pt>
                <c:pt idx="316">
                  <c:v>12.75479793862619</c:v>
                </c:pt>
                <c:pt idx="317">
                  <c:v>12.307532767940149</c:v>
                </c:pt>
                <c:pt idx="318">
                  <c:v>11.858537386205501</c:v>
                </c:pt>
                <c:pt idx="319">
                  <c:v>11.407787949814756</c:v>
                </c:pt>
                <c:pt idx="320">
                  <c:v>10.955261692799885</c:v>
                </c:pt>
                <c:pt idx="321">
                  <c:v>10.500937063584779</c:v>
                </c:pt>
                <c:pt idx="322">
                  <c:v>10.044793862279349</c:v>
                </c:pt>
                <c:pt idx="323">
                  <c:v>9.586813377832188</c:v>
                </c:pt>
                <c:pt idx="324">
                  <c:v>9.1269785243216273</c:v>
                </c:pt>
                <c:pt idx="325">
                  <c:v>8.6652739756367687</c:v>
                </c:pt>
                <c:pt idx="326">
                  <c:v>8.2016862977741916</c:v>
                </c:pt>
                <c:pt idx="327">
                  <c:v>7.7362040779578738</c:v>
                </c:pt>
                <c:pt idx="328">
                  <c:v>7.2688180497888677</c:v>
                </c:pt>
                <c:pt idx="329">
                  <c:v>6.7995212136215022</c:v>
                </c:pt>
                <c:pt idx="330">
                  <c:v>6.3283089513837565</c:v>
                </c:pt>
                <c:pt idx="331">
                  <c:v>5.8551791350672886</c:v>
                </c:pt>
                <c:pt idx="332">
                  <c:v>5.3801322281502699</c:v>
                </c:pt>
                <c:pt idx="333">
                  <c:v>4.9031713792445482</c:v>
                </c:pt>
                <c:pt idx="334">
                  <c:v>4.4243025073125466</c:v>
                </c:pt>
                <c:pt idx="335">
                  <c:v>3.943534377847056</c:v>
                </c:pt>
                <c:pt idx="336">
                  <c:v>3.4608786694735949</c:v>
                </c:pt>
                <c:pt idx="337">
                  <c:v>2.9763500304985717</c:v>
                </c:pt>
                <c:pt idx="338">
                  <c:v>2.4899661250050018</c:v>
                </c:pt>
                <c:pt idx="339">
                  <c:v>2.0017476681753537</c:v>
                </c:pt>
                <c:pt idx="340">
                  <c:v>1.5117184505997336</c:v>
                </c:pt>
                <c:pt idx="341">
                  <c:v>1.0199053514152039</c:v>
                </c:pt>
                <c:pt idx="342">
                  <c:v>0.52633834020482317</c:v>
                </c:pt>
                <c:pt idx="343">
                  <c:v>3.1050467670090551E-2</c:v>
                </c:pt>
                <c:pt idx="344">
                  <c:v>-0.46592215483038485</c:v>
                </c:pt>
                <c:pt idx="345">
                  <c:v>-0.96454038670313458</c:v>
                </c:pt>
                <c:pt idx="346">
                  <c:v>-1.4647621002567184</c:v>
                </c:pt>
                <c:pt idx="347">
                  <c:v>-1.9665422332397813</c:v>
                </c:pt>
                <c:pt idx="348">
                  <c:v>-2.4698328514069527</c:v>
                </c:pt>
                <c:pt idx="349">
                  <c:v>-2.9745832206821019</c:v>
                </c:pt>
                <c:pt idx="350">
                  <c:v>-3.4807398884478409</c:v>
                </c:pt>
                <c:pt idx="351">
                  <c:v>-3.9882467734484166</c:v>
                </c:pt>
                <c:pt idx="352">
                  <c:v>-4.4970452637691221</c:v>
                </c:pt>
                <c:pt idx="353">
                  <c:v>-5.0070743223305474</c:v>
                </c:pt>
                <c:pt idx="354">
                  <c:v>-5.5182705993317507</c:v>
                </c:pt>
                <c:pt idx="355">
                  <c:v>-6.0305685510632649</c:v>
                </c:pt>
                <c:pt idx="356">
                  <c:v>-6.54390056452793</c:v>
                </c:pt>
                <c:pt idx="357">
                  <c:v>-7.0581970873057323</c:v>
                </c:pt>
                <c:pt idx="358">
                  <c:v>-7.5733867621257032</c:v>
                </c:pt>
                <c:pt idx="359">
                  <c:v>-8.0893965656241313</c:v>
                </c:pt>
                <c:pt idx="360">
                  <c:v>-8.6061519507992656</c:v>
                </c:pt>
                <c:pt idx="361">
                  <c:v>-9.123576992696167</c:v>
                </c:pt>
                <c:pt idx="362">
                  <c:v>-9.6415945368934715</c:v>
                </c:pt>
                <c:pt idx="363">
                  <c:v>-10.160126350387838</c:v>
                </c:pt>
                <c:pt idx="364">
                  <c:v>-10.679093274510109</c:v>
                </c:pt>
                <c:pt idx="365">
                  <c:v>-11.198415379533937</c:v>
                </c:pt>
                <c:pt idx="366">
                  <c:v>-11.718012120665907</c:v>
                </c:pt>
                <c:pt idx="367">
                  <c:v>-12.23780249513041</c:v>
                </c:pt>
                <c:pt idx="368">
                  <c:v>-12.757705200088054</c:v>
                </c:pt>
                <c:pt idx="369">
                  <c:v>-13.277638791134518</c:v>
                </c:pt>
                <c:pt idx="370">
                  <c:v>-13.797521841147603</c:v>
                </c:pt>
                <c:pt idx="371">
                  <c:v>-14.317273099250095</c:v>
                </c:pt>
                <c:pt idx="372">
                  <c:v>-14.836811649659738</c:v>
                </c:pt>
                <c:pt idx="373">
                  <c:v>-15.356057070192804</c:v>
                </c:pt>
                <c:pt idx="374">
                  <c:v>-15.874929590177471</c:v>
                </c:pt>
                <c:pt idx="375">
                  <c:v>-16.393350247519258</c:v>
                </c:pt>
                <c:pt idx="376">
                  <c:v>-16.911241044639315</c:v>
                </c:pt>
                <c:pt idx="377">
                  <c:v>-17.428525102986381</c:v>
                </c:pt>
                <c:pt idx="378">
                  <c:v>-17.945126815791131</c:v>
                </c:pt>
                <c:pt idx="379">
                  <c:v>-18.460971998709695</c:v>
                </c:pt>
                <c:pt idx="380">
                  <c:v>-18.975988037962573</c:v>
                </c:pt>
                <c:pt idx="381">
                  <c:v>-19.49010403555469</c:v>
                </c:pt>
                <c:pt idx="382">
                  <c:v>-20.003250951120719</c:v>
                </c:pt>
                <c:pt idx="383">
                  <c:v>-20.51536173991942</c:v>
                </c:pt>
                <c:pt idx="384">
                  <c:v>-21.026371486466072</c:v>
                </c:pt>
                <c:pt idx="385">
                  <c:v>-21.536217533276101</c:v>
                </c:pt>
                <c:pt idx="386">
                  <c:v>-22.044839604167482</c:v>
                </c:pt>
                <c:pt idx="387">
                  <c:v>-22.552179921565244</c:v>
                </c:pt>
                <c:pt idx="388">
                  <c:v>-23.058183317235745</c:v>
                </c:pt>
                <c:pt idx="389">
                  <c:v>-23.562797335889201</c:v>
                </c:pt>
                <c:pt idx="390">
                  <c:v>-24.065972331089725</c:v>
                </c:pt>
                <c:pt idx="391">
                  <c:v>-24.567661552938414</c:v>
                </c:pt>
                <c:pt idx="392">
                  <c:v>-25.067821227011432</c:v>
                </c:pt>
                <c:pt idx="393">
                  <c:v>-25.566410624079658</c:v>
                </c:pt>
                <c:pt idx="394">
                  <c:v>-26.063392120172118</c:v>
                </c:pt>
                <c:pt idx="395">
                  <c:v>-26.558731246603632</c:v>
                </c:pt>
                <c:pt idx="396">
                  <c:v>-27.052396729640051</c:v>
                </c:pt>
                <c:pt idx="397">
                  <c:v>-27.544360519545705</c:v>
                </c:pt>
                <c:pt idx="398">
                  <c:v>-28.034597808829034</c:v>
                </c:pt>
                <c:pt idx="399">
                  <c:v>-28.52308703957636</c:v>
                </c:pt>
                <c:pt idx="400">
                  <c:v>-29.009809899849877</c:v>
                </c:pt>
                <c:pt idx="401">
                  <c:v>-29.494751309205505</c:v>
                </c:pt>
                <c:pt idx="402">
                  <c:v>-29.977899393473439</c:v>
                </c:pt>
                <c:pt idx="403">
                  <c:v>-30.459245449027293</c:v>
                </c:pt>
                <c:pt idx="404">
                  <c:v>-30.938783896853188</c:v>
                </c:pt>
                <c:pt idx="405">
                  <c:v>-31.4165122268058</c:v>
                </c:pt>
                <c:pt idx="406">
                  <c:v>-31.892430932521254</c:v>
                </c:pt>
                <c:pt idx="407">
                  <c:v>-32.366543437517457</c:v>
                </c:pt>
                <c:pt idx="408">
                  <c:v>-32.838856013089426</c:v>
                </c:pt>
                <c:pt idx="409">
                  <c:v>-33.309377688650137</c:v>
                </c:pt>
                <c:pt idx="410">
                  <c:v>-33.778120155227775</c:v>
                </c:pt>
                <c:pt idx="411">
                  <c:v>-34.245097662861859</c:v>
                </c:pt>
                <c:pt idx="412">
                  <c:v>-34.710326912678021</c:v>
                </c:pt>
                <c:pt idx="413">
                  <c:v>-35.173826944437735</c:v>
                </c:pt>
                <c:pt idx="414">
                  <c:v>-35.635619020375913</c:v>
                </c:pt>
                <c:pt idx="415">
                  <c:v>-36.095726506138533</c:v>
                </c:pt>
                <c:pt idx="416">
                  <c:v>-36.554174749632764</c:v>
                </c:pt>
                <c:pt idx="417">
                  <c:v>-37.010990958581196</c:v>
                </c:pt>
                <c:pt idx="418">
                  <c:v>-37.46620407755546</c:v>
                </c:pt>
                <c:pt idx="419">
                  <c:v>-37.919844665234436</c:v>
                </c:pt>
                <c:pt idx="420">
                  <c:v>-38.371944772596713</c:v>
                </c:pt>
                <c:pt idx="421">
                  <c:v>-38.822537822717223</c:v>
                </c:pt>
                <c:pt idx="422">
                  <c:v>-39.271658492792163</c:v>
                </c:pt>
                <c:pt idx="423">
                  <c:v>-39.719342598969888</c:v>
                </c:pt>
                <c:pt idx="424">
                  <c:v>-40.16562698451132</c:v>
                </c:pt>
                <c:pt idx="425">
                  <c:v>-40.610549411751819</c:v>
                </c:pt>
                <c:pt idx="426">
                  <c:v>-41.054148458282434</c:v>
                </c:pt>
                <c:pt idx="427">
                  <c:v>-41.496463417710238</c:v>
                </c:pt>
                <c:pt idx="428">
                  <c:v>-41.937534205307976</c:v>
                </c:pt>
                <c:pt idx="429">
                  <c:v>-42.377401268807908</c:v>
                </c:pt>
                <c:pt idx="430">
                  <c:v>-42.816105504537838</c:v>
                </c:pt>
                <c:pt idx="431">
                  <c:v>-43.253688179059154</c:v>
                </c:pt>
                <c:pt idx="432">
                  <c:v>-43.690190856404371</c:v>
                </c:pt>
                <c:pt idx="433">
                  <c:v>-44.125655330982561</c:v>
                </c:pt>
                <c:pt idx="434">
                  <c:v>-44.560123566165714</c:v>
                </c:pt>
                <c:pt idx="435">
                  <c:v>-44.993637638541408</c:v>
                </c:pt>
                <c:pt idx="436">
                  <c:v>-45.426239687774981</c:v>
                </c:pt>
                <c:pt idx="437">
                  <c:v>-45.857971871996966</c:v>
                </c:pt>
                <c:pt idx="438">
                  <c:v>-46.288876328602335</c:v>
                </c:pt>
                <c:pt idx="439">
                  <c:v>-46.718995140318967</c:v>
                </c:pt>
                <c:pt idx="440">
                  <c:v>-47.148370306388671</c:v>
                </c:pt>
                <c:pt idx="441">
                  <c:v>-47.577043718677913</c:v>
                </c:pt>
                <c:pt idx="442">
                  <c:v>-48.005057142523512</c:v>
                </c:pt>
                <c:pt idx="443">
                  <c:v>-48.432452202101828</c:v>
                </c:pt>
                <c:pt idx="444">
                  <c:v>-48.859270370102564</c:v>
                </c:pt>
                <c:pt idx="445">
                  <c:v>-49.28555296147853</c:v>
                </c:pt>
                <c:pt idx="446">
                  <c:v>-49.711341131031823</c:v>
                </c:pt>
                <c:pt idx="447">
                  <c:v>-50.136675874597607</c:v>
                </c:pt>
                <c:pt idx="448">
                  <c:v>-50.561598033581333</c:v>
                </c:pt>
                <c:pt idx="449">
                  <c:v>-50.986148302598778</c:v>
                </c:pt>
                <c:pt idx="450">
                  <c:v>-51.410367239974363</c:v>
                </c:pt>
                <c:pt idx="451">
                  <c:v>-51.83429528084573</c:v>
                </c:pt>
                <c:pt idx="452">
                  <c:v>-52.257972752629236</c:v>
                </c:pt>
                <c:pt idx="453">
                  <c:v>-52.6814398925967</c:v>
                </c:pt>
                <c:pt idx="454">
                  <c:v>-53.104736867317783</c:v>
                </c:pt>
                <c:pt idx="455">
                  <c:v>-53.527903793725102</c:v>
                </c:pt>
                <c:pt idx="456">
                  <c:v>-53.950980761554334</c:v>
                </c:pt>
                <c:pt idx="457">
                  <c:v>-54.37400785692369</c:v>
                </c:pt>
                <c:pt idx="458">
                  <c:v>-54.797025186807488</c:v>
                </c:pt>
                <c:pt idx="459">
                  <c:v>-55.220072904165789</c:v>
                </c:pt>
                <c:pt idx="460">
                  <c:v>-55.643191233493681</c:v>
                </c:pt>
                <c:pt idx="461">
                  <c:v>-56.066420496549078</c:v>
                </c:pt>
                <c:pt idx="462">
                  <c:v>-56.489801138024582</c:v>
                </c:pt>
                <c:pt idx="463">
                  <c:v>-56.913373750923853</c:v>
                </c:pt>
                <c:pt idx="464">
                  <c:v>-57.33717910140399</c:v>
                </c:pt>
                <c:pt idx="465">
                  <c:v>-57.761258152847212</c:v>
                </c:pt>
                <c:pt idx="466">
                  <c:v>-58.185652088920193</c:v>
                </c:pt>
                <c:pt idx="467">
                  <c:v>-58.610402335380478</c:v>
                </c:pt>
                <c:pt idx="468">
                  <c:v>-59.035550580389248</c:v>
                </c:pt>
                <c:pt idx="469">
                  <c:v>-59.461138793085553</c:v>
                </c:pt>
                <c:pt idx="470">
                  <c:v>-59.88720924017916</c:v>
                </c:pt>
                <c:pt idx="471">
                  <c:v>-60.313804500316849</c:v>
                </c:pt>
                <c:pt idx="472">
                  <c:v>-60.740967475977158</c:v>
                </c:pt>
                <c:pt idx="473">
                  <c:v>-61.168741402648344</c:v>
                </c:pt>
                <c:pt idx="474">
                  <c:v>-61.597169855047255</c:v>
                </c:pt>
                <c:pt idx="475">
                  <c:v>-62.026296750136105</c:v>
                </c:pt>
                <c:pt idx="476">
                  <c:v>-62.456166346702211</c:v>
                </c:pt>
                <c:pt idx="477">
                  <c:v>-62.886823241263215</c:v>
                </c:pt>
                <c:pt idx="478">
                  <c:v>-63.318312360075993</c:v>
                </c:pt>
                <c:pt idx="479">
                  <c:v>-63.750678947027019</c:v>
                </c:pt>
                <c:pt idx="480">
                  <c:v>-64.183968547199299</c:v>
                </c:pt>
                <c:pt idx="481">
                  <c:v>-64.618226985919321</c:v>
                </c:pt>
                <c:pt idx="482">
                  <c:v>-65.053500343105085</c:v>
                </c:pt>
                <c:pt idx="483">
                  <c:v>-65.489834922753303</c:v>
                </c:pt>
                <c:pt idx="484">
                  <c:v>-65.927277217425996</c:v>
                </c:pt>
                <c:pt idx="485">
                  <c:v>-66.365873867619186</c:v>
                </c:pt>
                <c:pt idx="486">
                  <c:v>-66.805671615923984</c:v>
                </c:pt>
                <c:pt idx="487">
                  <c:v>-67.246717255924466</c:v>
                </c:pt>
                <c:pt idx="488">
                  <c:v>-67.689057575801229</c:v>
                </c:pt>
                <c:pt idx="489">
                  <c:v>-68.132739296660063</c:v>
                </c:pt>
                <c:pt idx="490">
                  <c:v>-68.577809005631082</c:v>
                </c:pt>
                <c:pt idx="491">
                  <c:v>-69.024313083837839</c:v>
                </c:pt>
                <c:pt idx="492">
                  <c:v>-69.472297629376271</c:v>
                </c:pt>
                <c:pt idx="493">
                  <c:v>-69.921808375491693</c:v>
                </c:pt>
                <c:pt idx="494">
                  <c:v>-70.372890604195106</c:v>
                </c:pt>
                <c:pt idx="495">
                  <c:v>-70.825589055610891</c:v>
                </c:pt>
                <c:pt idx="496">
                  <c:v>-71.279947833399447</c:v>
                </c:pt>
                <c:pt idx="497">
                  <c:v>-71.736010306653455</c:v>
                </c:pt>
                <c:pt idx="498">
                  <c:v>-72.193819008720482</c:v>
                </c:pt>
                <c:pt idx="499">
                  <c:v>-72.653415533454023</c:v>
                </c:pt>
                <c:pt idx="500">
                  <c:v>-73.114840429447995</c:v>
                </c:pt>
                <c:pt idx="501">
                  <c:v>-73.578133092854671</c:v>
                </c:pt>
                <c:pt idx="502">
                  <c:v>-74.043331659433861</c:v>
                </c:pt>
                <c:pt idx="503">
                  <c:v>-74.510472896514216</c:v>
                </c:pt>
                <c:pt idx="504">
                  <c:v>-74.979592095588814</c:v>
                </c:pt>
                <c:pt idx="505">
                  <c:v>-75.450722966289561</c:v>
                </c:pt>
                <c:pt idx="506">
                  <c:v>-75.923897532505563</c:v>
                </c:pt>
                <c:pt idx="507">
                  <c:v>-76.39914603142725</c:v>
                </c:pt>
                <c:pt idx="508">
                  <c:v>-76.876496816298868</c:v>
                </c:pt>
                <c:pt idx="509">
                  <c:v>-77.355976263656942</c:v>
                </c:pt>
                <c:pt idx="510">
                  <c:v>-77.837608685820442</c:v>
                </c:pt>
                <c:pt idx="511">
                  <c:v>-78.321416249372589</c:v>
                </c:pt>
                <c:pt idx="512">
                  <c:v>-78.807418900343208</c:v>
                </c:pt>
                <c:pt idx="513">
                  <c:v>-79.295634296754685</c:v>
                </c:pt>
                <c:pt idx="514">
                  <c:v>-79.786077749145733</c:v>
                </c:pt>
                <c:pt idx="515">
                  <c:v>-80.278762169623548</c:v>
                </c:pt>
                <c:pt idx="516">
                  <c:v>-80.773698029930557</c:v>
                </c:pt>
                <c:pt idx="517">
                  <c:v>-81.270893328931919</c:v>
                </c:pt>
                <c:pt idx="518">
                  <c:v>-81.770353569851551</c:v>
                </c:pt>
                <c:pt idx="519">
                  <c:v>-82.27208174749623</c:v>
                </c:pt>
                <c:pt idx="520">
                  <c:v>-82.776078345619908</c:v>
                </c:pt>
                <c:pt idx="521">
                  <c:v>-83.282341344484337</c:v>
                </c:pt>
                <c:pt idx="522">
                  <c:v>-83.790866238581586</c:v>
                </c:pt>
                <c:pt idx="523">
                  <c:v>-84.301646064391946</c:v>
                </c:pt>
                <c:pt idx="524">
                  <c:v>-84.814671437960271</c:v>
                </c:pt>
                <c:pt idx="525">
                  <c:v>-85.329930601983079</c:v>
                </c:pt>
                <c:pt idx="526">
                  <c:v>-85.847409482022528</c:v>
                </c:pt>
                <c:pt idx="527">
                  <c:v>-86.36709175138337</c:v>
                </c:pt>
                <c:pt idx="528">
                  <c:v>-86.888958904117658</c:v>
                </c:pt>
                <c:pt idx="529">
                  <c:v>-87.412990335568978</c:v>
                </c:pt>
                <c:pt idx="530">
                  <c:v>-87.939163429798185</c:v>
                </c:pt>
                <c:pt idx="531">
                  <c:v>-88.467453653211606</c:v>
                </c:pt>
                <c:pt idx="532">
                  <c:v>-88.997834653653385</c:v>
                </c:pt>
                <c:pt idx="533">
                  <c:v>-89.530278364221289</c:v>
                </c:pt>
                <c:pt idx="534">
                  <c:v>-90.064755111029342</c:v>
                </c:pt>
                <c:pt idx="535">
                  <c:v>-90.601233724153616</c:v>
                </c:pt>
                <c:pt idx="536">
                  <c:v>-91.13968165098207</c:v>
                </c:pt>
                <c:pt idx="537">
                  <c:v>-91.680065071218735</c:v>
                </c:pt>
                <c:pt idx="538">
                  <c:v>-92.222349012796698</c:v>
                </c:pt>
                <c:pt idx="539">
                  <c:v>-92.766497467989353</c:v>
                </c:pt>
                <c:pt idx="540">
                  <c:v>-93.312473509040856</c:v>
                </c:pt>
                <c:pt idx="541">
                  <c:v>-93.860239402674324</c:v>
                </c:pt>
              </c:numCache>
            </c:numRef>
          </c:yVal>
          <c:smooth val="1"/>
          <c:extLst>
            <c:ext xmlns:c16="http://schemas.microsoft.com/office/drawing/2014/chart" uri="{C3380CC4-5D6E-409C-BE32-E72D297353CC}">
              <c16:uniqueId val="{00000000-2366-45D5-89AB-25312676E0B6}"/>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2366-45D5-89AB-25312676E0B6}"/>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366-45D5-89AB-25312676E0B6}"/>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CCM_Loop_Modeling_Isolated!$O$11</c:f>
              <c:numCache>
                <c:formatCode>0</c:formatCode>
                <c:ptCount val="1"/>
                <c:pt idx="0">
                  <c:v>3.4057847904438514</c:v>
                </c:pt>
              </c:numCache>
            </c:numRef>
          </c:xVal>
          <c:yVal>
            <c:numRef>
              <c:f>CCM_Loop_Modeling_Isolated!$AW$11</c:f>
              <c:numCache>
                <c:formatCode>0.000</c:formatCode>
                <c:ptCount val="1"/>
                <c:pt idx="0">
                  <c:v>111.04681851893437</c:v>
                </c:pt>
              </c:numCache>
            </c:numRef>
          </c:yVal>
          <c:smooth val="0"/>
          <c:extLst>
            <c:ext xmlns:c16="http://schemas.microsoft.com/office/drawing/2014/chart" uri="{C3380CC4-5D6E-409C-BE32-E72D297353CC}">
              <c16:uniqueId val="{00000002-2366-45D5-89AB-25312676E0B6}"/>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2366-45D5-89AB-25312676E0B6}"/>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CCM_Loop_Modeling_Isolated!$O$9</c:f>
              <c:numCache>
                <c:formatCode>0</c:formatCode>
                <c:ptCount val="1"/>
                <c:pt idx="0">
                  <c:v>98243.792032034165</c:v>
                </c:pt>
              </c:numCache>
            </c:numRef>
          </c:xVal>
          <c:yVal>
            <c:numRef>
              <c:f>CCM_Loop_Modeling_Isolated!$AW$9</c:f>
              <c:numCache>
                <c:formatCode>0.000</c:formatCode>
                <c:ptCount val="1"/>
                <c:pt idx="0">
                  <c:v>-28.147356046862395</c:v>
                </c:pt>
              </c:numCache>
            </c:numRef>
          </c:yVal>
          <c:smooth val="1"/>
          <c:extLst>
            <c:ext xmlns:c16="http://schemas.microsoft.com/office/drawing/2014/chart" uri="{C3380CC4-5D6E-409C-BE32-E72D297353CC}">
              <c16:uniqueId val="{00000004-2366-45D5-89AB-25312676E0B6}"/>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2366-45D5-89AB-25312676E0B6}"/>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2366-45D5-89AB-25312676E0B6}"/>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CCM_Loop_Modeling_Isolated!$O$10</c:f>
              <c:numCache>
                <c:formatCode>0</c:formatCode>
                <c:ptCount val="1"/>
                <c:pt idx="0">
                  <c:v>53051647697.298447</c:v>
                </c:pt>
              </c:numCache>
            </c:numRef>
          </c:xVal>
          <c:yVal>
            <c:numRef>
              <c:f>CCM_Loop_Modeling_Isolated!$AW$10</c:f>
              <c:numCache>
                <c:formatCode>0.000</c:formatCode>
                <c:ptCount val="1"/>
                <c:pt idx="0">
                  <c:v>-347.84120356714175</c:v>
                </c:pt>
              </c:numCache>
            </c:numRef>
          </c:yVal>
          <c:smooth val="1"/>
          <c:extLst>
            <c:ext xmlns:c16="http://schemas.microsoft.com/office/drawing/2014/chart" uri="{C3380CC4-5D6E-409C-BE32-E72D297353CC}">
              <c16:uniqueId val="{00000006-2366-45D5-89AB-25312676E0B6}"/>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366-45D5-89AB-25312676E0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CCM_Loop_Modeling_Isolated!$O$12</c:f>
              <c:numCache>
                <c:formatCode>General</c:formatCode>
                <c:ptCount val="1"/>
                <c:pt idx="0">
                  <c:v>49.121896016017075</c:v>
                </c:pt>
              </c:numCache>
            </c:numRef>
          </c:xVal>
          <c:yVal>
            <c:numRef>
              <c:f>CCM_Loop_Modeling_Isolated!$AW$12</c:f>
              <c:numCache>
                <c:formatCode>0.000</c:formatCode>
                <c:ptCount val="1"/>
                <c:pt idx="0">
                  <c:v>85.241552453650385</c:v>
                </c:pt>
              </c:numCache>
            </c:numRef>
          </c:yVal>
          <c:smooth val="1"/>
          <c:extLst>
            <c:ext xmlns:c16="http://schemas.microsoft.com/office/drawing/2014/chart" uri="{C3380CC4-5D6E-409C-BE32-E72D297353CC}">
              <c16:uniqueId val="{00000008-2366-45D5-89AB-25312676E0B6}"/>
            </c:ext>
          </c:extLst>
        </c:ser>
        <c:dLbls>
          <c:showLegendKey val="0"/>
          <c:showVal val="0"/>
          <c:showCatName val="0"/>
          <c:showSerName val="0"/>
          <c:showPercent val="0"/>
          <c:showBubbleSize val="0"/>
        </c:dLbls>
        <c:axId val="589404800"/>
        <c:axId val="589419264"/>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CCM_Loop_Modeling_Isolated!$AX$19:$AX$560</c:f>
              <c:numCache>
                <c:formatCode>General</c:formatCode>
                <c:ptCount val="542"/>
                <c:pt idx="0">
                  <c:v>91.838128006760556</c:v>
                </c:pt>
                <c:pt idx="1">
                  <c:v>91.154878657771363</c:v>
                </c:pt>
                <c:pt idx="2">
                  <c:v>90.477336316606937</c:v>
                </c:pt>
                <c:pt idx="3">
                  <c:v>89.80565067327521</c:v>
                </c:pt>
                <c:pt idx="4">
                  <c:v>89.139979366414011</c:v>
                </c:pt>
                <c:pt idx="5">
                  <c:v>88.480488287490772</c:v>
                </c:pt>
                <c:pt idx="6">
                  <c:v>87.827351822178258</c:v>
                </c:pt>
                <c:pt idx="7">
                  <c:v>87.180753025441064</c:v>
                </c:pt>
                <c:pt idx="8">
                  <c:v>86.540883727147246</c:v>
                </c:pt>
                <c:pt idx="9">
                  <c:v>85.907944565335868</c:v>
                </c:pt>
                <c:pt idx="10">
                  <c:v>85.282144944638517</c:v>
                </c:pt>
                <c:pt idx="11">
                  <c:v>84.663702917743677</c:v>
                </c:pt>
                <c:pt idx="12">
                  <c:v>84.052844988237851</c:v>
                </c:pt>
                <c:pt idx="13">
                  <c:v>83.449805833631459</c:v>
                </c:pt>
                <c:pt idx="14">
                  <c:v>82.854827947892375</c:v>
                </c:pt>
                <c:pt idx="15">
                  <c:v>82.268161203350459</c:v>
                </c:pt>
                <c:pt idx="16">
                  <c:v>81.69006233241754</c:v>
                </c:pt>
                <c:pt idx="17">
                  <c:v>81.120794330159114</c:v>
                </c:pt>
                <c:pt idx="18">
                  <c:v>80.560625779372359</c:v>
                </c:pt>
                <c:pt idx="19">
                  <c:v>80.00983010045114</c:v>
                </c:pt>
                <c:pt idx="20">
                  <c:v>79.46868472895332</c:v>
                </c:pt>
                <c:pt idx="21">
                  <c:v>78.937470224409026</c:v>
                </c:pt>
                <c:pt idx="22">
                  <c:v>78.416469314536656</c:v>
                </c:pt>
                <c:pt idx="23">
                  <c:v>77.905965879615152</c:v>
                </c:pt>
                <c:pt idx="24">
                  <c:v>77.406243882356861</c:v>
                </c:pt>
                <c:pt idx="25">
                  <c:v>76.917586249141749</c:v>
                </c:pt>
                <c:pt idx="26">
                  <c:v>76.440273708983597</c:v>
                </c:pt>
                <c:pt idx="27">
                  <c:v>75.974583597031199</c:v>
                </c:pt>
                <c:pt idx="28">
                  <c:v>75.520788629822846</c:v>
                </c:pt>
                <c:pt idx="29">
                  <c:v>75.079155659812187</c:v>
                </c:pt>
                <c:pt idx="30">
                  <c:v>74.649944416977078</c:v>
                </c:pt>
                <c:pt idx="31">
                  <c:v>74.233406245509499</c:v>
                </c:pt>
                <c:pt idx="32">
                  <c:v>73.829782843705914</c:v>
                </c:pt>
                <c:pt idx="33">
                  <c:v>73.439305015254092</c:v>
                </c:pt>
                <c:pt idx="34">
                  <c:v>73.062191440077797</c:v>
                </c:pt>
                <c:pt idx="35">
                  <c:v>72.698647472827616</c:v>
                </c:pt>
                <c:pt idx="36">
                  <c:v>72.348863976951563</c:v>
                </c:pt>
                <c:pt idx="37">
                  <c:v>72.013016202060115</c:v>
                </c:pt>
                <c:pt idx="38">
                  <c:v>71.691262712022649</c:v>
                </c:pt>
                <c:pt idx="39">
                  <c:v>71.383744370891705</c:v>
                </c:pt>
                <c:pt idx="40">
                  <c:v>71.090583393373009</c:v>
                </c:pt>
                <c:pt idx="41">
                  <c:v>70.811882466105743</c:v>
                </c:pt>
                <c:pt idx="42">
                  <c:v>70.547723945556228</c:v>
                </c:pt>
                <c:pt idx="43">
                  <c:v>70.298169137800357</c:v>
                </c:pt>
                <c:pt idx="44">
                  <c:v>70.063257664921437</c:v>
                </c:pt>
                <c:pt idx="45">
                  <c:v>69.843006922184671</c:v>
                </c:pt>
                <c:pt idx="46">
                  <c:v>69.637411629532551</c:v>
                </c:pt>
                <c:pt idx="47">
                  <c:v>69.44644348034825</c:v>
                </c:pt>
                <c:pt idx="48">
                  <c:v>69.27005088978251</c:v>
                </c:pt>
                <c:pt idx="49">
                  <c:v>69.108158844314048</c:v>
                </c:pt>
                <c:pt idx="50">
                  <c:v>68.960668853548384</c:v>
                </c:pt>
                <c:pt idx="51">
                  <c:v>68.827459004616884</c:v>
                </c:pt>
                <c:pt idx="52">
                  <c:v>68.708384118876154</c:v>
                </c:pt>
                <c:pt idx="53">
                  <c:v>68.60327600996105</c:v>
                </c:pt>
                <c:pt idx="54">
                  <c:v>68.511943841589797</c:v>
                </c:pt>
                <c:pt idx="55">
                  <c:v>68.43417458289143</c:v>
                </c:pt>
                <c:pt idx="56">
                  <c:v>68.369733558390223</c:v>
                </c:pt>
                <c:pt idx="57">
                  <c:v>68.318365089184127</c:v>
                </c:pt>
                <c:pt idx="58">
                  <c:v>68.279793221249506</c:v>
                </c:pt>
                <c:pt idx="59">
                  <c:v>68.253722536260113</c:v>
                </c:pt>
                <c:pt idx="60">
                  <c:v>68.239839039754997</c:v>
                </c:pt>
                <c:pt idx="61">
                  <c:v>68.237811121000433</c:v>
                </c:pt>
                <c:pt idx="62">
                  <c:v>68.247290578429457</c:v>
                </c:pt>
                <c:pt idx="63">
                  <c:v>68.267913704118286</c:v>
                </c:pt>
                <c:pt idx="64">
                  <c:v>68.299302420402142</c:v>
                </c:pt>
                <c:pt idx="65">
                  <c:v>68.341065461409897</c:v>
                </c:pt>
                <c:pt idx="66">
                  <c:v>68.392799592051688</c:v>
                </c:pt>
                <c:pt idx="67">
                  <c:v>68.454090856795503</c:v>
                </c:pt>
                <c:pt idx="68">
                  <c:v>68.524515850446079</c:v>
                </c:pt>
                <c:pt idx="69">
                  <c:v>68.603643003085324</c:v>
                </c:pt>
                <c:pt idx="70">
                  <c:v>68.691033871342611</c:v>
                </c:pt>
                <c:pt idx="71">
                  <c:v>68.786244428252971</c:v>
                </c:pt>
                <c:pt idx="72">
                  <c:v>68.888826344112104</c:v>
                </c:pt>
                <c:pt idx="73">
                  <c:v>68.998328250968086</c:v>
                </c:pt>
                <c:pt idx="74">
                  <c:v>69.114296983675914</c:v>
                </c:pt>
                <c:pt idx="75">
                  <c:v>69.236278790795694</c:v>
                </c:pt>
                <c:pt idx="76">
                  <c:v>69.363820509031143</c:v>
                </c:pt>
                <c:pt idx="77">
                  <c:v>69.496470695362163</c:v>
                </c:pt>
                <c:pt idx="78">
                  <c:v>69.633780711543693</c:v>
                </c:pt>
                <c:pt idx="79">
                  <c:v>69.775305756179492</c:v>
                </c:pt>
                <c:pt idx="80">
                  <c:v>69.920605840169216</c:v>
                </c:pt>
                <c:pt idx="81">
                  <c:v>70.069246701916526</c:v>
                </c:pt>
                <c:pt idx="82">
                  <c:v>70.22080065930615</c:v>
                </c:pt>
                <c:pt idx="83">
                  <c:v>70.374847396075012</c:v>
                </c:pt>
                <c:pt idx="84">
                  <c:v>70.530974680818943</c:v>
                </c:pt>
                <c:pt idx="85">
                  <c:v>70.688779017477884</c:v>
                </c:pt>
                <c:pt idx="86">
                  <c:v>70.847866226740095</c:v>
                </c:pt>
                <c:pt idx="87">
                  <c:v>71.007851958356866</c:v>
                </c:pt>
                <c:pt idx="88">
                  <c:v>71.168362134902736</c:v>
                </c:pt>
                <c:pt idx="89">
                  <c:v>71.329033328003803</c:v>
                </c:pt>
                <c:pt idx="90">
                  <c:v>71.489513068523095</c:v>
                </c:pt>
                <c:pt idx="91">
                  <c:v>71.649460092599128</c:v>
                </c:pt>
                <c:pt idx="92">
                  <c:v>71.80854452580661</c:v>
                </c:pt>
                <c:pt idx="93">
                  <c:v>71.966448008028237</c:v>
                </c:pt>
                <c:pt idx="94">
                  <c:v>72.122863761902494</c:v>
                </c:pt>
                <c:pt idx="95">
                  <c:v>72.277496607936854</c:v>
                </c:pt>
                <c:pt idx="96">
                  <c:v>72.430062929558474</c:v>
                </c:pt>
                <c:pt idx="97">
                  <c:v>72.580290591509765</c:v>
                </c:pt>
                <c:pt idx="98">
                  <c:v>72.727918815082816</c:v>
                </c:pt>
                <c:pt idx="99">
                  <c:v>72.872698013752427</c:v>
                </c:pt>
                <c:pt idx="100">
                  <c:v>73.014389592759656</c:v>
                </c:pt>
                <c:pt idx="101">
                  <c:v>73.152765716206048</c:v>
                </c:pt>
                <c:pt idx="102">
                  <c:v>73.287609045142631</c:v>
                </c:pt>
                <c:pt idx="103">
                  <c:v>73.418712450074963</c:v>
                </c:pt>
                <c:pt idx="104">
                  <c:v>73.545878701200721</c:v>
                </c:pt>
                <c:pt idx="105">
                  <c:v>73.668920139574084</c:v>
                </c:pt>
                <c:pt idx="106">
                  <c:v>73.787658332249961</c:v>
                </c:pt>
                <c:pt idx="107">
                  <c:v>73.901923714315259</c:v>
                </c:pt>
                <c:pt idx="108">
                  <c:v>74.01155522054934</c:v>
                </c:pt>
                <c:pt idx="109">
                  <c:v>74.116399909283587</c:v>
                </c:pt>
                <c:pt idx="110">
                  <c:v>74.216312580861597</c:v>
                </c:pt>
                <c:pt idx="111">
                  <c:v>74.311155392921435</c:v>
                </c:pt>
                <c:pt idx="112">
                  <c:v>74.400797474545215</c:v>
                </c:pt>
                <c:pt idx="113">
                  <c:v>74.48511454114994</c:v>
                </c:pt>
                <c:pt idx="114">
                  <c:v>74.563988511817229</c:v>
                </c:pt>
                <c:pt idx="115">
                  <c:v>74.637307130600249</c:v>
                </c:pt>
                <c:pt idx="116">
                  <c:v>74.704963593180665</c:v>
                </c:pt>
                <c:pt idx="117">
                  <c:v>74.766856180101072</c:v>
                </c:pt>
                <c:pt idx="118">
                  <c:v>74.822887897647547</c:v>
                </c:pt>
                <c:pt idx="119">
                  <c:v>74.872966127328965</c:v>
                </c:pt>
                <c:pt idx="120">
                  <c:v>74.91700228476634</c:v>
                </c:pt>
                <c:pt idx="121">
                  <c:v>74.954911488686292</c:v>
                </c:pt>
                <c:pt idx="122">
                  <c:v>74.986612240614534</c:v>
                </c:pt>
                <c:pt idx="123">
                  <c:v>75.012026115750174</c:v>
                </c:pt>
                <c:pt idx="124">
                  <c:v>75.031077465425</c:v>
                </c:pt>
                <c:pt idx="125">
                  <c:v>75.043693131463201</c:v>
                </c:pt>
                <c:pt idx="126">
                  <c:v>75.049802172686668</c:v>
                </c:pt>
                <c:pt idx="127">
                  <c:v>75.049335603744183</c:v>
                </c:pt>
                <c:pt idx="128">
                  <c:v>75.042226146392181</c:v>
                </c:pt>
                <c:pt idx="129">
                  <c:v>75.02840799329951</c:v>
                </c:pt>
                <c:pt idx="130">
                  <c:v>75.007816584411586</c:v>
                </c:pt>
                <c:pt idx="131">
                  <c:v>74.980388395872495</c:v>
                </c:pt>
                <c:pt idx="132">
                  <c:v>74.946060741476558</c:v>
                </c:pt>
                <c:pt idx="133">
                  <c:v>74.90477158659688</c:v>
                </c:pt>
                <c:pt idx="134">
                  <c:v>74.856459374522785</c:v>
                </c:pt>
                <c:pt idx="135">
                  <c:v>74.801062865124862</c:v>
                </c:pt>
                <c:pt idx="136">
                  <c:v>74.738520985758342</c:v>
                </c:pt>
                <c:pt idx="137">
                  <c:v>74.668772694314356</c:v>
                </c:pt>
                <c:pt idx="138">
                  <c:v>74.591756854324984</c:v>
                </c:pt>
                <c:pt idx="139">
                  <c:v>74.507412122035859</c:v>
                </c:pt>
                <c:pt idx="140">
                  <c:v>74.415676845362881</c:v>
                </c:pt>
                <c:pt idx="141">
                  <c:v>74.316488974660714</c:v>
                </c:pt>
                <c:pt idx="142">
                  <c:v>74.209785985241467</c:v>
                </c:pt>
                <c:pt idx="143">
                  <c:v>74.095504811595148</c:v>
                </c:pt>
                <c:pt idx="144">
                  <c:v>73.973581793277305</c:v>
                </c:pt>
                <c:pt idx="145">
                  <c:v>73.843952632447042</c:v>
                </c:pt>
                <c:pt idx="146">
                  <c:v>73.706552363052651</c:v>
                </c:pt>
                <c:pt idx="147">
                  <c:v>73.561315331682877</c:v>
                </c:pt>
                <c:pt idx="148">
                  <c:v>73.408175190114974</c:v>
                </c:pt>
                <c:pt idx="149">
                  <c:v>73.247064899614088</c:v>
                </c:pt>
                <c:pt idx="150">
                  <c:v>73.077916747050793</c:v>
                </c:pt>
                <c:pt idx="151">
                  <c:v>72.90066237292136</c:v>
                </c:pt>
                <c:pt idx="152">
                  <c:v>72.715232811374307</c:v>
                </c:pt>
                <c:pt idx="153">
                  <c:v>72.521558542356999</c:v>
                </c:pt>
                <c:pt idx="154">
                  <c:v>72.319569556011402</c:v>
                </c:pt>
                <c:pt idx="155">
                  <c:v>72.109195429457827</c:v>
                </c:pt>
                <c:pt idx="156">
                  <c:v>71.890365416115714</c:v>
                </c:pt>
                <c:pt idx="157">
                  <c:v>71.66300854771373</c:v>
                </c:pt>
                <c:pt idx="158">
                  <c:v>71.427053749147518</c:v>
                </c:pt>
                <c:pt idx="159">
                  <c:v>71.182429966340891</c:v>
                </c:pt>
                <c:pt idx="160">
                  <c:v>70.92906630726371</c:v>
                </c:pt>
                <c:pt idx="161">
                  <c:v>70.666892196246351</c:v>
                </c:pt>
                <c:pt idx="162">
                  <c:v>70.39583754172638</c:v>
                </c:pt>
                <c:pt idx="163">
                  <c:v>70.115832917534803</c:v>
                </c:pt>
                <c:pt idx="164">
                  <c:v>69.826809757813393</c:v>
                </c:pt>
                <c:pt idx="165">
                  <c:v>69.528700565618379</c:v>
                </c:pt>
                <c:pt idx="166">
                  <c:v>69.221439135234348</c:v>
                </c:pt>
                <c:pt idx="167">
                  <c:v>68.904960788177519</c:v>
                </c:pt>
                <c:pt idx="168">
                  <c:v>68.579202622814222</c:v>
                </c:pt>
                <c:pt idx="169">
                  <c:v>68.244103777467359</c:v>
                </c:pt>
                <c:pt idx="170">
                  <c:v>67.899605706813659</c:v>
                </c:pt>
                <c:pt idx="171">
                  <c:v>67.545652471300571</c:v>
                </c:pt>
                <c:pt idx="172">
                  <c:v>67.182191039232023</c:v>
                </c:pt>
                <c:pt idx="173">
                  <c:v>66.809171601073245</c:v>
                </c:pt>
                <c:pt idx="174">
                  <c:v>66.426547895432662</c:v>
                </c:pt>
                <c:pt idx="175">
                  <c:v>66.034277546061332</c:v>
                </c:pt>
                <c:pt idx="176">
                  <c:v>65.632322409100084</c:v>
                </c:pt>
                <c:pt idx="177">
                  <c:v>65.220648929667774</c:v>
                </c:pt>
                <c:pt idx="178">
                  <c:v>64.799228506757927</c:v>
                </c:pt>
                <c:pt idx="179">
                  <c:v>64.368037865264071</c:v>
                </c:pt>
                <c:pt idx="180">
                  <c:v>63.927059433804494</c:v>
                </c:pt>
                <c:pt idx="181">
                  <c:v>63.476281726862538</c:v>
                </c:pt>
                <c:pt idx="182">
                  <c:v>63.015699729600264</c:v>
                </c:pt>
                <c:pt idx="183">
                  <c:v>62.545315283535551</c:v>
                </c:pt>
                <c:pt idx="184">
                  <c:v>62.065137471113353</c:v>
                </c:pt>
                <c:pt idx="185">
                  <c:v>61.575182997033025</c:v>
                </c:pt>
                <c:pt idx="186">
                  <c:v>61.075476564031533</c:v>
                </c:pt>
                <c:pt idx="187">
                  <c:v>60.566051240668799</c:v>
                </c:pt>
                <c:pt idx="188">
                  <c:v>60.046948818505214</c:v>
                </c:pt>
                <c:pt idx="189">
                  <c:v>59.518220155925569</c:v>
                </c:pt>
                <c:pt idx="190">
                  <c:v>58.979925505736581</c:v>
                </c:pt>
                <c:pt idx="191">
                  <c:v>58.432134823551195</c:v>
                </c:pt>
                <c:pt idx="192">
                  <c:v>57.874928053884751</c:v>
                </c:pt>
                <c:pt idx="193">
                  <c:v>57.308395390821318</c:v>
                </c:pt>
                <c:pt idx="194">
                  <c:v>56.732637510061686</c:v>
                </c:pt>
                <c:pt idx="195">
                  <c:v>56.147765769157118</c:v>
                </c:pt>
                <c:pt idx="196">
                  <c:v>55.553902372750812</c:v>
                </c:pt>
                <c:pt idx="197">
                  <c:v>54.951180499704243</c:v>
                </c:pt>
                <c:pt idx="198">
                  <c:v>54.339744389085148</c:v>
                </c:pt>
                <c:pt idx="199">
                  <c:v>53.719749382115424</c:v>
                </c:pt>
                <c:pt idx="200">
                  <c:v>53.091361917371366</c:v>
                </c:pt>
                <c:pt idx="201">
                  <c:v>52.454759476730516</c:v>
                </c:pt>
                <c:pt idx="202">
                  <c:v>51.810130479834633</c:v>
                </c:pt>
                <c:pt idx="203">
                  <c:v>51.157674125134236</c:v>
                </c:pt>
                <c:pt idx="204">
                  <c:v>50.497600175936768</c:v>
                </c:pt>
                <c:pt idx="205">
                  <c:v>49.830128690260224</c:v>
                </c:pt>
                <c:pt idx="206">
                  <c:v>49.155489693722338</c:v>
                </c:pt>
                <c:pt idx="207">
                  <c:v>48.473922795147899</c:v>
                </c:pt>
                <c:pt idx="208">
                  <c:v>47.78567674507201</c:v>
                </c:pt>
                <c:pt idx="209">
                  <c:v>47.091008937809995</c:v>
                </c:pt>
                <c:pt idx="210">
                  <c:v>46.39018485830222</c:v>
                </c:pt>
                <c:pt idx="211">
                  <c:v>45.683477475468976</c:v>
                </c:pt>
                <c:pt idx="212">
                  <c:v>44.971166584343798</c:v>
                </c:pt>
                <c:pt idx="213">
                  <c:v>44.253538099786383</c:v>
                </c:pt>
                <c:pt idx="214">
                  <c:v>43.530883305085197</c:v>
                </c:pt>
                <c:pt idx="215">
                  <c:v>42.803498059251417</c:v>
                </c:pt>
                <c:pt idx="216">
                  <c:v>42.071681967262236</c:v>
                </c:pt>
                <c:pt idx="217">
                  <c:v>41.335737517933275</c:v>
                </c:pt>
                <c:pt idx="218">
                  <c:v>40.595969194464338</c:v>
                </c:pt>
                <c:pt idx="219">
                  <c:v>39.852682563027074</c:v>
                </c:pt>
                <c:pt idx="220">
                  <c:v>39.10618334501703</c:v>
                </c:pt>
                <c:pt idx="221">
                  <c:v>38.356776478782656</c:v>
                </c:pt>
                <c:pt idx="222">
                  <c:v>37.604765176774812</c:v>
                </c:pt>
                <c:pt idx="223">
                  <c:v>36.85044998411017</c:v>
                </c:pt>
                <c:pt idx="224">
                  <c:v>36.094127844524017</c:v>
                </c:pt>
                <c:pt idx="225">
                  <c:v>35.336091179602256</c:v>
                </c:pt>
                <c:pt idx="226">
                  <c:v>34.576626987021413</c:v>
                </c:pt>
                <c:pt idx="227">
                  <c:v>33.816015963306086</c:v>
                </c:pt>
                <c:pt idx="228">
                  <c:v>33.054531656322261</c:v>
                </c:pt>
                <c:pt idx="229">
                  <c:v>32.292439652378825</c:v>
                </c:pt>
                <c:pt idx="230">
                  <c:v>31.529996802434329</c:v>
                </c:pt>
                <c:pt idx="231">
                  <c:v>30.767450491439856</c:v>
                </c:pt>
                <c:pt idx="232">
                  <c:v>30.005037954416043</c:v>
                </c:pt>
                <c:pt idx="233">
                  <c:v>29.242985642321571</c:v>
                </c:pt>
                <c:pt idx="234">
                  <c:v>28.481508640293313</c:v>
                </c:pt>
                <c:pt idx="235">
                  <c:v>27.720810140283437</c:v>
                </c:pt>
                <c:pt idx="236">
                  <c:v>26.961080969603572</c:v>
                </c:pt>
                <c:pt idx="237">
                  <c:v>26.202499176358018</c:v>
                </c:pt>
                <c:pt idx="238">
                  <c:v>25.445229672239634</c:v>
                </c:pt>
                <c:pt idx="239">
                  <c:v>24.689423932675915</c:v>
                </c:pt>
                <c:pt idx="240">
                  <c:v>23.935219753841928</c:v>
                </c:pt>
                <c:pt idx="241">
                  <c:v>23.182741065628978</c:v>
                </c:pt>
                <c:pt idx="242">
                  <c:v>22.432097799263929</c:v>
                </c:pt>
                <c:pt idx="243">
                  <c:v>21.683385807910934</c:v>
                </c:pt>
                <c:pt idx="244">
                  <c:v>20.93668683827196</c:v>
                </c:pt>
                <c:pt idx="245">
                  <c:v>20.192068550934398</c:v>
                </c:pt>
                <c:pt idx="246">
                  <c:v>19.449584586973206</c:v>
                </c:pt>
                <c:pt idx="247">
                  <c:v>18.709274678145192</c:v>
                </c:pt>
                <c:pt idx="248">
                  <c:v>17.971164797849838</c:v>
                </c:pt>
                <c:pt idx="249">
                  <c:v>17.235267349949975</c:v>
                </c:pt>
                <c:pt idx="250">
                  <c:v>16.501581392467443</c:v>
                </c:pt>
                <c:pt idx="251">
                  <c:v>15.770092893150466</c:v>
                </c:pt>
                <c:pt idx="252">
                  <c:v>15.040775013922287</c:v>
                </c:pt>
                <c:pt idx="253">
                  <c:v>14.313588421252641</c:v>
                </c:pt>
                <c:pt idx="254">
                  <c:v>13.588481619572518</c:v>
                </c:pt>
                <c:pt idx="255">
                  <c:v>12.8653913049365</c:v>
                </c:pt>
                <c:pt idx="256">
                  <c:v>12.144242736263177</c:v>
                </c:pt>
                <c:pt idx="257">
                  <c:v>11.424950121605653</c:v>
                </c:pt>
                <c:pt idx="258">
                  <c:v>10.707417017063797</c:v>
                </c:pt>
                <c:pt idx="259">
                  <c:v>9.9915367361009864</c:v>
                </c:pt>
                <c:pt idx="260">
                  <c:v>9.277192767204486</c:v>
                </c:pt>
                <c:pt idx="261">
                  <c:v>8.5642591979960105</c:v>
                </c:pt>
                <c:pt idx="262">
                  <c:v>7.8526011440863499</c:v>
                </c:pt>
                <c:pt idx="263">
                  <c:v>7.1420751811373453</c:v>
                </c:pt>
                <c:pt idx="264">
                  <c:v>6.4325297787853586</c:v>
                </c:pt>
                <c:pt idx="265">
                  <c:v>5.7238057352456133</c:v>
                </c:pt>
                <c:pt idx="266">
                  <c:v>5.0157366115960356</c:v>
                </c:pt>
                <c:pt idx="267">
                  <c:v>4.3081491649000405</c:v>
                </c:pt>
                <c:pt idx="268">
                  <c:v>3.6008637794948974</c:v>
                </c:pt>
                <c:pt idx="269">
                  <c:v>2.8936948959105777</c:v>
                </c:pt>
                <c:pt idx="270">
                  <c:v>2.1864514370427743</c:v>
                </c:pt>
                <c:pt idx="271">
                  <c:v>1.4789372313188598</c:v>
                </c:pt>
                <c:pt idx="272">
                  <c:v>0.77095143273905697</c:v>
                </c:pt>
                <c:pt idx="273">
                  <c:v>6.228893776433346E-2</c:v>
                </c:pt>
                <c:pt idx="274">
                  <c:v>-0.64725920085236133</c:v>
                </c:pt>
                <c:pt idx="275">
                  <c:v>-1.3579053631230269</c:v>
                </c:pt>
                <c:pt idx="276">
                  <c:v>-2.0698649535085067</c:v>
                </c:pt>
                <c:pt idx="277">
                  <c:v>-2.7833559949054987</c:v>
                </c:pt>
                <c:pt idx="278">
                  <c:v>-3.4985987245551509</c:v>
                </c:pt>
                <c:pt idx="279">
                  <c:v>-4.2158151914447437</c:v>
                </c:pt>
                <c:pt idx="280">
                  <c:v>-4.9352288547380443</c:v>
                </c:pt>
                <c:pt idx="281">
                  <c:v>-5.657064182748754</c:v>
                </c:pt>
                <c:pt idx="282">
                  <c:v>-6.3815462519596453</c:v>
                </c:pt>
                <c:pt idx="283">
                  <c:v>-7.1089003455850195</c:v>
                </c:pt>
                <c:pt idx="284">
                  <c:v>-7.8393515511930678</c:v>
                </c:pt>
                <c:pt idx="285">
                  <c:v>-8.5731243569165905</c:v>
                </c:pt>
                <c:pt idx="286">
                  <c:v>-9.3104422458190008</c:v>
                </c:pt>
                <c:pt idx="287">
                  <c:v>-10.051527288034222</c:v>
                </c:pt>
                <c:pt idx="288">
                  <c:v>-10.796599730333654</c:v>
                </c:pt>
                <c:pt idx="289">
                  <c:v>-11.545877582868016</c:v>
                </c:pt>
                <c:pt idx="290">
                  <c:v>-12.299576202885865</c:v>
                </c:pt>
                <c:pt idx="291">
                  <c:v>-13.05790787533455</c:v>
                </c:pt>
                <c:pt idx="292">
                  <c:v>-13.821081390342838</c:v>
                </c:pt>
                <c:pt idx="293">
                  <c:v>-14.589301617695664</c:v>
                </c:pt>
                <c:pt idx="294">
                  <c:v>-15.362769078530986</c:v>
                </c:pt>
                <c:pt idx="295">
                  <c:v>-16.141679514624247</c:v>
                </c:pt>
                <c:pt idx="296">
                  <c:v>-16.926223455756737</c:v>
                </c:pt>
                <c:pt idx="297">
                  <c:v>-17.716585785817557</c:v>
                </c:pt>
                <c:pt idx="298">
                  <c:v>-18.512945308442703</c:v>
                </c:pt>
                <c:pt idx="299">
                  <c:v>-19.315474313159427</c:v>
                </c:pt>
                <c:pt idx="300">
                  <c:v>-20.124338143162504</c:v>
                </c:pt>
                <c:pt idx="301">
                  <c:v>-20.939694766028648</c:v>
                </c:pt>
                <c:pt idx="302">
                  <c:v>-21.761694348844486</c:v>
                </c:pt>
                <c:pt idx="303">
                  <c:v>-22.590478839395164</c:v>
                </c:pt>
                <c:pt idx="304">
                  <c:v>-23.426181555233558</c:v>
                </c:pt>
                <c:pt idx="305">
                  <c:v>-24.268926782614646</c:v>
                </c:pt>
                <c:pt idx="306">
                  <c:v>-25.118829387440673</c:v>
                </c:pt>
                <c:pt idx="307">
                  <c:v>-25.975994440512626</c:v>
                </c:pt>
                <c:pt idx="308">
                  <c:v>-26.840516859517887</c:v>
                </c:pt>
                <c:pt idx="309">
                  <c:v>-27.712481070308989</c:v>
                </c:pt>
                <c:pt idx="310">
                  <c:v>-28.591960690125408</c:v>
                </c:pt>
                <c:pt idx="311">
                  <c:v>-29.479018235495669</c:v>
                </c:pt>
                <c:pt idx="312">
                  <c:v>-30.373704857602846</c:v>
                </c:pt>
                <c:pt idx="313">
                  <c:v>-31.276060107929752</c:v>
                </c:pt>
                <c:pt idx="314">
                  <c:v>-32.186111736983854</c:v>
                </c:pt>
                <c:pt idx="315">
                  <c:v>-33.103875528862069</c:v>
                </c:pt>
                <c:pt idx="316">
                  <c:v>-34.029355174337105</c:v>
                </c:pt>
                <c:pt idx="317">
                  <c:v>-34.962542185019728</c:v>
                </c:pt>
                <c:pt idx="318">
                  <c:v>-35.903415850991152</c:v>
                </c:pt>
                <c:pt idx="319">
                  <c:v>-36.851943244092737</c:v>
                </c:pt>
                <c:pt idx="320">
                  <c:v>-37.808079268809401</c:v>
                </c:pt>
                <c:pt idx="321">
                  <c:v>-38.771766762387145</c:v>
                </c:pt>
                <c:pt idx="322">
                  <c:v>-39.74293664548884</c:v>
                </c:pt>
                <c:pt idx="323">
                  <c:v>-40.721508124316863</c:v>
                </c:pt>
                <c:pt idx="324">
                  <c:v>-41.707388944716463</c:v>
                </c:pt>
                <c:pt idx="325">
                  <c:v>-42.700475698311237</c:v>
                </c:pt>
                <c:pt idx="326">
                  <c:v>-43.700654180261751</c:v>
                </c:pt>
                <c:pt idx="327">
                  <c:v>-44.707799797722039</c:v>
                </c:pt>
                <c:pt idx="328">
                  <c:v>-45.721778027541447</c:v>
                </c:pt>
                <c:pt idx="329">
                  <c:v>-46.742444921250701</c:v>
                </c:pt>
                <c:pt idx="330">
                  <c:v>-47.769647654796955</c:v>
                </c:pt>
                <c:pt idx="331">
                  <c:v>-48.803225120003518</c:v>
                </c:pt>
                <c:pt idx="332">
                  <c:v>-49.843008554173927</c:v>
                </c:pt>
                <c:pt idx="333">
                  <c:v>-50.888822203801631</c:v>
                </c:pt>
                <c:pt idx="334">
                  <c:v>-51.940484017848931</c:v>
                </c:pt>
                <c:pt idx="335">
                  <c:v>-52.997806365656615</c:v>
                </c:pt>
                <c:pt idx="336">
                  <c:v>-54.060596774154241</c:v>
                </c:pt>
                <c:pt idx="337">
                  <c:v>-55.128658678737729</c:v>
                </c:pt>
                <c:pt idx="338">
                  <c:v>-56.20179218189103</c:v>
                </c:pt>
                <c:pt idx="339">
                  <c:v>-57.279794813457414</c:v>
                </c:pt>
                <c:pt idx="340">
                  <c:v>-58.362462286330079</c:v>
                </c:pt>
                <c:pt idx="341">
                  <c:v>-59.449589241296643</c:v>
                </c:pt>
                <c:pt idx="342">
                  <c:v>-60.540969974772587</c:v>
                </c:pt>
                <c:pt idx="343">
                  <c:v>-61.636399143299315</c:v>
                </c:pt>
                <c:pt idx="344">
                  <c:v>-62.735672438826235</c:v>
                </c:pt>
                <c:pt idx="345">
                  <c:v>-63.83858722908127</c:v>
                </c:pt>
                <c:pt idx="346">
                  <c:v>-64.944943157640111</c:v>
                </c:pt>
                <c:pt idx="347">
                  <c:v>-66.054542698691407</c:v>
                </c:pt>
                <c:pt idx="348">
                  <c:v>-67.16719166197457</c:v>
                </c:pt>
                <c:pt idx="349">
                  <c:v>-68.282699643823761</c:v>
                </c:pt>
                <c:pt idx="350">
                  <c:v>-69.400880420850854</c:v>
                </c:pt>
                <c:pt idx="351">
                  <c:v>-70.521552283349791</c:v>
                </c:pt>
                <c:pt idx="352">
                  <c:v>-71.644538306142806</c:v>
                </c:pt>
                <c:pt idx="353">
                  <c:v>-72.76966655522763</c:v>
                </c:pt>
                <c:pt idx="354">
                  <c:v>-73.896770229234605</c:v>
                </c:pt>
                <c:pt idx="355">
                  <c:v>-75.025687735352065</c:v>
                </c:pt>
                <c:pt idx="356">
                  <c:v>-76.156262700063465</c:v>
                </c:pt>
                <c:pt idx="357">
                  <c:v>-77.288343915647943</c:v>
                </c:pt>
                <c:pt idx="358">
                  <c:v>-78.421785224056137</c:v>
                </c:pt>
                <c:pt idx="359">
                  <c:v>-79.556445340360725</c:v>
                </c:pt>
                <c:pt idx="360">
                  <c:v>-80.692187618567814</c:v>
                </c:pt>
                <c:pt idx="361">
                  <c:v>-81.828879763113207</c:v>
                </c:pt>
                <c:pt idx="362">
                  <c:v>-82.966393489875671</c:v>
                </c:pt>
                <c:pt idx="363">
                  <c:v>-84.104604141000337</c:v>
                </c:pt>
                <c:pt idx="364">
                  <c:v>-85.243390258249534</c:v>
                </c:pt>
                <c:pt idx="365">
                  <c:v>-86.382633119961611</c:v>
                </c:pt>
                <c:pt idx="366">
                  <c:v>-87.52221624703067</c:v>
                </c:pt>
                <c:pt idx="367">
                  <c:v>-88.66202488358158</c:v>
                </c:pt>
                <c:pt idx="368">
                  <c:v>-89.80194545825087</c:v>
                </c:pt>
                <c:pt idx="369">
                  <c:v>-90.941865032128717</c:v>
                </c:pt>
                <c:pt idx="370">
                  <c:v>-92.081670739558476</c:v>
                </c:pt>
                <c:pt idx="371">
                  <c:v>-93.221249228031027</c:v>
                </c:pt>
                <c:pt idx="372">
                  <c:v>-94.360486103428684</c:v>
                </c:pt>
                <c:pt idx="373">
                  <c:v>-95.499265386826551</c:v>
                </c:pt>
                <c:pt idx="374">
                  <c:v>-96.63746898895748</c:v>
                </c:pt>
                <c:pt idx="375">
                  <c:v>-97.774976208298114</c:v>
                </c:pt>
                <c:pt idx="376">
                  <c:v>-98.911663258520889</c:v>
                </c:pt>
                <c:pt idx="377">
                  <c:v>-100.04740283081033</c:v>
                </c:pt>
                <c:pt idx="378">
                  <c:v>-101.18206369622308</c:v>
                </c:pt>
                <c:pt idx="379">
                  <c:v>-102.31551035292151</c:v>
                </c:pt>
                <c:pt idx="380">
                  <c:v>-103.44760272270014</c:v>
                </c:pt>
                <c:pt idx="381">
                  <c:v>-104.57819590077558</c:v>
                </c:pt>
                <c:pt idx="382">
                  <c:v>-105.70713996231754</c:v>
                </c:pt>
                <c:pt idx="383">
                  <c:v>-106.83427982866444</c:v>
                </c:pt>
                <c:pt idx="384">
                  <c:v>-107.95945519560115</c:v>
                </c:pt>
                <c:pt idx="385">
                  <c:v>-109.08250052547567</c:v>
                </c:pt>
                <c:pt idx="386">
                  <c:v>-110.20324510431055</c:v>
                </c:pt>
                <c:pt idx="387">
                  <c:v>-111.32151316442619</c:v>
                </c:pt>
                <c:pt idx="388">
                  <c:v>-112.43712407243105</c:v>
                </c:pt>
                <c:pt idx="389">
                  <c:v>-113.54989258178253</c:v>
                </c:pt>
                <c:pt idx="390">
                  <c:v>-114.65962914846493</c:v>
                </c:pt>
                <c:pt idx="391">
                  <c:v>-115.76614030768236</c:v>
                </c:pt>
                <c:pt idx="392">
                  <c:v>-116.86922910884668</c:v>
                </c:pt>
                <c:pt idx="393">
                  <c:v>-117.96869560553084</c:v>
                </c:pt>
                <c:pt idx="394">
                  <c:v>-119.06433739651231</c:v>
                </c:pt>
                <c:pt idx="395">
                  <c:v>-120.1559502134989</c:v>
                </c:pt>
                <c:pt idx="396">
                  <c:v>-121.24332855067156</c:v>
                </c:pt>
                <c:pt idx="397">
                  <c:v>-122.32626633076636</c:v>
                </c:pt>
                <c:pt idx="398">
                  <c:v>-123.40455760207935</c:v>
                </c:pt>
                <c:pt idx="399">
                  <c:v>-124.4779972604961</c:v>
                </c:pt>
                <c:pt idx="400">
                  <c:v>-125.54638179045078</c:v>
                </c:pt>
                <c:pt idx="401">
                  <c:v>-126.60951001859399</c:v>
                </c:pt>
                <c:pt idx="402">
                  <c:v>-127.66718387389419</c:v>
                </c:pt>
                <c:pt idx="403">
                  <c:v>-128.71920914793259</c:v>
                </c:pt>
                <c:pt idx="404">
                  <c:v>-129.7653962492449</c:v>
                </c:pt>
                <c:pt idx="405">
                  <c:v>-130.80556094574274</c:v>
                </c:pt>
                <c:pt idx="406">
                  <c:v>-131.83952508949656</c:v>
                </c:pt>
                <c:pt idx="407">
                  <c:v>-132.86711731845077</c:v>
                </c:pt>
                <c:pt idx="408">
                  <c:v>-133.88817373002729</c:v>
                </c:pt>
                <c:pt idx="409">
                  <c:v>-134.90253852196193</c:v>
                </c:pt>
                <c:pt idx="410">
                  <c:v>-135.91006459619499</c:v>
                </c:pt>
                <c:pt idx="411">
                  <c:v>-136.91061412210502</c:v>
                </c:pt>
                <c:pt idx="412">
                  <c:v>-137.90405905590345</c:v>
                </c:pt>
                <c:pt idx="413">
                  <c:v>-138.89028161351987</c:v>
                </c:pt>
                <c:pt idx="414">
                  <c:v>-139.86917469485843</c:v>
                </c:pt>
                <c:pt idx="415">
                  <c:v>-140.8406422578343</c:v>
                </c:pt>
                <c:pt idx="416">
                  <c:v>-141.8045996411189</c:v>
                </c:pt>
                <c:pt idx="417">
                  <c:v>-142.76097383504839</c:v>
                </c:pt>
                <c:pt idx="418">
                  <c:v>-143.70970370061923</c:v>
                </c:pt>
                <c:pt idx="419">
                  <c:v>-144.65074013697478</c:v>
                </c:pt>
                <c:pt idx="420">
                  <c:v>-145.58404619819251</c:v>
                </c:pt>
                <c:pt idx="421">
                  <c:v>-146.50959716058861</c:v>
                </c:pt>
                <c:pt idx="422">
                  <c:v>-147.42738054209227</c:v>
                </c:pt>
                <c:pt idx="423">
                  <c:v>-148.33739607556598</c:v>
                </c:pt>
                <c:pt idx="424">
                  <c:v>-149.23965563818598</c:v>
                </c:pt>
                <c:pt idx="425">
                  <c:v>-150.13418313925095</c:v>
                </c:pt>
                <c:pt idx="426">
                  <c:v>-151.021014368934</c:v>
                </c:pt>
                <c:pt idx="427">
                  <c:v>-151.90019681063919</c:v>
                </c:pt>
                <c:pt idx="428">
                  <c:v>-152.77178941972139</c:v>
                </c:pt>
                <c:pt idx="429">
                  <c:v>-153.63586237137983</c:v>
                </c:pt>
                <c:pt idx="430">
                  <c:v>-154.49249678054224</c:v>
                </c:pt>
                <c:pt idx="431">
                  <c:v>-155.34178439656415</c:v>
                </c:pt>
                <c:pt idx="432">
                  <c:v>-156.18382727550218</c:v>
                </c:pt>
                <c:pt idx="433">
                  <c:v>-157.01873743266555</c:v>
                </c:pt>
                <c:pt idx="434">
                  <c:v>-157.84663647803893</c:v>
                </c:pt>
                <c:pt idx="435">
                  <c:v>-158.66765523706414</c:v>
                </c:pt>
                <c:pt idx="436">
                  <c:v>-159.48193335914027</c:v>
                </c:pt>
                <c:pt idx="437">
                  <c:v>-160.28961891603709</c:v>
                </c:pt>
                <c:pt idx="438">
                  <c:v>-161.09086799228368</c:v>
                </c:pt>
                <c:pt idx="439">
                  <c:v>-161.885844269411</c:v>
                </c:pt>
                <c:pt idx="440">
                  <c:v>-162.67471860576481</c:v>
                </c:pt>
                <c:pt idx="441">
                  <c:v>-163.45766861343637</c:v>
                </c:pt>
                <c:pt idx="442">
                  <c:v>-164.23487823367438</c:v>
                </c:pt>
                <c:pt idx="443">
                  <c:v>-165.00653731198219</c:v>
                </c:pt>
                <c:pt idx="444">
                  <c:v>-165.77284117392631</c:v>
                </c:pt>
                <c:pt idx="445">
                  <c:v>-166.5339902025222</c:v>
                </c:pt>
                <c:pt idx="446">
                  <c:v>-167.29018941790599</c:v>
                </c:pt>
                <c:pt idx="447">
                  <c:v>-168.04164805984612</c:v>
                </c:pt>
                <c:pt idx="448">
                  <c:v>-168.78857917350771</c:v>
                </c:pt>
                <c:pt idx="449">
                  <c:v>-169.53119919874922</c:v>
                </c:pt>
                <c:pt idx="450">
                  <c:v>-170.26972756310212</c:v>
                </c:pt>
                <c:pt idx="451">
                  <c:v>-171.00438627847134</c:v>
                </c:pt>
                <c:pt idx="452">
                  <c:v>-171.73539954148515</c:v>
                </c:pt>
                <c:pt idx="453">
                  <c:v>-172.46299333733447</c:v>
                </c:pt>
                <c:pt idx="454">
                  <c:v>-173.18739504684612</c:v>
                </c:pt>
                <c:pt idx="455">
                  <c:v>-173.90883305647236</c:v>
                </c:pt>
                <c:pt idx="456">
                  <c:v>-174.62753637080039</c:v>
                </c:pt>
                <c:pt idx="457">
                  <c:v>-175.34373422715166</c:v>
                </c:pt>
                <c:pt idx="458">
                  <c:v>-176.05765571177687</c:v>
                </c:pt>
                <c:pt idx="459">
                  <c:v>-176.76952937713958</c:v>
                </c:pt>
                <c:pt idx="460">
                  <c:v>-177.47958285974698</c:v>
                </c:pt>
                <c:pt idx="461">
                  <c:v>-178.18804249798333</c:v>
                </c:pt>
                <c:pt idx="462">
                  <c:v>-178.89513294939886</c:v>
                </c:pt>
                <c:pt idx="463">
                  <c:v>-179.60107680691954</c:v>
                </c:pt>
                <c:pt idx="464">
                  <c:v>179.6939057865373</c:v>
                </c:pt>
                <c:pt idx="465">
                  <c:v>178.98959752552386</c:v>
                </c:pt>
                <c:pt idx="466">
                  <c:v>178.28578433203592</c:v>
                </c:pt>
                <c:pt idx="467">
                  <c:v>177.58225574838536</c:v>
                </c:pt>
                <c:pt idx="468">
                  <c:v>176.87880533329451</c:v>
                </c:pt>
                <c:pt idx="469">
                  <c:v>176.1752310614516</c:v>
                </c:pt>
                <c:pt idx="470">
                  <c:v>175.47133572669239</c:v>
                </c:pt>
                <c:pt idx="471">
                  <c:v>174.76692734886493</c:v>
                </c:pt>
                <c:pt idx="472">
                  <c:v>174.0618195843382</c:v>
                </c:pt>
                <c:pt idx="473">
                  <c:v>173.35583213998768</c:v>
                </c:pt>
                <c:pt idx="474">
                  <c:v>172.64879119037036</c:v>
                </c:pt>
                <c:pt idx="475">
                  <c:v>171.94052979766494</c:v>
                </c:pt>
                <c:pt idx="476">
                  <c:v>171.23088833380098</c:v>
                </c:pt>
                <c:pt idx="477">
                  <c:v>170.51971490405339</c:v>
                </c:pt>
                <c:pt idx="478">
                  <c:v>169.80686577121438</c:v>
                </c:pt>
                <c:pt idx="479">
                  <c:v>169.09220577928374</c:v>
                </c:pt>
                <c:pt idx="480">
                  <c:v>168.37560877544988</c:v>
                </c:pt>
                <c:pt idx="481">
                  <c:v>167.65695802895416</c:v>
                </c:pt>
                <c:pt idx="482">
                  <c:v>166.93614664525052</c:v>
                </c:pt>
                <c:pt idx="483">
                  <c:v>166.21307797369437</c:v>
                </c:pt>
                <c:pt idx="484">
                  <c:v>165.48766600681645</c:v>
                </c:pt>
                <c:pt idx="485">
                  <c:v>164.75983576906268</c:v>
                </c:pt>
                <c:pt idx="486">
                  <c:v>164.02952369271378</c:v>
                </c:pt>
                <c:pt idx="487">
                  <c:v>163.29667797854154</c:v>
                </c:pt>
                <c:pt idx="488">
                  <c:v>162.5612589386142</c:v>
                </c:pt>
                <c:pt idx="489">
                  <c:v>161.82323931852937</c:v>
                </c:pt>
                <c:pt idx="490">
                  <c:v>161.08260459624941</c:v>
                </c:pt>
                <c:pt idx="491">
                  <c:v>160.33935325462085</c:v>
                </c:pt>
                <c:pt idx="492">
                  <c:v>159.59349702459329</c:v>
                </c:pt>
                <c:pt idx="493">
                  <c:v>158.84506109612963</c:v>
                </c:pt>
                <c:pt idx="494">
                  <c:v>158.09408429378652</c:v>
                </c:pt>
                <c:pt idx="495">
                  <c:v>157.34061921398302</c:v>
                </c:pt>
                <c:pt idx="496">
                  <c:v>156.58473232104475</c:v>
                </c:pt>
                <c:pt idx="497">
                  <c:v>155.82650399921823</c:v>
                </c:pt>
                <c:pt idx="498">
                  <c:v>155.0660285580112</c:v>
                </c:pt>
                <c:pt idx="499">
                  <c:v>154.3034141883987</c:v>
                </c:pt>
                <c:pt idx="500">
                  <c:v>153.53878286768273</c:v>
                </c:pt>
                <c:pt idx="501">
                  <c:v>152.77227021107456</c:v>
                </c:pt>
                <c:pt idx="502">
                  <c:v>152.0040252683921</c:v>
                </c:pt>
                <c:pt idx="503">
                  <c:v>151.23421026462702</c:v>
                </c:pt>
                <c:pt idx="504">
                  <c:v>150.46300028355975</c:v>
                </c:pt>
                <c:pt idx="505">
                  <c:v>149.690582894014</c:v>
                </c:pt>
                <c:pt idx="506">
                  <c:v>148.91715771882909</c:v>
                </c:pt>
                <c:pt idx="507">
                  <c:v>148.14293594712598</c:v>
                </c:pt>
                <c:pt idx="508">
                  <c:v>147.36813979093699</c:v>
                </c:pt>
                <c:pt idx="509">
                  <c:v>146.59300188781654</c:v>
                </c:pt>
                <c:pt idx="510">
                  <c:v>145.81776465156884</c:v>
                </c:pt>
                <c:pt idx="511">
                  <c:v>145.04267957375097</c:v>
                </c:pt>
                <c:pt idx="512">
                  <c:v>144.26800647913498</c:v>
                </c:pt>
                <c:pt idx="513">
                  <c:v>143.49401273879485</c:v>
                </c:pt>
                <c:pt idx="514">
                  <c:v>142.72097244495765</c:v>
                </c:pt>
                <c:pt idx="515">
                  <c:v>141.94916555218339</c:v>
                </c:pt>
                <c:pt idx="516">
                  <c:v>141.17887698981767</c:v>
                </c:pt>
                <c:pt idx="517">
                  <c:v>140.41039575100137</c:v>
                </c:pt>
                <c:pt idx="518">
                  <c:v>139.64401396378764</c:v>
                </c:pt>
                <c:pt idx="519">
                  <c:v>138.88002595013444</c:v>
                </c:pt>
                <c:pt idx="520">
                  <c:v>138.11872727867942</c:v>
                </c:pt>
                <c:pt idx="521">
                  <c:v>137.3604138172802</c:v>
                </c:pt>
                <c:pt idx="522">
                  <c:v>136.60538079131368</c:v>
                </c:pt>
                <c:pt idx="523">
                  <c:v>135.85392185364063</c:v>
                </c:pt>
                <c:pt idx="524">
                  <c:v>135.10632817202688</c:v>
                </c:pt>
                <c:pt idx="525">
                  <c:v>134.36288753958871</c:v>
                </c:pt>
                <c:pt idx="526">
                  <c:v>133.62388351356748</c:v>
                </c:pt>
                <c:pt idx="527">
                  <c:v>132.88959458740982</c:v>
                </c:pt>
                <c:pt idx="528">
                  <c:v>132.16029340075067</c:v>
                </c:pt>
                <c:pt idx="529">
                  <c:v>131.43624599145733</c:v>
                </c:pt>
                <c:pt idx="530">
                  <c:v>130.71771109345607</c:v>
                </c:pt>
                <c:pt idx="531">
                  <c:v>130.00493948353241</c:v>
                </c:pt>
                <c:pt idx="532">
                  <c:v>129.29817337980882</c:v>
                </c:pt>
                <c:pt idx="533">
                  <c:v>128.59764589405873</c:v>
                </c:pt>
                <c:pt idx="534">
                  <c:v>127.90358053948817</c:v>
                </c:pt>
                <c:pt idx="535">
                  <c:v>127.21619079508135</c:v>
                </c:pt>
                <c:pt idx="536">
                  <c:v>126.5356797270891</c:v>
                </c:pt>
                <c:pt idx="537">
                  <c:v>125.86223966772937</c:v>
                </c:pt>
                <c:pt idx="538">
                  <c:v>125.19605195070383</c:v>
                </c:pt>
                <c:pt idx="539">
                  <c:v>124.53728670266374</c:v>
                </c:pt>
                <c:pt idx="540">
                  <c:v>123.88610268936657</c:v>
                </c:pt>
                <c:pt idx="541">
                  <c:v>123.24264721486293</c:v>
                </c:pt>
              </c:numCache>
            </c:numRef>
          </c:yVal>
          <c:smooth val="1"/>
          <c:extLst>
            <c:ext xmlns:c16="http://schemas.microsoft.com/office/drawing/2014/chart" uri="{C3380CC4-5D6E-409C-BE32-E72D297353CC}">
              <c16:uniqueId val="{00000009-2366-45D5-89AB-25312676E0B6}"/>
            </c:ext>
          </c:extLst>
        </c:ser>
        <c:dLbls>
          <c:showLegendKey val="0"/>
          <c:showVal val="0"/>
          <c:showCatName val="0"/>
          <c:showSerName val="0"/>
          <c:showPercent val="0"/>
          <c:showBubbleSize val="0"/>
        </c:dLbls>
        <c:axId val="589562624"/>
        <c:axId val="589421184"/>
      </c:scatterChart>
      <c:valAx>
        <c:axId val="589404800"/>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589419264"/>
        <c:crosses val="autoZero"/>
        <c:crossBetween val="midCat"/>
      </c:valAx>
      <c:valAx>
        <c:axId val="589419264"/>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589404800"/>
        <c:crosses val="autoZero"/>
        <c:crossBetween val="midCat"/>
        <c:majorUnit val="20"/>
        <c:minorUnit val="10"/>
      </c:valAx>
      <c:valAx>
        <c:axId val="589421184"/>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589562624"/>
        <c:crosses val="max"/>
        <c:crossBetween val="midCat"/>
        <c:majorUnit val="90"/>
        <c:minorUnit val="45"/>
      </c:valAx>
      <c:valAx>
        <c:axId val="589562624"/>
        <c:scaling>
          <c:logBase val="10"/>
          <c:orientation val="minMax"/>
        </c:scaling>
        <c:delete val="1"/>
        <c:axPos val="b"/>
        <c:numFmt formatCode="0.00" sourceLinked="1"/>
        <c:majorTickMark val="out"/>
        <c:minorTickMark val="none"/>
        <c:tickLblPos val="nextTo"/>
        <c:crossAx val="589421184"/>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CCM_Loop_Modeling_Isolated!$AT$19:$AT$560</c:f>
              <c:numCache>
                <c:formatCode>General</c:formatCode>
                <c:ptCount val="542"/>
                <c:pt idx="0">
                  <c:v>19.093630613786051</c:v>
                </c:pt>
                <c:pt idx="1">
                  <c:v>19.057506932848135</c:v>
                </c:pt>
                <c:pt idx="2">
                  <c:v>19.020149361441991</c:v>
                </c:pt>
                <c:pt idx="3">
                  <c:v>18.981533792368491</c:v>
                </c:pt>
                <c:pt idx="4">
                  <c:v>18.941637025820242</c:v>
                </c:pt>
                <c:pt idx="5">
                  <c:v>18.900436887433987</c:v>
                </c:pt>
                <c:pt idx="6">
                  <c:v>18.857912349577202</c:v>
                </c:pt>
                <c:pt idx="7">
                  <c:v>18.814043655370391</c:v>
                </c:pt>
                <c:pt idx="8">
                  <c:v>18.76881244488877</c:v>
                </c:pt>
                <c:pt idx="9">
                  <c:v>18.722201882926981</c:v>
                </c:pt>
                <c:pt idx="10">
                  <c:v>18.674196787654246</c:v>
                </c:pt>
                <c:pt idx="11">
                  <c:v>18.624783759434756</c:v>
                </c:pt>
                <c:pt idx="12">
                  <c:v>18.573951309036293</c:v>
                </c:pt>
                <c:pt idx="13">
                  <c:v>18.521689984406894</c:v>
                </c:pt>
                <c:pt idx="14">
                  <c:v>18.467992495158395</c:v>
                </c:pt>
                <c:pt idx="15">
                  <c:v>18.412853833864336</c:v>
                </c:pt>
                <c:pt idx="16">
                  <c:v>18.356271393253326</c:v>
                </c:pt>
                <c:pt idx="17">
                  <c:v>18.298245078362847</c:v>
                </c:pt>
                <c:pt idx="18">
                  <c:v>18.238777412709744</c:v>
                </c:pt>
                <c:pt idx="19">
                  <c:v>18.177873637535708</c:v>
                </c:pt>
                <c:pt idx="20">
                  <c:v>18.115541803197406</c:v>
                </c:pt>
                <c:pt idx="21">
                  <c:v>18.051792851792431</c:v>
                </c:pt>
                <c:pt idx="22">
                  <c:v>17.986640690143531</c:v>
                </c:pt>
                <c:pt idx="23">
                  <c:v>17.92010225230857</c:v>
                </c:pt>
                <c:pt idx="24">
                  <c:v>17.852197550831711</c:v>
                </c:pt>
                <c:pt idx="25">
                  <c:v>17.782949716017168</c:v>
                </c:pt>
                <c:pt idx="26">
                  <c:v>17.71238502257566</c:v>
                </c:pt>
                <c:pt idx="27">
                  <c:v>17.640532903074217</c:v>
                </c:pt>
                <c:pt idx="28">
                  <c:v>17.567425947704457</c:v>
                </c:pt>
                <c:pt idx="29">
                  <c:v>17.493099889981313</c:v>
                </c:pt>
                <c:pt idx="30">
                  <c:v>17.41759357807825</c:v>
                </c:pt>
                <c:pt idx="31">
                  <c:v>17.340948931611408</c:v>
                </c:pt>
                <c:pt idx="32">
                  <c:v>17.263210883787011</c:v>
                </c:pt>
                <c:pt idx="33">
                  <c:v>17.184427308936673</c:v>
                </c:pt>
                <c:pt idx="34">
                  <c:v>17.104648935569923</c:v>
                </c:pt>
                <c:pt idx="35">
                  <c:v>17.023929245182288</c:v>
                </c:pt>
                <c:pt idx="36">
                  <c:v>16.942324357159627</c:v>
                </c:pt>
                <c:pt idx="37">
                  <c:v>16.859892900223691</c:v>
                </c:pt>
                <c:pt idx="38">
                  <c:v>16.776695870959792</c:v>
                </c:pt>
                <c:pt idx="39">
                  <c:v>16.692796480061464</c:v>
                </c:pt>
                <c:pt idx="40">
                  <c:v>16.608259987014279</c:v>
                </c:pt>
                <c:pt idx="41">
                  <c:v>16.523153524022721</c:v>
                </c:pt>
                <c:pt idx="42">
                  <c:v>16.437545910058315</c:v>
                </c:pt>
                <c:pt idx="43">
                  <c:v>16.351507455975131</c:v>
                </c:pt>
                <c:pt idx="44">
                  <c:v>16.265109761699239</c:v>
                </c:pt>
                <c:pt idx="45">
                  <c:v>16.178425506552546</c:v>
                </c:pt>
                <c:pt idx="46">
                  <c:v>16.091528233814319</c:v>
                </c:pt>
                <c:pt idx="47">
                  <c:v>16.004492130664701</c:v>
                </c:pt>
                <c:pt idx="48">
                  <c:v>15.917391804680729</c:v>
                </c:pt>
                <c:pt idx="49">
                  <c:v>15.830302058081271</c:v>
                </c:pt>
                <c:pt idx="50">
                  <c:v>15.743297660927864</c:v>
                </c:pt>
                <c:pt idx="51">
                  <c:v>15.656453124497784</c:v>
                </c:pt>
                <c:pt idx="52">
                  <c:v>15.569842476044132</c:v>
                </c:pt>
                <c:pt idx="53">
                  <c:v>15.483539036147176</c:v>
                </c:pt>
                <c:pt idx="54">
                  <c:v>15.397615199847136</c:v>
                </c:pt>
                <c:pt idx="55">
                  <c:v>15.312142222722544</c:v>
                </c:pt>
                <c:pt idx="56">
                  <c:v>15.22719001304667</c:v>
                </c:pt>
                <c:pt idx="57">
                  <c:v>15.142826931115323</c:v>
                </c:pt>
                <c:pt idx="58">
                  <c:v>15.059119596790911</c:v>
                </c:pt>
                <c:pt idx="59">
                  <c:v>14.976132706253404</c:v>
                </c:pt>
                <c:pt idx="60">
                  <c:v>14.893928858885827</c:v>
                </c:pt>
                <c:pt idx="61">
                  <c:v>14.812568395151899</c:v>
                </c:pt>
                <c:pt idx="62">
                  <c:v>14.732109246247639</c:v>
                </c:pt>
                <c:pt idx="63">
                  <c:v>14.652606796224575</c:v>
                </c:pt>
                <c:pt idx="64">
                  <c:v>14.574113757193569</c:v>
                </c:pt>
                <c:pt idx="65">
                  <c:v>14.496680058123381</c:v>
                </c:pt>
                <c:pt idx="66">
                  <c:v>14.420352747649583</c:v>
                </c:pt>
                <c:pt idx="67">
                  <c:v>14.345175911206368</c:v>
                </c:pt>
                <c:pt idx="68">
                  <c:v>14.271190602687991</c:v>
                </c:pt>
                <c:pt idx="69">
                  <c:v>14.198434790740526</c:v>
                </c:pt>
                <c:pt idx="70">
                  <c:v>14.126943319676288</c:v>
                </c:pt>
                <c:pt idx="71">
                  <c:v>14.056747884896993</c:v>
                </c:pt>
                <c:pt idx="72">
                  <c:v>13.987877022606817</c:v>
                </c:pt>
                <c:pt idx="73">
                  <c:v>13.920356113495183</c:v>
                </c:pt>
                <c:pt idx="74">
                  <c:v>13.854207399972505</c:v>
                </c:pt>
                <c:pt idx="75">
                  <c:v>13.789450016449695</c:v>
                </c:pt>
                <c:pt idx="76">
                  <c:v>13.726100032068116</c:v>
                </c:pt>
                <c:pt idx="77">
                  <c:v>13.664170505211244</c:v>
                </c:pt>
                <c:pt idx="78">
                  <c:v>13.603671549056296</c:v>
                </c:pt>
                <c:pt idx="79">
                  <c:v>13.544610407371987</c:v>
                </c:pt>
                <c:pt idx="80">
                  <c:v>13.486991539710464</c:v>
                </c:pt>
                <c:pt idx="81">
                  <c:v>13.430816715110534</c:v>
                </c:pt>
                <c:pt idx="82">
                  <c:v>13.376085113392556</c:v>
                </c:pt>
                <c:pt idx="83">
                  <c:v>13.322793433114171</c:v>
                </c:pt>
                <c:pt idx="84">
                  <c:v>13.270936005239435</c:v>
                </c:pt>
                <c:pt idx="85">
                  <c:v>13.220504911582783</c:v>
                </c:pt>
                <c:pt idx="86">
                  <c:v>13.171490107094003</c:v>
                </c:pt>
                <c:pt idx="87">
                  <c:v>13.123879545073569</c:v>
                </c:pt>
                <c:pt idx="88">
                  <c:v>13.077659304432512</c:v>
                </c:pt>
                <c:pt idx="89">
                  <c:v>13.03281371814812</c:v>
                </c:pt>
                <c:pt idx="90">
                  <c:v>12.989325502105372</c:v>
                </c:pt>
                <c:pt idx="91">
                  <c:v>12.947175883563038</c:v>
                </c:pt>
                <c:pt idx="92">
                  <c:v>12.906344728532144</c:v>
                </c:pt>
                <c:pt idx="93">
                  <c:v>12.86681066741105</c:v>
                </c:pt>
                <c:pt idx="94">
                  <c:v>12.828551218276781</c:v>
                </c:pt>
                <c:pt idx="95">
                  <c:v>12.791542907292966</c:v>
                </c:pt>
                <c:pt idx="96">
                  <c:v>12.755761385753795</c:v>
                </c:pt>
                <c:pt idx="97">
                  <c:v>12.721181543342128</c:v>
                </c:pt>
                <c:pt idx="98">
                  <c:v>12.687777617241178</c:v>
                </c:pt>
                <c:pt idx="99">
                  <c:v>12.655523296795526</c:v>
                </c:pt>
                <c:pt idx="100">
                  <c:v>12.624391823473042</c:v>
                </c:pt>
                <c:pt idx="101">
                  <c:v>12.594356085933967</c:v>
                </c:pt>
                <c:pt idx="102">
                  <c:v>12.565388710062626</c:v>
                </c:pt>
                <c:pt idx="103">
                  <c:v>12.537462143865474</c:v>
                </c:pt>
                <c:pt idx="104">
                  <c:v>12.510548737183587</c:v>
                </c:pt>
                <c:pt idx="105">
                  <c:v>12.484620816207064</c:v>
                </c:pt>
                <c:pt idx="106">
                  <c:v>12.459650752817133</c:v>
                </c:pt>
                <c:pt idx="107">
                  <c:v>12.435611028813414</c:v>
                </c:pt>
                <c:pt idx="108">
                  <c:v>12.41247429511446</c:v>
                </c:pt>
                <c:pt idx="109">
                  <c:v>12.390213426044758</c:v>
                </c:pt>
                <c:pt idx="110">
                  <c:v>12.368801568843327</c:v>
                </c:pt>
                <c:pt idx="111">
                  <c:v>12.34821218854953</c:v>
                </c:pt>
                <c:pt idx="112">
                  <c:v>12.328419108434669</c:v>
                </c:pt>
                <c:pt idx="113">
                  <c:v>12.309396546163763</c:v>
                </c:pt>
                <c:pt idx="114">
                  <c:v>12.291119145878689</c:v>
                </c:pt>
                <c:pt idx="115">
                  <c:v>12.273562006403427</c:v>
                </c:pt>
                <c:pt idx="116">
                  <c:v>12.256700705775398</c:v>
                </c:pt>
                <c:pt idx="117">
                  <c:v>12.240511322310867</c:v>
                </c:pt>
                <c:pt idx="118">
                  <c:v>12.224970452411741</c:v>
                </c:pt>
                <c:pt idx="119">
                  <c:v>12.210055225321311</c:v>
                </c:pt>
                <c:pt idx="120">
                  <c:v>12.195743315034397</c:v>
                </c:pt>
                <c:pt idx="121">
                  <c:v>12.182012949561152</c:v>
                </c:pt>
                <c:pt idx="122">
                  <c:v>12.168842917742669</c:v>
                </c:pt>
                <c:pt idx="123">
                  <c:v>12.156212573807679</c:v>
                </c:pt>
                <c:pt idx="124">
                  <c:v>12.144101839854857</c:v>
                </c:pt>
                <c:pt idx="125">
                  <c:v>12.132491206437111</c:v>
                </c:pt>
                <c:pt idx="126">
                  <c:v>12.121361731418403</c:v>
                </c:pt>
                <c:pt idx="127">
                  <c:v>12.110695037263257</c:v>
                </c:pt>
                <c:pt idx="128">
                  <c:v>12.100473306912196</c:v>
                </c:pt>
                <c:pt idx="129">
                  <c:v>12.090679278390336</c:v>
                </c:pt>
                <c:pt idx="130">
                  <c:v>12.081296238282558</c:v>
                </c:pt>
                <c:pt idx="131">
                  <c:v>12.072308014207433</c:v>
                </c:pt>
                <c:pt idx="132">
                  <c:v>12.063698966406397</c:v>
                </c:pt>
                <c:pt idx="133">
                  <c:v>12.055453978564101</c:v>
                </c:pt>
                <c:pt idx="134">
                  <c:v>12.047558447961887</c:v>
                </c:pt>
                <c:pt idx="135">
                  <c:v>12.039998275062462</c:v>
                </c:pt>
                <c:pt idx="136">
                  <c:v>12.032759852614818</c:v>
                </c:pt>
                <c:pt idx="137">
                  <c:v>12.025830054362807</c:v>
                </c:pt>
                <c:pt idx="138">
                  <c:v>12.019196223431576</c:v>
                </c:pt>
                <c:pt idx="139">
                  <c:v>12.012846160463011</c:v>
                </c:pt>
                <c:pt idx="140">
                  <c:v>12.006768111562492</c:v>
                </c:pt>
                <c:pt idx="141">
                  <c:v>12.000950756114735</c:v>
                </c:pt>
                <c:pt idx="142">
                  <c:v>11.995383194520791</c:v>
                </c:pt>
                <c:pt idx="143">
                  <c:v>11.990054935903556</c:v>
                </c:pt>
                <c:pt idx="144">
                  <c:v>11.984955885823203</c:v>
                </c:pt>
                <c:pt idx="145">
                  <c:v>11.980076334042117</c:v>
                </c:pt>
                <c:pt idx="146">
                  <c:v>11.97540694236989</c:v>
                </c:pt>
                <c:pt idx="147">
                  <c:v>11.97093873262201</c:v>
                </c:pt>
                <c:pt idx="148">
                  <c:v>11.966663074714585</c:v>
                </c:pt>
                <c:pt idx="149">
                  <c:v>11.962571674920724</c:v>
                </c:pt>
                <c:pt idx="150">
                  <c:v>11.958656564307343</c:v>
                </c:pt>
                <c:pt idx="151">
                  <c:v>11.954910087368614</c:v>
                </c:pt>
                <c:pt idx="152">
                  <c:v>11.951324890872018</c:v>
                </c:pt>
                <c:pt idx="153">
                  <c:v>11.947893912927883</c:v>
                </c:pt>
                <c:pt idx="154">
                  <c:v>11.944610372292203</c:v>
                </c:pt>
                <c:pt idx="155">
                  <c:v>11.941467757911759</c:v>
                </c:pt>
                <c:pt idx="156">
                  <c:v>11.938459818716133</c:v>
                </c:pt>
                <c:pt idx="157">
                  <c:v>11.9355805536627</c:v>
                </c:pt>
                <c:pt idx="158">
                  <c:v>11.932824202035853</c:v>
                </c:pt>
                <c:pt idx="159">
                  <c:v>11.930185234004043</c:v>
                </c:pt>
                <c:pt idx="160">
                  <c:v>11.927658341433904</c:v>
                </c:pt>
                <c:pt idx="161">
                  <c:v>11.925238428960981</c:v>
                </c:pt>
                <c:pt idx="162">
                  <c:v>11.922920605316536</c:v>
                </c:pt>
                <c:pt idx="163">
                  <c:v>11.920700174907255</c:v>
                </c:pt>
                <c:pt idx="164">
                  <c:v>11.918572629645183</c:v>
                </c:pt>
                <c:pt idx="165">
                  <c:v>11.91653364102396</c:v>
                </c:pt>
                <c:pt idx="166">
                  <c:v>11.914579052437579</c:v>
                </c:pt>
                <c:pt idx="167">
                  <c:v>11.912704871736519</c:v>
                </c:pt>
                <c:pt idx="168">
                  <c:v>11.910907264016206</c:v>
                </c:pt>
                <c:pt idx="169">
                  <c:v>11.909182544632097</c:v>
                </c:pt>
                <c:pt idx="170">
                  <c:v>11.907527172436218</c:v>
                </c:pt>
                <c:pt idx="171">
                  <c:v>11.905937743227913</c:v>
                </c:pt>
                <c:pt idx="172">
                  <c:v>11.904410983413543</c:v>
                </c:pt>
                <c:pt idx="173">
                  <c:v>11.902943743867906</c:v>
                </c:pt>
                <c:pt idx="174">
                  <c:v>11.901532993991284</c:v>
                </c:pt>
                <c:pt idx="175">
                  <c:v>11.900175815955031</c:v>
                </c:pt>
                <c:pt idx="176">
                  <c:v>11.898869399128424</c:v>
                </c:pt>
                <c:pt idx="177">
                  <c:v>11.897611034681626</c:v>
                </c:pt>
                <c:pt idx="178">
                  <c:v>11.896398110354749</c:v>
                </c:pt>
                <c:pt idx="179">
                  <c:v>11.895228105389833</c:v>
                </c:pt>
                <c:pt idx="180">
                  <c:v>11.894098585615398</c:v>
                </c:pt>
                <c:pt idx="181">
                  <c:v>11.893007198679165</c:v>
                </c:pt>
                <c:pt idx="182">
                  <c:v>11.891951669419665</c:v>
                </c:pt>
                <c:pt idx="183">
                  <c:v>11.890929795372941</c:v>
                </c:pt>
                <c:pt idx="184">
                  <c:v>11.889939442403961</c:v>
                </c:pt>
                <c:pt idx="185">
                  <c:v>11.888978540458844</c:v>
                </c:pt>
                <c:pt idx="186">
                  <c:v>11.888045079429601</c:v>
                </c:pt>
                <c:pt idx="187">
                  <c:v>11.887137105125326</c:v>
                </c:pt>
                <c:pt idx="188">
                  <c:v>11.886252715342724</c:v>
                </c:pt>
                <c:pt idx="189">
                  <c:v>11.885390056030118</c:v>
                </c:pt>
                <c:pt idx="190">
                  <c:v>11.884547317537704</c:v>
                </c:pt>
                <c:pt idx="191">
                  <c:v>11.883722730948122</c:v>
                </c:pt>
                <c:pt idx="192">
                  <c:v>11.882914564480656</c:v>
                </c:pt>
                <c:pt idx="193">
                  <c:v>11.882121119963207</c:v>
                </c:pt>
                <c:pt idx="194">
                  <c:v>11.8813407293647</c:v>
                </c:pt>
                <c:pt idx="195">
                  <c:v>11.880571751382876</c:v>
                </c:pt>
                <c:pt idx="196">
                  <c:v>11.879812568080855</c:v>
                </c:pt>
                <c:pt idx="197">
                  <c:v>11.879061581565821</c:v>
                </c:pt>
                <c:pt idx="198">
                  <c:v>11.878317210704466</c:v>
                </c:pt>
                <c:pt idx="199">
                  <c:v>11.877577887868561</c:v>
                </c:pt>
                <c:pt idx="200">
                  <c:v>11.876842055704893</c:v>
                </c:pt>
                <c:pt idx="201">
                  <c:v>11.876108163923259</c:v>
                </c:pt>
                <c:pt idx="202">
                  <c:v>11.875374666096768</c:v>
                </c:pt>
                <c:pt idx="203">
                  <c:v>11.87464001646793</c:v>
                </c:pt>
                <c:pt idx="204">
                  <c:v>11.873902666755169</c:v>
                </c:pt>
                <c:pt idx="205">
                  <c:v>11.873161062952954</c:v>
                </c:pt>
                <c:pt idx="206">
                  <c:v>11.872413642120083</c:v>
                </c:pt>
                <c:pt idx="207">
                  <c:v>11.871658829149528</c:v>
                </c:pt>
                <c:pt idx="208">
                  <c:v>11.87089503351406</c:v>
                </c:pt>
                <c:pt idx="209">
                  <c:v>11.870120645981341</c:v>
                </c:pt>
                <c:pt idx="210">
                  <c:v>11.869334035292134</c:v>
                </c:pt>
                <c:pt idx="211">
                  <c:v>11.868533544795694</c:v>
                </c:pt>
                <c:pt idx="212">
                  <c:v>11.867717489035407</c:v>
                </c:pt>
                <c:pt idx="213">
                  <c:v>11.866884150279077</c:v>
                </c:pt>
                <c:pt idx="214">
                  <c:v>11.866031774986535</c:v>
                </c:pt>
                <c:pt idx="215">
                  <c:v>11.865158570208633</c:v>
                </c:pt>
                <c:pt idx="216">
                  <c:v>11.864262699910741</c:v>
                </c:pt>
                <c:pt idx="217">
                  <c:v>11.863342281213905</c:v>
                </c:pt>
                <c:pt idx="218">
                  <c:v>11.862395380546849</c:v>
                </c:pt>
                <c:pt idx="219">
                  <c:v>11.861420009701993</c:v>
                </c:pt>
                <c:pt idx="220">
                  <c:v>11.860414121788752</c:v>
                </c:pt>
                <c:pt idx="221">
                  <c:v>11.859375607075592</c:v>
                </c:pt>
                <c:pt idx="222">
                  <c:v>11.858302288715484</c:v>
                </c:pt>
                <c:pt idx="223">
                  <c:v>11.857191918345727</c:v>
                </c:pt>
                <c:pt idx="224">
                  <c:v>11.856042171555563</c:v>
                </c:pt>
                <c:pt idx="225">
                  <c:v>11.854850643212956</c:v>
                </c:pt>
                <c:pt idx="226">
                  <c:v>11.853614842644657</c:v>
                </c:pt>
                <c:pt idx="227">
                  <c:v>11.852332188658538</c:v>
                </c:pt>
                <c:pt idx="228">
                  <c:v>11.85100000440292</c:v>
                </c:pt>
                <c:pt idx="229">
                  <c:v>11.849615512054143</c:v>
                </c:pt>
                <c:pt idx="230">
                  <c:v>11.84817582732218</c:v>
                </c:pt>
                <c:pt idx="231">
                  <c:v>11.84667795376901</c:v>
                </c:pt>
                <c:pt idx="232">
                  <c:v>11.845118776927745</c:v>
                </c:pt>
                <c:pt idx="233">
                  <c:v>11.843495058217277</c:v>
                </c:pt>
                <c:pt idx="234">
                  <c:v>11.841803428641025</c:v>
                </c:pt>
                <c:pt idx="235">
                  <c:v>11.840040382262583</c:v>
                </c:pt>
                <c:pt idx="236">
                  <c:v>11.838202269448477</c:v>
                </c:pt>
                <c:pt idx="237">
                  <c:v>11.836285289869924</c:v>
                </c:pt>
                <c:pt idx="238">
                  <c:v>11.834285485254117</c:v>
                </c:pt>
                <c:pt idx="239">
                  <c:v>11.832198731875947</c:v>
                </c:pt>
                <c:pt idx="240">
                  <c:v>11.830020732781836</c:v>
                </c:pt>
                <c:pt idx="241">
                  <c:v>11.827747009736807</c:v>
                </c:pt>
                <c:pt idx="242">
                  <c:v>11.825372894885023</c:v>
                </c:pt>
                <c:pt idx="243">
                  <c:v>11.822893522116777</c:v>
                </c:pt>
                <c:pt idx="244">
                  <c:v>11.820303818131826</c:v>
                </c:pt>
                <c:pt idx="245">
                  <c:v>11.817598493192904</c:v>
                </c:pt>
                <c:pt idx="246">
                  <c:v>11.81477203155854</c:v>
                </c:pt>
                <c:pt idx="247">
                  <c:v>11.811818681591264</c:v>
                </c:pt>
                <c:pt idx="248">
                  <c:v>11.808732445530566</c:v>
                </c:pt>
                <c:pt idx="249">
                  <c:v>11.80550706892628</c:v>
                </c:pt>
                <c:pt idx="250">
                  <c:v>11.802136029725812</c:v>
                </c:pt>
                <c:pt idx="251">
                  <c:v>11.798612527008478</c:v>
                </c:pt>
                <c:pt idx="252">
                  <c:v>11.794929469364474</c:v>
                </c:pt>
                <c:pt idx="253">
                  <c:v>11.791079462912865</c:v>
                </c:pt>
                <c:pt idx="254">
                  <c:v>11.787054798956509</c:v>
                </c:pt>
                <c:pt idx="255">
                  <c:v>11.782847441272779</c:v>
                </c:pt>
                <c:pt idx="256">
                  <c:v>11.778449013038381</c:v>
                </c:pt>
                <c:pt idx="257">
                  <c:v>11.773850783390873</c:v>
                </c:pt>
                <c:pt idx="258">
                  <c:v>11.769043653627708</c:v>
                </c:pt>
                <c:pt idx="259">
                  <c:v>11.76401814304935</c:v>
                </c:pt>
                <c:pt idx="260">
                  <c:v>11.758764374450074</c:v>
                </c:pt>
                <c:pt idx="261">
                  <c:v>11.753272059267559</c:v>
                </c:pt>
                <c:pt idx="262">
                  <c:v>11.747530482399799</c:v>
                </c:pt>
                <c:pt idx="263">
                  <c:v>11.741528486704647</c:v>
                </c:pt>
                <c:pt idx="264">
                  <c:v>11.735254457196593</c:v>
                </c:pt>
                <c:pt idx="265">
                  <c:v>11.728696304960824</c:v>
                </c:pt>
                <c:pt idx="266">
                  <c:v>11.721841450807258</c:v>
                </c:pt>
                <c:pt idx="267">
                  <c:v>11.714676808690758</c:v>
                </c:pt>
                <c:pt idx="268">
                  <c:v>11.707188768927136</c:v>
                </c:pt>
                <c:pt idx="269">
                  <c:v>11.699363181240237</c:v>
                </c:pt>
                <c:pt idx="270">
                  <c:v>11.691185337678656</c:v>
                </c:pt>
                <c:pt idx="271">
                  <c:v>11.682639955445786</c:v>
                </c:pt>
                <c:pt idx="272">
                  <c:v>11.673711159692516</c:v>
                </c:pt>
                <c:pt idx="273">
                  <c:v>11.664382466326835</c:v>
                </c:pt>
                <c:pt idx="274">
                  <c:v>11.654636764901605</c:v>
                </c:pt>
                <c:pt idx="275">
                  <c:v>11.644456301646311</c:v>
                </c:pt>
                <c:pt idx="276">
                  <c:v>11.633822662716112</c:v>
                </c:pt>
                <c:pt idx="277">
                  <c:v>11.622716757739877</c:v>
                </c:pt>
                <c:pt idx="278">
                  <c:v>11.611118803751378</c:v>
                </c:pt>
                <c:pt idx="279">
                  <c:v>11.599008309602883</c:v>
                </c:pt>
                <c:pt idx="280">
                  <c:v>11.586364060959284</c:v>
                </c:pt>
                <c:pt idx="281">
                  <c:v>11.573164105986717</c:v>
                </c:pt>
                <c:pt idx="282">
                  <c:v>11.559385741852735</c:v>
                </c:pt>
                <c:pt idx="283">
                  <c:v>11.545005502166109</c:v>
                </c:pt>
                <c:pt idx="284">
                  <c:v>11.529999145490633</c:v>
                </c:pt>
                <c:pt idx="285">
                  <c:v>11.514341645078769</c:v>
                </c:pt>
                <c:pt idx="286">
                  <c:v>11.498007179975588</c:v>
                </c:pt>
                <c:pt idx="287">
                  <c:v>11.480969127655499</c:v>
                </c:pt>
                <c:pt idx="288">
                  <c:v>11.463200058358638</c:v>
                </c:pt>
                <c:pt idx="289">
                  <c:v>11.444671731304993</c:v>
                </c:pt>
                <c:pt idx="290">
                  <c:v>11.425355092967706</c:v>
                </c:pt>
                <c:pt idx="291">
                  <c:v>11.405220277597522</c:v>
                </c:pt>
                <c:pt idx="292">
                  <c:v>11.384236610191607</c:v>
                </c:pt>
                <c:pt idx="293">
                  <c:v>11.362372612109741</c:v>
                </c:pt>
                <c:pt idx="294">
                  <c:v>11.339596009538674</c:v>
                </c:pt>
                <c:pt idx="295">
                  <c:v>11.315873745013425</c:v>
                </c:pt>
                <c:pt idx="296">
                  <c:v>11.291171992201107</c:v>
                </c:pt>
                <c:pt idx="297">
                  <c:v>11.265456174152732</c:v>
                </c:pt>
                <c:pt idx="298">
                  <c:v>11.238690985227326</c:v>
                </c:pt>
                <c:pt idx="299">
                  <c:v>11.210840416884704</c:v>
                </c:pt>
                <c:pt idx="300">
                  <c:v>11.181867787538014</c:v>
                </c:pt>
                <c:pt idx="301">
                  <c:v>11.151735776645976</c:v>
                </c:pt>
                <c:pt idx="302">
                  <c:v>11.120406463212436</c:v>
                </c:pt>
                <c:pt idx="303">
                  <c:v>11.087841368844455</c:v>
                </c:pt>
                <c:pt idx="304">
                  <c:v>11.05400150550183</c:v>
                </c:pt>
                <c:pt idx="305">
                  <c:v>11.018847428048735</c:v>
                </c:pt>
                <c:pt idx="306">
                  <c:v>10.982339291691815</c:v>
                </c:pt>
                <c:pt idx="307">
                  <c:v>10.944436914361136</c:v>
                </c:pt>
                <c:pt idx="308">
                  <c:v>10.905099844057272</c:v>
                </c:pt>
                <c:pt idx="309">
                  <c:v>10.864287431152913</c:v>
                </c:pt>
                <c:pt idx="310">
                  <c:v>10.821958905596869</c:v>
                </c:pt>
                <c:pt idx="311">
                  <c:v>10.778073458927654</c:v>
                </c:pt>
                <c:pt idx="312">
                  <c:v>10.732590330958001</c:v>
                </c:pt>
                <c:pt idx="313">
                  <c:v>10.685468900943796</c:v>
                </c:pt>
                <c:pt idx="314">
                  <c:v>10.636668783002385</c:v>
                </c:pt>
                <c:pt idx="315">
                  <c:v>10.586149925492187</c:v>
                </c:pt>
                <c:pt idx="316">
                  <c:v>10.533872714013729</c:v>
                </c:pt>
                <c:pt idx="317">
                  <c:v>10.479798077640021</c:v>
                </c:pt>
                <c:pt idx="318">
                  <c:v>10.423887597929049</c:v>
                </c:pt>
                <c:pt idx="319">
                  <c:v>10.366103620222143</c:v>
                </c:pt>
                <c:pt idx="320">
                  <c:v>10.306409366679897</c:v>
                </c:pt>
                <c:pt idx="321">
                  <c:v>10.24476905046061</c:v>
                </c:pt>
                <c:pt idx="322">
                  <c:v>10.181147990403423</c:v>
                </c:pt>
                <c:pt idx="323">
                  <c:v>10.115512725536879</c:v>
                </c:pt>
                <c:pt idx="324">
                  <c:v>10.047831128703514</c:v>
                </c:pt>
                <c:pt idx="325">
                  <c:v>9.9780725185585766</c:v>
                </c:pt>
                <c:pt idx="326">
                  <c:v>9.9062077691862367</c:v>
                </c:pt>
                <c:pt idx="327">
                  <c:v>9.8322094165584648</c:v>
                </c:pt>
                <c:pt idx="328">
                  <c:v>9.7560517610623503</c:v>
                </c:pt>
                <c:pt idx="329">
                  <c:v>9.6777109653229001</c:v>
                </c:pt>
                <c:pt idx="330">
                  <c:v>9.5971651465645333</c:v>
                </c:pt>
                <c:pt idx="331">
                  <c:v>9.5143944627778438</c:v>
                </c:pt>
                <c:pt idx="332">
                  <c:v>9.429381191990073</c:v>
                </c:pt>
                <c:pt idx="333">
                  <c:v>9.3421098039830373</c:v>
                </c:pt>
                <c:pt idx="334">
                  <c:v>9.2525670238516664</c:v>
                </c:pt>
                <c:pt idx="335">
                  <c:v>9.1607418868583217</c:v>
                </c:pt>
                <c:pt idx="336">
                  <c:v>9.0666257841056215</c:v>
                </c:pt>
                <c:pt idx="337">
                  <c:v>8.9702124986267116</c:v>
                </c:pt>
                <c:pt idx="338">
                  <c:v>8.8714982315722466</c:v>
                </c:pt>
                <c:pt idx="339">
                  <c:v>8.770481618260769</c:v>
                </c:pt>
                <c:pt idx="340">
                  <c:v>8.6671637339487706</c:v>
                </c:pt>
                <c:pt idx="341">
                  <c:v>8.5615480892675961</c:v>
                </c:pt>
                <c:pt idx="342">
                  <c:v>8.4536406153691974</c:v>
                </c:pt>
                <c:pt idx="343">
                  <c:v>8.3434496389132704</c:v>
                </c:pt>
                <c:pt idx="344">
                  <c:v>8.2309858471196584</c:v>
                </c:pt>
                <c:pt idx="345">
                  <c:v>8.1162622431956848</c:v>
                </c:pt>
                <c:pt idx="346">
                  <c:v>7.9992940925310352</c:v>
                </c:pt>
                <c:pt idx="347">
                  <c:v>7.8800988601282835</c:v>
                </c:pt>
                <c:pt idx="348">
                  <c:v>7.7586961398071841</c:v>
                </c:pt>
                <c:pt idx="349">
                  <c:v>7.6351075757814382</c:v>
                </c:pt>
                <c:pt idx="350">
                  <c:v>7.5093567772599936</c:v>
                </c:pt>
                <c:pt idx="351">
                  <c:v>7.3814692267693927</c:v>
                </c:pt>
                <c:pt idx="352">
                  <c:v>7.2514721829262658</c:v>
                </c:pt>
                <c:pt idx="353">
                  <c:v>7.1193945784164105</c:v>
                </c:pt>
                <c:pt idx="354">
                  <c:v>6.9852669139494914</c:v>
                </c:pt>
                <c:pt idx="355">
                  <c:v>6.8491211489671668</c:v>
                </c:pt>
                <c:pt idx="356">
                  <c:v>6.7109905898758466</c:v>
                </c:pt>
                <c:pt idx="357">
                  <c:v>6.5709097765672748</c:v>
                </c:pt>
                <c:pt idx="358">
                  <c:v>6.4289143679674616</c:v>
                </c:pt>
                <c:pt idx="359">
                  <c:v>6.285041027330692</c:v>
                </c:pt>
                <c:pt idx="360">
                  <c:v>6.1393273079582666</c:v>
                </c:pt>
                <c:pt idx="361">
                  <c:v>5.9918115399883698</c:v>
                </c:pt>
                <c:pt idx="362">
                  <c:v>5.8425327188546294</c:v>
                </c:pt>
                <c:pt idx="363">
                  <c:v>5.691530395968595</c:v>
                </c:pt>
                <c:pt idx="364">
                  <c:v>5.5388445721287436</c:v>
                </c:pt>
                <c:pt idx="365">
                  <c:v>5.384515594107957</c:v>
                </c:pt>
                <c:pt idx="366">
                  <c:v>5.2285840548189091</c:v>
                </c:pt>
                <c:pt idx="367">
                  <c:v>5.0710906974040668</c:v>
                </c:pt>
                <c:pt idx="368">
                  <c:v>4.912076323541827</c:v>
                </c:pt>
                <c:pt idx="369">
                  <c:v>4.7515817062129901</c:v>
                </c:pt>
                <c:pt idx="370">
                  <c:v>4.5896475071175358</c:v>
                </c:pt>
                <c:pt idx="371">
                  <c:v>4.4263141988867991</c:v>
                </c:pt>
                <c:pt idx="372">
                  <c:v>4.261621992189041</c:v>
                </c:pt>
                <c:pt idx="373">
                  <c:v>4.0956107677843043</c:v>
                </c:pt>
                <c:pt idx="374">
                  <c:v>3.9283200135463261</c:v>
                </c:pt>
                <c:pt idx="375">
                  <c:v>3.7597887664298444</c:v>
                </c:pt>
                <c:pt idx="376">
                  <c:v>3.5900555593332872</c:v>
                </c:pt>
                <c:pt idx="377">
                  <c:v>3.4191583727729151</c:v>
                </c:pt>
                <c:pt idx="378">
                  <c:v>3.247134591263126</c:v>
                </c:pt>
                <c:pt idx="379">
                  <c:v>3.0740209642698075</c:v>
                </c:pt>
                <c:pt idx="380">
                  <c:v>2.8998535715899583</c:v>
                </c:pt>
                <c:pt idx="381">
                  <c:v>2.7246677929900947</c:v>
                </c:pt>
                <c:pt idx="382">
                  <c:v>2.5484982819250357</c:v>
                </c:pt>
                <c:pt idx="383">
                  <c:v>2.3713789431478878</c:v>
                </c:pt>
                <c:pt idx="384">
                  <c:v>2.19334291401423</c:v>
                </c:pt>
                <c:pt idx="385">
                  <c:v>2.0144225492771217</c:v>
                </c:pt>
                <c:pt idx="386">
                  <c:v>1.8346494091694423</c:v>
                </c:pt>
                <c:pt idx="387">
                  <c:v>1.6540542505631903</c:v>
                </c:pt>
                <c:pt idx="388">
                  <c:v>1.472667021003786</c:v>
                </c:pt>
                <c:pt idx="389">
                  <c:v>1.2905168554106021</c:v>
                </c:pt>
                <c:pt idx="390">
                  <c:v>1.1076320752471112</c:v>
                </c:pt>
                <c:pt idx="391">
                  <c:v>0.92404018996017823</c:v>
                </c:pt>
                <c:pt idx="392">
                  <c:v>0.73976790050248131</c:v>
                </c:pt>
                <c:pt idx="393">
                  <c:v>0.55484110474908932</c:v>
                </c:pt>
                <c:pt idx="394">
                  <c:v>0.36928490463566782</c:v>
                </c:pt>
                <c:pt idx="395">
                  <c:v>0.18312361484381187</c:v>
                </c:pt>
                <c:pt idx="396">
                  <c:v>-3.6192271234080247E-3</c:v>
                </c:pt>
                <c:pt idx="397">
                  <c:v>-0.19092084963256359</c:v>
                </c:pt>
                <c:pt idx="398">
                  <c:v>-0.37875923452184462</c:v>
                </c:pt>
                <c:pt idx="399">
                  <c:v>-0.56711310374964785</c:v>
                </c:pt>
                <c:pt idx="400">
                  <c:v>-0.75596190521881201</c:v>
                </c:pt>
                <c:pt idx="401">
                  <c:v>-0.94528579789684497</c:v>
                </c:pt>
                <c:pt idx="402">
                  <c:v>-1.1350656363424656</c:v>
                </c:pt>
                <c:pt idx="403">
                  <c:v>-1.3252829547434388</c:v>
                </c:pt>
                <c:pt idx="404">
                  <c:v>-1.5159199505612038</c:v>
                </c:pt>
                <c:pt idx="405">
                  <c:v>-1.7069594678692463</c:v>
                </c:pt>
                <c:pt idx="406">
                  <c:v>-1.8983849804698112</c:v>
                </c:pt>
                <c:pt idx="407">
                  <c:v>-2.0901805748581612</c:v>
                </c:pt>
                <c:pt idx="408">
                  <c:v>-2.2823309331072319</c:v>
                </c:pt>
                <c:pt idx="409">
                  <c:v>-2.4748213157296752</c:v>
                </c:pt>
                <c:pt idx="410">
                  <c:v>-2.6676375445757907</c:v>
                </c:pt>
                <c:pt idx="411">
                  <c:v>-2.8607659858150765</c:v>
                </c:pt>
                <c:pt idx="412">
                  <c:v>-3.054193533047596</c:v>
                </c:pt>
                <c:pt idx="413">
                  <c:v>-3.2479075905836883</c:v>
                </c:pt>
                <c:pt idx="414">
                  <c:v>-3.4418960569279196</c:v>
                </c:pt>
                <c:pt idx="415">
                  <c:v>-3.6361473084972289</c:v>
                </c:pt>
                <c:pt idx="416">
                  <c:v>-3.8306501836016436</c:v>
                </c:pt>
                <c:pt idx="417">
                  <c:v>-4.0253939667094425</c:v>
                </c:pt>
                <c:pt idx="418">
                  <c:v>-4.2203683730168891</c:v>
                </c:pt>
                <c:pt idx="419">
                  <c:v>-4.415563533339995</c:v>
                </c:pt>
                <c:pt idx="420">
                  <c:v>-4.6109699793415455</c:v>
                </c:pt>
                <c:pt idx="421">
                  <c:v>-4.8065786291054549</c:v>
                </c:pt>
                <c:pt idx="422">
                  <c:v>-5.0023807730656511</c:v>
                </c:pt>
                <c:pt idx="423">
                  <c:v>-5.1983680602995026</c:v>
                </c:pt>
                <c:pt idx="424">
                  <c:v>-5.3945324851864243</c:v>
                </c:pt>
                <c:pt idx="425">
                  <c:v>-5.5908663744390266</c:v>
                </c:pt>
                <c:pt idx="426">
                  <c:v>-5.7873623745053147</c:v>
                </c:pt>
                <c:pt idx="427">
                  <c:v>-5.9840134393428919</c:v>
                </c:pt>
                <c:pt idx="428">
                  <c:v>-6.1808128185641289</c:v>
                </c:pt>
                <c:pt idx="429">
                  <c:v>-6.3777540459510735</c:v>
                </c:pt>
                <c:pt idx="430">
                  <c:v>-6.5748309283337054</c:v>
                </c:pt>
                <c:pt idx="431">
                  <c:v>-6.7720375348313775</c:v>
                </c:pt>
                <c:pt idx="432">
                  <c:v>-6.9693681864487456</c:v>
                </c:pt>
                <c:pt idx="433">
                  <c:v>-7.1668174460238614</c:v>
                </c:pt>
                <c:pt idx="434">
                  <c:v>-7.3643801085196339</c:v>
                </c:pt>
                <c:pt idx="435">
                  <c:v>-7.5620511916536888</c:v>
                </c:pt>
                <c:pt idx="436">
                  <c:v>-7.7598259268590155</c:v>
                </c:pt>
                <c:pt idx="437">
                  <c:v>-7.957699750567615</c:v>
                </c:pt>
                <c:pt idx="438">
                  <c:v>-8.1556682958108855</c:v>
                </c:pt>
                <c:pt idx="439">
                  <c:v>-8.3537273841268131</c:v>
                </c:pt>
                <c:pt idx="440">
                  <c:v>-8.5518730177677078</c:v>
                </c:pt>
                <c:pt idx="441">
                  <c:v>-8.7501013721998007</c:v>
                </c:pt>
                <c:pt idx="442">
                  <c:v>-8.9484087888864909</c:v>
                </c:pt>
                <c:pt idx="443">
                  <c:v>-9.1467917683464801</c:v>
                </c:pt>
                <c:pt idx="444">
                  <c:v>-9.3452469634792763</c:v>
                </c:pt>
                <c:pt idx="445">
                  <c:v>-9.5437711731501054</c:v>
                </c:pt>
                <c:pt idx="446">
                  <c:v>-9.7423613360250521</c:v>
                </c:pt>
                <c:pt idx="447">
                  <c:v>-9.9410145246487129</c:v>
                </c:pt>
                <c:pt idx="448">
                  <c:v>-10.139727939757556</c:v>
                </c:pt>
                <c:pt idx="449">
                  <c:v>-10.338498904819071</c:v>
                </c:pt>
                <c:pt idx="450">
                  <c:v>-10.537324860790731</c:v>
                </c:pt>
                <c:pt idx="451">
                  <c:v>-10.736203361090201</c:v>
                </c:pt>
                <c:pt idx="452">
                  <c:v>-10.935132066769622</c:v>
                </c:pt>
                <c:pt idx="453">
                  <c:v>-11.134108741887108</c:v>
                </c:pt>
                <c:pt idx="454">
                  <c:v>-11.333131249067263</c:v>
                </c:pt>
                <c:pt idx="455">
                  <c:v>-11.532197545245443</c:v>
                </c:pt>
                <c:pt idx="456">
                  <c:v>-11.731305677586478</c:v>
                </c:pt>
                <c:pt idx="457">
                  <c:v>-11.930453779574549</c:v>
                </c:pt>
                <c:pt idx="458">
                  <c:v>-12.1296400672651</c:v>
                </c:pt>
                <c:pt idx="459">
                  <c:v>-12.328862835693364</c:v>
                </c:pt>
                <c:pt idx="460">
                  <c:v>-12.528120455434404</c:v>
                </c:pt>
                <c:pt idx="461">
                  <c:v>-12.727411369307449</c:v>
                </c:pt>
                <c:pt idx="462">
                  <c:v>-12.926734089219565</c:v>
                </c:pt>
                <c:pt idx="463">
                  <c:v>-13.126087193143567</c:v>
                </c:pt>
                <c:pt idx="464">
                  <c:v>-13.325469322223714</c:v>
                </c:pt>
                <c:pt idx="465">
                  <c:v>-13.52487917800519</c:v>
                </c:pt>
                <c:pt idx="466">
                  <c:v>-13.724315519782024</c:v>
                </c:pt>
                <c:pt idx="467">
                  <c:v>-13.923777162057867</c:v>
                </c:pt>
                <c:pt idx="468">
                  <c:v>-14.123262972116919</c:v>
                </c:pt>
                <c:pt idx="469">
                  <c:v>-14.322771867698652</c:v>
                </c:pt>
                <c:pt idx="470">
                  <c:v>-14.522302814772495</c:v>
                </c:pt>
                <c:pt idx="471">
                  <c:v>-14.721854825409812</c:v>
                </c:pt>
                <c:pt idx="472">
                  <c:v>-14.921426955746483</c:v>
                </c:pt>
                <c:pt idx="473">
                  <c:v>-15.121018304035502</c:v>
                </c:pt>
                <c:pt idx="474">
                  <c:v>-15.320628008782473</c:v>
                </c:pt>
                <c:pt idx="475">
                  <c:v>-15.520255246963385</c:v>
                </c:pt>
                <c:pt idx="476">
                  <c:v>-15.71989923231998</c:v>
                </c:pt>
                <c:pt idx="477">
                  <c:v>-15.919559213728867</c:v>
                </c:pt>
                <c:pt idx="478">
                  <c:v>-16.119234473642752</c:v>
                </c:pt>
                <c:pt idx="479">
                  <c:v>-16.31892432659884</c:v>
                </c:pt>
                <c:pt idx="480">
                  <c:v>-16.518628117793771</c:v>
                </c:pt>
                <c:pt idx="481">
                  <c:v>-16.718345221720284</c:v>
                </c:pt>
                <c:pt idx="482">
                  <c:v>-16.918075040864167</c:v>
                </c:pt>
                <c:pt idx="483">
                  <c:v>-17.117817004457937</c:v>
                </c:pt>
                <c:pt idx="484">
                  <c:v>-17.317570567290296</c:v>
                </c:pt>
                <c:pt idx="485">
                  <c:v>-17.517335208567637</c:v>
                </c:pt>
                <c:pt idx="486">
                  <c:v>-17.717110430824896</c:v>
                </c:pt>
                <c:pt idx="487">
                  <c:v>-17.916895758886394</c:v>
                </c:pt>
                <c:pt idx="488">
                  <c:v>-18.116690738870464</c:v>
                </c:pt>
                <c:pt idx="489">
                  <c:v>-18.31649493723986</c:v>
                </c:pt>
                <c:pt idx="490">
                  <c:v>-18.51630793989337</c:v>
                </c:pt>
                <c:pt idx="491">
                  <c:v>-18.716129351297081</c:v>
                </c:pt>
                <c:pt idx="492">
                  <c:v>-18.915958793655893</c:v>
                </c:pt>
                <c:pt idx="493">
                  <c:v>-19.115795906120084</c:v>
                </c:pt>
                <c:pt idx="494">
                  <c:v>-19.315640344027667</c:v>
                </c:pt>
                <c:pt idx="495">
                  <c:v>-19.515491778180895</c:v>
                </c:pt>
                <c:pt idx="496">
                  <c:v>-19.715349894154347</c:v>
                </c:pt>
                <c:pt idx="497">
                  <c:v>-19.915214391633636</c:v>
                </c:pt>
                <c:pt idx="498">
                  <c:v>-20.115084983784101</c:v>
                </c:pt>
                <c:pt idx="499">
                  <c:v>-20.314961396647561</c:v>
                </c:pt>
                <c:pt idx="500">
                  <c:v>-20.514843368565302</c:v>
                </c:pt>
                <c:pt idx="501">
                  <c:v>-20.714730649627256</c:v>
                </c:pt>
                <c:pt idx="502">
                  <c:v>-20.914623001146087</c:v>
                </c:pt>
                <c:pt idx="503">
                  <c:v>-21.11452019515378</c:v>
                </c:pt>
                <c:pt idx="504">
                  <c:v>-21.314422013921394</c:v>
                </c:pt>
                <c:pt idx="505">
                  <c:v>-21.514328249500416</c:v>
                </c:pt>
                <c:pt idx="506">
                  <c:v>-21.714238703283712</c:v>
                </c:pt>
                <c:pt idx="507">
                  <c:v>-21.914153185587054</c:v>
                </c:pt>
                <c:pt idx="508">
                  <c:v>-22.114071515248718</c:v>
                </c:pt>
                <c:pt idx="509">
                  <c:v>-22.313993519247358</c:v>
                </c:pt>
                <c:pt idx="510">
                  <c:v>-22.513919032336744</c:v>
                </c:pt>
                <c:pt idx="511">
                  <c:v>-22.713847896696787</c:v>
                </c:pt>
                <c:pt idx="512">
                  <c:v>-22.913779961600195</c:v>
                </c:pt>
                <c:pt idx="513">
                  <c:v>-23.113715083094611</c:v>
                </c:pt>
                <c:pt idx="514">
                  <c:v>-23.313653123698039</c:v>
                </c:pt>
                <c:pt idx="515">
                  <c:v>-23.513593952108515</c:v>
                </c:pt>
                <c:pt idx="516">
                  <c:v>-23.713537442926544</c:v>
                </c:pt>
                <c:pt idx="517">
                  <c:v>-23.913483476390333</c:v>
                </c:pt>
                <c:pt idx="518">
                  <c:v>-24.113431938122396</c:v>
                </c:pt>
                <c:pt idx="519">
                  <c:v>-24.313382718887638</c:v>
                </c:pt>
                <c:pt idx="520">
                  <c:v>-24.513335714362555</c:v>
                </c:pt>
                <c:pt idx="521">
                  <c:v>-24.713290824914779</c:v>
                </c:pt>
                <c:pt idx="522">
                  <c:v>-24.913247955391814</c:v>
                </c:pt>
                <c:pt idx="523">
                  <c:v>-25.113207014920135</c:v>
                </c:pt>
                <c:pt idx="524">
                  <c:v>-25.31316791671291</c:v>
                </c:pt>
                <c:pt idx="525">
                  <c:v>-25.513130577886361</c:v>
                </c:pt>
                <c:pt idx="526">
                  <c:v>-25.713094919284099</c:v>
                </c:pt>
                <c:pt idx="527">
                  <c:v>-25.913060865310111</c:v>
                </c:pt>
                <c:pt idx="528">
                  <c:v>-26.113028343767969</c:v>
                </c:pt>
                <c:pt idx="529">
                  <c:v>-26.31299728570912</c:v>
                </c:pt>
                <c:pt idx="530">
                  <c:v>-26.512967625285807</c:v>
                </c:pt>
                <c:pt idx="531">
                  <c:v>-26.71293929961244</c:v>
                </c:pt>
                <c:pt idx="532">
                  <c:v>-26.912912248631756</c:v>
                </c:pt>
                <c:pt idx="533">
                  <c:v>-27.112886414988587</c:v>
                </c:pt>
                <c:pt idx="534">
                  <c:v>-27.312861743907362</c:v>
                </c:pt>
                <c:pt idx="535">
                  <c:v>-27.512838183076965</c:v>
                </c:pt>
                <c:pt idx="536">
                  <c:v>-27.712815682539262</c:v>
                </c:pt>
                <c:pt idx="537">
                  <c:v>-27.912794194583643</c:v>
                </c:pt>
                <c:pt idx="538">
                  <c:v>-28.112773673646203</c:v>
                </c:pt>
                <c:pt idx="539">
                  <c:v>-28.312754076212535</c:v>
                </c:pt>
                <c:pt idx="540">
                  <c:v>-28.512735360726133</c:v>
                </c:pt>
                <c:pt idx="541">
                  <c:v>-28.712717487500086</c:v>
                </c:pt>
              </c:numCache>
            </c:numRef>
          </c:yVal>
          <c:smooth val="1"/>
          <c:extLst>
            <c:ext xmlns:c16="http://schemas.microsoft.com/office/drawing/2014/chart" uri="{C3380CC4-5D6E-409C-BE32-E72D297353CC}">
              <c16:uniqueId val="{00000000-3DFE-43A9-93A4-11C3658A6E80}"/>
            </c:ext>
          </c:extLst>
        </c:ser>
        <c:dLbls>
          <c:showLegendKey val="0"/>
          <c:showVal val="0"/>
          <c:showCatName val="0"/>
          <c:showSerName val="0"/>
          <c:showPercent val="0"/>
          <c:showBubbleSize val="0"/>
        </c:dLbls>
        <c:axId val="337758080"/>
        <c:axId val="384032768"/>
      </c:scatterChart>
      <c:scatterChart>
        <c:scatterStyle val="smoothMarker"/>
        <c:varyColors val="0"/>
        <c:ser>
          <c:idx val="1"/>
          <c:order val="1"/>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CCM_Loop_Modeling_Isolated!$AU$19:$AU$560</c:f>
              <c:numCache>
                <c:formatCode>General</c:formatCode>
                <c:ptCount val="542"/>
                <c:pt idx="0">
                  <c:v>163.79948849817052</c:v>
                </c:pt>
                <c:pt idx="1">
                  <c:v>163.5165303379234</c:v>
                </c:pt>
                <c:pt idx="2">
                  <c:v>163.23225482129391</c:v>
                </c:pt>
                <c:pt idx="3">
                  <c:v>162.94688163677387</c:v>
                </c:pt>
                <c:pt idx="4">
                  <c:v>162.66064232881797</c:v>
                </c:pt>
                <c:pt idx="5">
                  <c:v>162.37378028921276</c:v>
                </c:pt>
                <c:pt idx="6">
                  <c:v>162.08655069740632</c:v>
                </c:pt>
                <c:pt idx="7">
                  <c:v>161.79922040658772</c:v>
                </c:pt>
                <c:pt idx="8">
                  <c:v>161.51206777249112</c:v>
                </c:pt>
                <c:pt idx="9">
                  <c:v>161.22538242214324</c:v>
                </c:pt>
                <c:pt idx="10">
                  <c:v>160.93946496006012</c:v>
                </c:pt>
                <c:pt idx="11">
                  <c:v>160.65462660973154</c:v>
                </c:pt>
                <c:pt idx="12">
                  <c:v>160.37118878861531</c:v>
                </c:pt>
                <c:pt idx="13">
                  <c:v>160.08948261529119</c:v>
                </c:pt>
                <c:pt idx="14">
                  <c:v>159.80984834788998</c:v>
                </c:pt>
                <c:pt idx="15">
                  <c:v>159.53263475342422</c:v>
                </c:pt>
                <c:pt idx="16">
                  <c:v>159.25819840818806</c:v>
                </c:pt>
                <c:pt idx="17">
                  <c:v>158.98690292996341</c:v>
                </c:pt>
                <c:pt idx="18">
                  <c:v>158.71911814336679</c:v>
                </c:pt>
                <c:pt idx="19">
                  <c:v>158.45521918027757</c:v>
                </c:pt>
                <c:pt idx="20">
                  <c:v>158.19558551790934</c:v>
                </c:pt>
                <c:pt idx="21">
                  <c:v>157.94059995770277</c:v>
                </c:pt>
                <c:pt idx="22">
                  <c:v>157.69064754883595</c:v>
                </c:pt>
                <c:pt idx="23">
                  <c:v>157.44611446073054</c:v>
                </c:pt>
                <c:pt idx="24">
                  <c:v>157.20738680952172</c:v>
                </c:pt>
                <c:pt idx="25">
                  <c:v>156.97484944398249</c:v>
                </c:pt>
                <c:pt idx="26">
                  <c:v>156.74888469690174</c:v>
                </c:pt>
                <c:pt idx="27">
                  <c:v>156.52987110835656</c:v>
                </c:pt>
                <c:pt idx="28">
                  <c:v>156.31818212773561</c:v>
                </c:pt>
                <c:pt idx="29">
                  <c:v>156.11418480168459</c:v>
                </c:pt>
                <c:pt idx="30">
                  <c:v>155.91823845543931</c:v>
                </c:pt>
                <c:pt idx="31">
                  <c:v>155.73069337521432</c:v>
                </c:pt>
                <c:pt idx="32">
                  <c:v>155.55188949944153</c:v>
                </c:pt>
                <c:pt idx="33">
                  <c:v>155.38215512674344</c:v>
                </c:pt>
                <c:pt idx="34">
                  <c:v>155.22180564850115</c:v>
                </c:pt>
                <c:pt idx="35">
                  <c:v>155.07114231381343</c:v>
                </c:pt>
                <c:pt idx="36">
                  <c:v>154.9304510345051</c:v>
                </c:pt>
                <c:pt idx="37">
                  <c:v>154.80000123762846</c:v>
                </c:pt>
                <c:pt idx="38">
                  <c:v>154.68004477264202</c:v>
                </c:pt>
                <c:pt idx="39">
                  <c:v>154.57081488011676</c:v>
                </c:pt>
                <c:pt idx="40">
                  <c:v>154.47252522845625</c:v>
                </c:pt>
                <c:pt idx="41">
                  <c:v>154.38536902467339</c:v>
                </c:pt>
                <c:pt idx="42">
                  <c:v>154.30951820481502</c:v>
                </c:pt>
                <c:pt idx="43">
                  <c:v>154.24512270911123</c:v>
                </c:pt>
                <c:pt idx="44">
                  <c:v>154.19230984638571</c:v>
                </c:pt>
                <c:pt idx="45">
                  <c:v>154.15118375170934</c:v>
                </c:pt>
                <c:pt idx="46">
                  <c:v>154.12182494067099</c:v>
                </c:pt>
                <c:pt idx="47">
                  <c:v>154.10428996305339</c:v>
                </c:pt>
                <c:pt idx="48">
                  <c:v>154.09861115805762</c:v>
                </c:pt>
                <c:pt idx="49">
                  <c:v>154.10479651260528</c:v>
                </c:pt>
                <c:pt idx="50">
                  <c:v>154.12282962358768</c:v>
                </c:pt>
                <c:pt idx="51">
                  <c:v>154.15266976429962</c:v>
                </c:pt>
                <c:pt idx="52">
                  <c:v>154.19425205463943</c:v>
                </c:pt>
                <c:pt idx="53">
                  <c:v>154.24748773401706</c:v>
                </c:pt>
                <c:pt idx="54">
                  <c:v>154.31226453526665</c:v>
                </c:pt>
                <c:pt idx="55">
                  <c:v>154.38844715723442</c:v>
                </c:pt>
                <c:pt idx="56">
                  <c:v>154.47587783309004</c:v>
                </c:pt>
                <c:pt idx="57">
                  <c:v>154.5743769908072</c:v>
                </c:pt>
                <c:pt idx="58">
                  <c:v>154.68374400167474</c:v>
                </c:pt>
                <c:pt idx="59">
                  <c:v>154.8037580121462</c:v>
                </c:pt>
                <c:pt idx="60">
                  <c:v>154.93417885379807</c:v>
                </c:pt>
                <c:pt idx="61">
                  <c:v>155.07474802567558</c:v>
                </c:pt>
                <c:pt idx="62">
                  <c:v>155.22518974285299</c:v>
                </c:pt>
                <c:pt idx="63">
                  <c:v>155.38521204461162</c:v>
                </c:pt>
                <c:pt idx="64">
                  <c:v>155.55450795528625</c:v>
                </c:pt>
                <c:pt idx="65">
                  <c:v>155.73275669051557</c:v>
                </c:pt>
                <c:pt idx="66">
                  <c:v>155.91962490138422</c:v>
                </c:pt>
                <c:pt idx="67">
                  <c:v>156.11476794875387</c:v>
                </c:pt>
                <c:pt idx="68">
                  <c:v>156.3178311999601</c:v>
                </c:pt>
                <c:pt idx="69">
                  <c:v>156.52845133999844</c:v>
                </c:pt>
                <c:pt idx="70">
                  <c:v>156.74625768933993</c:v>
                </c:pt>
                <c:pt idx="71">
                  <c:v>156.97087352060055</c:v>
                </c:pt>
                <c:pt idx="72">
                  <c:v>157.20191736645197</c:v>
                </c:pt>
                <c:pt idx="73">
                  <c:v>157.43900431138607</c:v>
                </c:pt>
                <c:pt idx="74">
                  <c:v>157.68174726023759</c:v>
                </c:pt>
                <c:pt idx="75">
                  <c:v>157.92975817672624</c:v>
                </c:pt>
                <c:pt idx="76">
                  <c:v>158.18264928569457</c:v>
                </c:pt>
                <c:pt idx="77">
                  <c:v>158.44003423318134</c:v>
                </c:pt>
                <c:pt idx="78">
                  <c:v>158.70152919898126</c:v>
                </c:pt>
                <c:pt idx="79">
                  <c:v>158.96675395689141</c:v>
                </c:pt>
                <c:pt idx="80">
                  <c:v>159.235332878425</c:v>
                </c:pt>
                <c:pt idx="81">
                  <c:v>159.50689587636933</c:v>
                </c:pt>
                <c:pt idx="82">
                  <c:v>159.78107928518537</c:v>
                </c:pt>
                <c:pt idx="83">
                  <c:v>160.057526675861</c:v>
                </c:pt>
                <c:pt idx="84">
                  <c:v>160.33588960345062</c:v>
                </c:pt>
                <c:pt idx="85">
                  <c:v>160.61582828613686</c:v>
                </c:pt>
                <c:pt idx="86">
                  <c:v>160.89701221524086</c:v>
                </c:pt>
                <c:pt idx="87">
                  <c:v>161.17912069616813</c:v>
                </c:pt>
                <c:pt idx="88">
                  <c:v>161.46184332081444</c:v>
                </c:pt>
                <c:pt idx="89">
                  <c:v>161.74488037244711</c:v>
                </c:pt>
                <c:pt idx="90">
                  <c:v>162.02794316454055</c:v>
                </c:pt>
                <c:pt idx="91">
                  <c:v>162.31075431545554</c:v>
                </c:pt>
                <c:pt idx="92">
                  <c:v>162.59304796122103</c:v>
                </c:pt>
                <c:pt idx="93">
                  <c:v>162.87456990899946</c:v>
                </c:pt>
                <c:pt idx="94">
                  <c:v>163.15507773408984</c:v>
                </c:pt>
                <c:pt idx="95">
                  <c:v>163.43434082354904</c:v>
                </c:pt>
                <c:pt idx="96">
                  <c:v>163.71214036969241</c:v>
                </c:pt>
                <c:pt idx="97">
                  <c:v>163.9882693168685</c:v>
                </c:pt>
                <c:pt idx="98">
                  <c:v>164.26253226499196</c:v>
                </c:pt>
                <c:pt idx="99">
                  <c:v>164.53474533337794</c:v>
                </c:pt>
                <c:pt idx="100">
                  <c:v>164.80473598841843</c:v>
                </c:pt>
                <c:pt idx="101">
                  <c:v>165.07234283864204</c:v>
                </c:pt>
                <c:pt idx="102">
                  <c:v>165.33741540062647</c:v>
                </c:pt>
                <c:pt idx="103">
                  <c:v>165.59981383916497</c:v>
                </c:pt>
                <c:pt idx="104">
                  <c:v>165.85940868498301</c:v>
                </c:pt>
                <c:pt idx="105">
                  <c:v>166.11608053317715</c:v>
                </c:pt>
                <c:pt idx="106">
                  <c:v>166.3697197254053</c:v>
                </c:pt>
                <c:pt idx="107">
                  <c:v>166.62022601870845</c:v>
                </c:pt>
                <c:pt idx="108">
                  <c:v>166.86750824367741</c:v>
                </c:pt>
                <c:pt idx="109">
                  <c:v>167.11148395450357</c:v>
                </c:pt>
                <c:pt idx="110">
                  <c:v>167.35207907328089</c:v>
                </c:pt>
                <c:pt idx="111">
                  <c:v>167.58922753074305</c:v>
                </c:pt>
                <c:pt idx="112">
                  <c:v>167.82287090544199</c:v>
                </c:pt>
                <c:pt idx="113">
                  <c:v>168.05295806319751</c:v>
                </c:pt>
                <c:pt idx="114">
                  <c:v>168.27944479846931</c:v>
                </c:pt>
                <c:pt idx="115">
                  <c:v>168.5022934791385</c:v>
                </c:pt>
                <c:pt idx="116">
                  <c:v>168.72147269601663</c:v>
                </c:pt>
                <c:pt idx="117">
                  <c:v>168.93695691824905</c:v>
                </c:pt>
                <c:pt idx="118">
                  <c:v>169.14872615562405</c:v>
                </c:pt>
                <c:pt idx="119">
                  <c:v>169.35676562866391</c:v>
                </c:pt>
                <c:pt idx="120">
                  <c:v>169.56106544724005</c:v>
                </c:pt>
                <c:pt idx="121">
                  <c:v>169.76162029832687</c:v>
                </c:pt>
                <c:pt idx="122">
                  <c:v>169.95842914340361</c:v>
                </c:pt>
                <c:pt idx="123">
                  <c:v>170.15149492589686</c:v>
                </c:pt>
                <c:pt idx="124">
                  <c:v>170.34082428896966</c:v>
                </c:pt>
                <c:pt idx="125">
                  <c:v>170.52642730386825</c:v>
                </c:pt>
                <c:pt idx="126">
                  <c:v>170.70831720896248</c:v>
                </c:pt>
                <c:pt idx="127">
                  <c:v>170.88651015953877</c:v>
                </c:pt>
                <c:pt idx="128">
                  <c:v>171.06102498834736</c:v>
                </c:pt>
                <c:pt idx="129">
                  <c:v>171.23188297684428</c:v>
                </c:pt>
                <c:pt idx="130">
                  <c:v>171.39910763701786</c:v>
                </c:pt>
                <c:pt idx="131">
                  <c:v>171.56272450365083</c:v>
                </c:pt>
                <c:pt idx="132">
                  <c:v>171.72276093682544</c:v>
                </c:pt>
                <c:pt idx="133">
                  <c:v>171.87924593445342</c:v>
                </c:pt>
                <c:pt idx="134">
                  <c:v>172.03220995457977</c:v>
                </c:pt>
                <c:pt idx="135">
                  <c:v>172.18168474719064</c:v>
                </c:pt>
                <c:pt idx="136">
                  <c:v>172.32770319523675</c:v>
                </c:pt>
                <c:pt idx="137">
                  <c:v>172.47029916456984</c:v>
                </c:pt>
                <c:pt idx="138">
                  <c:v>172.60950736247636</c:v>
                </c:pt>
                <c:pt idx="139">
                  <c:v>172.74536320448988</c:v>
                </c:pt>
                <c:pt idx="140">
                  <c:v>172.87790268915387</c:v>
                </c:pt>
                <c:pt idx="141">
                  <c:v>173.00716228040713</c:v>
                </c:pt>
                <c:pt idx="142">
                  <c:v>173.13317879726216</c:v>
                </c:pt>
                <c:pt idx="143">
                  <c:v>173.25598931045022</c:v>
                </c:pt>
                <c:pt idx="144">
                  <c:v>173.37563104570759</c:v>
                </c:pt>
                <c:pt idx="145">
                  <c:v>173.49214129338532</c:v>
                </c:pt>
                <c:pt idx="146">
                  <c:v>173.60555732406587</c:v>
                </c:pt>
                <c:pt idx="147">
                  <c:v>173.71591630988377</c:v>
                </c:pt>
                <c:pt idx="148">
                  <c:v>173.82325525124713</c:v>
                </c:pt>
                <c:pt idx="149">
                  <c:v>173.92761090867202</c:v>
                </c:pt>
                <c:pt idx="150">
                  <c:v>174.02901973944623</c:v>
                </c:pt>
                <c:pt idx="151">
                  <c:v>174.12751783885028</c:v>
                </c:pt>
                <c:pt idx="152">
                  <c:v>174.22314088567191</c:v>
                </c:pt>
                <c:pt idx="153">
                  <c:v>174.31592409176159</c:v>
                </c:pt>
                <c:pt idx="154">
                  <c:v>174.4059021553843</c:v>
                </c:pt>
                <c:pt idx="155">
                  <c:v>174.49310921813515</c:v>
                </c:pt>
                <c:pt idx="156">
                  <c:v>174.57757882519431</c:v>
                </c:pt>
                <c:pt idx="157">
                  <c:v>174.6593438887075</c:v>
                </c:pt>
                <c:pt idx="158">
                  <c:v>174.73843665408791</c:v>
                </c:pt>
                <c:pt idx="159">
                  <c:v>174.81488866904496</c:v>
                </c:pt>
                <c:pt idx="160">
                  <c:v>174.88873075515428</c:v>
                </c:pt>
                <c:pt idx="161">
                  <c:v>174.95999298179228</c:v>
                </c:pt>
                <c:pt idx="162">
                  <c:v>175.02870464226856</c:v>
                </c:pt>
                <c:pt idx="163">
                  <c:v>175.09489423199656</c:v>
                </c:pt>
                <c:pt idx="164">
                  <c:v>175.15858942855203</c:v>
                </c:pt>
                <c:pt idx="165">
                  <c:v>175.21981707347663</c:v>
                </c:pt>
                <c:pt idx="166">
                  <c:v>175.27860315569168</c:v>
                </c:pt>
                <c:pt idx="167">
                  <c:v>175.3349727963942</c:v>
                </c:pt>
                <c:pt idx="168">
                  <c:v>175.38895023531549</c:v>
                </c:pt>
                <c:pt idx="169">
                  <c:v>175.44055881822703</c:v>
                </c:pt>
                <c:pt idx="170">
                  <c:v>175.48982098558824</c:v>
                </c:pt>
                <c:pt idx="171">
                  <c:v>175.53675826223363</c:v>
                </c:pt>
                <c:pt idx="172">
                  <c:v>175.58139124800459</c:v>
                </c:pt>
                <c:pt idx="173">
                  <c:v>175.62373960923665</c:v>
                </c:pt>
                <c:pt idx="174">
                  <c:v>175.66382207101742</c:v>
                </c:pt>
                <c:pt idx="175">
                  <c:v>175.70165641013631</c:v>
                </c:pt>
                <c:pt idx="176">
                  <c:v>175.73725944865177</c:v>
                </c:pt>
                <c:pt idx="177">
                  <c:v>175.77064704800614</c:v>
                </c:pt>
                <c:pt idx="178">
                  <c:v>175.80183410362278</c:v>
                </c:pt>
                <c:pt idx="179">
                  <c:v>175.83083453992413</c:v>
                </c:pt>
                <c:pt idx="180">
                  <c:v>175.85766130571309</c:v>
                </c:pt>
                <c:pt idx="181">
                  <c:v>175.88232636986447</c:v>
                </c:pt>
                <c:pt idx="182">
                  <c:v>175.90484071727545</c:v>
                </c:pt>
                <c:pt idx="183">
                  <c:v>175.92521434502856</c:v>
                </c:pt>
                <c:pt idx="184">
                  <c:v>175.94345625872336</c:v>
                </c:pt>
                <c:pt idx="185">
                  <c:v>175.95957446893533</c:v>
                </c:pt>
                <c:pt idx="186">
                  <c:v>175.97357598776426</c:v>
                </c:pt>
                <c:pt idx="187">
                  <c:v>175.98546682543639</c:v>
                </c:pt>
                <c:pt idx="188">
                  <c:v>175.99525198692714</c:v>
                </c:pt>
                <c:pt idx="189">
                  <c:v>176.00293546857387</c:v>
                </c:pt>
                <c:pt idx="190">
                  <c:v>176.00852025464994</c:v>
                </c:pt>
                <c:pt idx="191">
                  <c:v>176.01200831387382</c:v>
                </c:pt>
                <c:pt idx="192">
                  <c:v>176.01340059582895</c:v>
                </c:pt>
                <c:pt idx="193">
                  <c:v>176.01269702727154</c:v>
                </c:pt>
                <c:pt idx="194">
                  <c:v>176.00989650830579</c:v>
                </c:pt>
                <c:pt idx="195">
                  <c:v>176.00499690840778</c:v>
                </c:pt>
                <c:pt idx="196">
                  <c:v>175.9979950622803</c:v>
                </c:pt>
                <c:pt idx="197">
                  <c:v>175.9888867655234</c:v>
                </c:pt>
                <c:pt idx="198">
                  <c:v>175.9776667701058</c:v>
                </c:pt>
                <c:pt idx="199">
                  <c:v>175.96432877962525</c:v>
                </c:pt>
                <c:pt idx="200">
                  <c:v>175.9488654443457</c:v>
                </c:pt>
                <c:pt idx="201">
                  <c:v>175.93126835600199</c:v>
                </c:pt>
                <c:pt idx="202">
                  <c:v>175.91152804236322</c:v>
                </c:pt>
                <c:pt idx="203">
                  <c:v>175.88963396154713</c:v>
                </c:pt>
                <c:pt idx="204">
                  <c:v>175.86557449608043</c:v>
                </c:pt>
                <c:pt idx="205">
                  <c:v>175.83933694669952</c:v>
                </c:pt>
                <c:pt idx="206">
                  <c:v>175.81090752588827</c:v>
                </c:pt>
                <c:pt idx="207">
                  <c:v>175.78027135115144</c:v>
                </c:pt>
                <c:pt idx="208">
                  <c:v>175.74741243802191</c:v>
                </c:pt>
                <c:pt idx="209">
                  <c:v>175.71231369280255</c:v>
                </c:pt>
                <c:pt idx="210">
                  <c:v>175.67495690504447</c:v>
                </c:pt>
                <c:pt idx="211">
                  <c:v>175.63532273976463</c:v>
                </c:pt>
                <c:pt idx="212">
                  <c:v>175.59339072940696</c:v>
                </c:pt>
                <c:pt idx="213">
                  <c:v>175.54913926555326</c:v>
                </c:pt>
                <c:pt idx="214">
                  <c:v>175.50254559039021</c:v>
                </c:pt>
                <c:pt idx="215">
                  <c:v>175.45358578794253</c:v>
                </c:pt>
                <c:pt idx="216">
                  <c:v>175.40223477508096</c:v>
                </c:pt>
                <c:pt idx="217">
                  <c:v>175.34846629231831</c:v>
                </c:pt>
                <c:pt idx="218">
                  <c:v>175.29225289440623</c:v>
                </c:pt>
                <c:pt idx="219">
                  <c:v>175.23356594074809</c:v>
                </c:pt>
                <c:pt idx="220">
                  <c:v>175.17237558564611</c:v>
                </c:pt>
                <c:pt idx="221">
                  <c:v>175.1086507683998</c:v>
                </c:pt>
                <c:pt idx="222">
                  <c:v>175.04235920327966</c:v>
                </c:pt>
                <c:pt idx="223">
                  <c:v>174.97346736939653</c:v>
                </c:pt>
                <c:pt idx="224">
                  <c:v>174.90194050049496</c:v>
                </c:pt>
                <c:pt idx="225">
                  <c:v>174.82774257469629</c:v>
                </c:pt>
                <c:pt idx="226">
                  <c:v>174.75083630422358</c:v>
                </c:pt>
                <c:pt idx="227">
                  <c:v>174.67118312514143</c:v>
                </c:pt>
                <c:pt idx="228">
                  <c:v>174.58874318714658</c:v>
                </c:pt>
                <c:pt idx="229">
                  <c:v>174.50347534344843</c:v>
                </c:pt>
                <c:pt idx="230">
                  <c:v>174.41533714078281</c:v>
                </c:pt>
                <c:pt idx="231">
                  <c:v>174.3242848096036</c:v>
                </c:pt>
                <c:pt idx="232">
                  <c:v>174.23027325450346</c:v>
                </c:pt>
                <c:pt idx="233">
                  <c:v>174.13325604491487</c:v>
                </c:pt>
                <c:pt idx="234">
                  <c:v>174.03318540615101</c:v>
                </c:pt>
                <c:pt idx="235">
                  <c:v>173.93001221084691</c:v>
                </c:pt>
                <c:pt idx="236">
                  <c:v>173.8236859708673</c:v>
                </c:pt>
                <c:pt idx="237">
                  <c:v>173.71415482975303</c:v>
                </c:pt>
                <c:pt idx="238">
                  <c:v>173.60136555578063</c:v>
                </c:pt>
                <c:pt idx="239">
                  <c:v>173.48526353571899</c:v>
                </c:pt>
                <c:pt idx="240">
                  <c:v>173.3657927693674</c:v>
                </c:pt>
                <c:pt idx="241">
                  <c:v>173.24289586497031</c:v>
                </c:pt>
                <c:pt idx="242">
                  <c:v>173.11651403560722</c:v>
                </c:pt>
                <c:pt idx="243">
                  <c:v>172.98658709666373</c:v>
                </c:pt>
                <c:pt idx="244">
                  <c:v>172.85305346449726</c:v>
                </c:pt>
                <c:pt idx="245">
                  <c:v>172.71585015641614</c:v>
                </c:pt>
                <c:pt idx="246">
                  <c:v>172.57491279210171</c:v>
                </c:pt>
                <c:pt idx="247">
                  <c:v>172.43017559660768</c:v>
                </c:pt>
                <c:pt idx="248">
                  <c:v>172.28157140508131</c:v>
                </c:pt>
                <c:pt idx="249">
                  <c:v>172.12903166935928</c:v>
                </c:pt>
                <c:pt idx="250">
                  <c:v>171.97248646659878</c:v>
                </c:pt>
                <c:pt idx="251">
                  <c:v>171.81186451011669</c:v>
                </c:pt>
                <c:pt idx="252">
                  <c:v>171.64709316261587</c:v>
                </c:pt>
                <c:pt idx="253">
                  <c:v>171.47809845198952</c:v>
                </c:pt>
                <c:pt idx="254">
                  <c:v>171.30480508990561</c:v>
                </c:pt>
                <c:pt idx="255">
                  <c:v>171.12713649338127</c:v>
                </c:pt>
                <c:pt idx="256">
                  <c:v>170.94501480957163</c:v>
                </c:pt>
                <c:pt idx="257">
                  <c:v>170.75836094400418</c:v>
                </c:pt>
                <c:pt idx="258">
                  <c:v>170.56709459250544</c:v>
                </c:pt>
                <c:pt idx="259">
                  <c:v>170.3711342770753</c:v>
                </c:pt>
                <c:pt idx="260">
                  <c:v>170.17039738597595</c:v>
                </c:pt>
                <c:pt idx="261">
                  <c:v>169.96480021831601</c:v>
                </c:pt>
                <c:pt idx="262">
                  <c:v>169.75425803341926</c:v>
                </c:pt>
                <c:pt idx="263">
                  <c:v>169.53868510527943</c:v>
                </c:pt>
                <c:pt idx="264">
                  <c:v>169.31799478241518</c:v>
                </c:pt>
                <c:pt idx="265">
                  <c:v>169.09209955344755</c:v>
                </c:pt>
                <c:pt idx="266">
                  <c:v>168.86091111873435</c:v>
                </c:pt>
                <c:pt idx="267">
                  <c:v>168.62434046840309</c:v>
                </c:pt>
                <c:pt idx="268">
                  <c:v>168.38229796713691</c:v>
                </c:pt>
                <c:pt idx="269">
                  <c:v>168.13469344606969</c:v>
                </c:pt>
                <c:pt idx="270">
                  <c:v>167.88143630215995</c:v>
                </c:pt>
                <c:pt idx="271">
                  <c:v>167.62243560541108</c:v>
                </c:pt>
                <c:pt idx="272">
                  <c:v>167.35760021431716</c:v>
                </c:pt>
                <c:pt idx="273">
                  <c:v>167.08683889990627</c:v>
                </c:pt>
                <c:pt idx="274">
                  <c:v>166.81006047876082</c:v>
                </c:pt>
                <c:pt idx="275">
                  <c:v>166.52717395538528</c:v>
                </c:pt>
                <c:pt idx="276">
                  <c:v>166.23808867429048</c:v>
                </c:pt>
                <c:pt idx="277">
                  <c:v>165.94271448215207</c:v>
                </c:pt>
                <c:pt idx="278">
                  <c:v>165.64096190038816</c:v>
                </c:pt>
                <c:pt idx="279">
                  <c:v>165.3327423084871</c:v>
                </c:pt>
                <c:pt idx="280">
                  <c:v>165.01796813839314</c:v>
                </c:pt>
                <c:pt idx="281">
                  <c:v>164.69655308023536</c:v>
                </c:pt>
                <c:pt idx="282">
                  <c:v>164.36841229965117</c:v>
                </c:pt>
                <c:pt idx="283">
                  <c:v>164.03346266692438</c:v>
                </c:pt>
                <c:pt idx="284">
                  <c:v>163.69162299811012</c:v>
                </c:pt>
                <c:pt idx="285">
                  <c:v>163.3428143082763</c:v>
                </c:pt>
                <c:pt idx="286">
                  <c:v>162.98696007693491</c:v>
                </c:pt>
                <c:pt idx="287">
                  <c:v>162.6239865256654</c:v>
                </c:pt>
                <c:pt idx="288">
                  <c:v>162.25382290788079</c:v>
                </c:pt>
                <c:pt idx="289">
                  <c:v>161.87640181058777</c:v>
                </c:pt>
                <c:pt idx="290">
                  <c:v>161.49165946792215</c:v>
                </c:pt>
                <c:pt idx="291">
                  <c:v>161.09953608613853</c:v>
                </c:pt>
                <c:pt idx="292">
                  <c:v>160.69997617962983</c:v>
                </c:pt>
                <c:pt idx="293">
                  <c:v>160.29292891744524</c:v>
                </c:pt>
                <c:pt idx="294">
                  <c:v>159.87834847964953</c:v>
                </c:pt>
                <c:pt idx="295">
                  <c:v>159.45619442274034</c:v>
                </c:pt>
                <c:pt idx="296">
                  <c:v>159.02643205320243</c:v>
                </c:pt>
                <c:pt idx="297">
                  <c:v>158.58903280813414</c:v>
                </c:pt>
                <c:pt idx="298">
                  <c:v>158.1439746417318</c:v>
                </c:pt>
                <c:pt idx="299">
                  <c:v>157.69124241625241</c:v>
                </c:pt>
                <c:pt idx="300">
                  <c:v>157.23082829592573</c:v>
                </c:pt>
                <c:pt idx="301">
                  <c:v>156.76273214211076</c:v>
                </c:pt>
                <c:pt idx="302">
                  <c:v>156.28696190782782</c:v>
                </c:pt>
                <c:pt idx="303">
                  <c:v>155.80353402962868</c:v>
                </c:pt>
                <c:pt idx="304">
                  <c:v>155.3124738146021</c:v>
                </c:pt>
                <c:pt idx="305">
                  <c:v>154.81381582014899</c:v>
                </c:pt>
                <c:pt idx="306">
                  <c:v>154.30760422400624</c:v>
                </c:pt>
                <c:pt idx="307">
                  <c:v>153.79389318185085</c:v>
                </c:pt>
                <c:pt idx="308">
                  <c:v>153.27274716968452</c:v>
                </c:pt>
                <c:pt idx="309">
                  <c:v>152.74424130807819</c:v>
                </c:pt>
                <c:pt idx="310">
                  <c:v>152.20846166525763</c:v>
                </c:pt>
                <c:pt idx="311">
                  <c:v>151.66550553593035</c:v>
                </c:pt>
                <c:pt idx="312">
                  <c:v>151.11548169270665</c:v>
                </c:pt>
                <c:pt idx="313">
                  <c:v>150.55851060693621</c:v>
                </c:pt>
                <c:pt idx="314">
                  <c:v>149.99472463579556</c:v>
                </c:pt>
                <c:pt idx="315">
                  <c:v>149.42426817250168</c:v>
                </c:pt>
                <c:pt idx="316">
                  <c:v>148.84729775660287</c:v>
                </c:pt>
                <c:pt idx="317">
                  <c:v>148.26398214142361</c:v>
                </c:pt>
                <c:pt idx="318">
                  <c:v>147.67450231589632</c:v>
                </c:pt>
                <c:pt idx="319">
                  <c:v>147.07905147821725</c:v>
                </c:pt>
                <c:pt idx="320">
                  <c:v>146.47783495901103</c:v>
                </c:pt>
                <c:pt idx="321">
                  <c:v>145.87107009197743</c:v>
                </c:pt>
                <c:pt idx="322">
                  <c:v>145.25898603033036</c:v>
                </c:pt>
                <c:pt idx="323">
                  <c:v>144.64182350770389</c:v>
                </c:pt>
                <c:pt idx="324">
                  <c:v>144.01983454261756</c:v>
                </c:pt>
                <c:pt idx="325">
                  <c:v>143.39328208604121</c:v>
                </c:pt>
                <c:pt idx="326">
                  <c:v>142.76243961206336</c:v>
                </c:pt>
                <c:pt idx="327">
                  <c:v>142.1275906521783</c:v>
                </c:pt>
                <c:pt idx="328">
                  <c:v>141.48902827422285</c:v>
                </c:pt>
                <c:pt idx="329">
                  <c:v>140.84705450751071</c:v>
                </c:pt>
                <c:pt idx="330">
                  <c:v>140.20197971627488</c:v>
                </c:pt>
                <c:pt idx="331">
                  <c:v>139.55412192401866</c:v>
                </c:pt>
                <c:pt idx="332">
                  <c:v>138.90380609193551</c:v>
                </c:pt>
                <c:pt idx="333">
                  <c:v>138.25136335501617</c:v>
                </c:pt>
                <c:pt idx="334">
                  <c:v>137.59713021995935</c:v>
                </c:pt>
                <c:pt idx="335">
                  <c:v>136.94144772941345</c:v>
                </c:pt>
                <c:pt idx="336">
                  <c:v>136.2846605974801</c:v>
                </c:pt>
                <c:pt idx="337">
                  <c:v>135.62711632171707</c:v>
                </c:pt>
                <c:pt idx="338">
                  <c:v>134.96916427718807</c:v>
                </c:pt>
                <c:pt idx="339">
                  <c:v>134.31115479829617</c:v>
                </c:pt>
                <c:pt idx="340">
                  <c:v>133.65343825429011</c:v>
                </c:pt>
                <c:pt idx="341">
                  <c:v>132.99636412440631</c:v>
                </c:pt>
                <c:pt idx="342">
                  <c:v>132.34028007862364</c:v>
                </c:pt>
                <c:pt idx="343">
                  <c:v>131.6855310699215</c:v>
                </c:pt>
                <c:pt idx="344">
                  <c:v>131.03245844381908</c:v>
                </c:pt>
                <c:pt idx="345">
                  <c:v>130.38139907074142</c:v>
                </c:pt>
                <c:pt idx="346">
                  <c:v>129.73268450650954</c:v>
                </c:pt>
                <c:pt idx="347">
                  <c:v>129.08664018592302</c:v>
                </c:pt>
                <c:pt idx="348">
                  <c:v>128.44358465399998</c:v>
                </c:pt>
                <c:pt idx="349">
                  <c:v>127.80382883905385</c:v>
                </c:pt>
                <c:pt idx="350">
                  <c:v>127.16767537127889</c:v>
                </c:pt>
                <c:pt idx="351">
                  <c:v>126.53541795005798</c:v>
                </c:pt>
                <c:pt idx="352">
                  <c:v>125.90734076267022</c:v>
                </c:pt>
                <c:pt idx="353">
                  <c:v>125.28371795655256</c:v>
                </c:pt>
                <c:pt idx="354">
                  <c:v>124.66481316673608</c:v>
                </c:pt>
                <c:pt idx="355">
                  <c:v>124.05087909955465</c:v>
                </c:pt>
                <c:pt idx="356">
                  <c:v>123.44215717318386</c:v>
                </c:pt>
                <c:pt idx="357">
                  <c:v>122.83887721509134</c:v>
                </c:pt>
                <c:pt idx="358">
                  <c:v>122.2412572159799</c:v>
                </c:pt>
                <c:pt idx="359">
                  <c:v>121.6495031393695</c:v>
                </c:pt>
                <c:pt idx="360">
                  <c:v>121.06380878554097</c:v>
                </c:pt>
                <c:pt idx="361">
                  <c:v>120.48435570819119</c:v>
                </c:pt>
                <c:pt idx="362">
                  <c:v>119.91131318180982</c:v>
                </c:pt>
                <c:pt idx="363">
                  <c:v>119.34483821749592</c:v>
                </c:pt>
                <c:pt idx="364">
                  <c:v>118.78507562467314</c:v>
                </c:pt>
                <c:pt idx="365">
                  <c:v>118.2321581159658</c:v>
                </c:pt>
                <c:pt idx="366">
                  <c:v>117.68620645231985</c:v>
                </c:pt>
                <c:pt idx="367">
                  <c:v>117.14732962533964</c:v>
                </c:pt>
                <c:pt idx="368">
                  <c:v>116.61562507371575</c:v>
                </c:pt>
                <c:pt idx="369">
                  <c:v>116.09117893058875</c:v>
                </c:pt>
                <c:pt idx="370">
                  <c:v>115.57406629866338</c:v>
                </c:pt>
                <c:pt idx="371">
                  <c:v>115.06435154992421</c:v>
                </c:pt>
                <c:pt idx="372">
                  <c:v>114.56208864684514</c:v>
                </c:pt>
                <c:pt idx="373">
                  <c:v>114.06732148206136</c:v>
                </c:pt>
                <c:pt idx="374">
                  <c:v>113.58008423357352</c:v>
                </c:pt>
                <c:pt idx="375">
                  <c:v>113.10040173266309</c:v>
                </c:pt>
                <c:pt idx="376">
                  <c:v>112.62828984184119</c:v>
                </c:pt>
                <c:pt idx="377">
                  <c:v>112.1637558402858</c:v>
                </c:pt>
                <c:pt idx="378">
                  <c:v>111.70679881438539</c:v>
                </c:pt>
                <c:pt idx="379">
                  <c:v>111.25741005116667</c:v>
                </c:pt>
                <c:pt idx="380">
                  <c:v>110.81557343254616</c:v>
                </c:pt>
                <c:pt idx="381">
                  <c:v>110.3812658285191</c:v>
                </c:pt>
                <c:pt idx="382">
                  <c:v>109.95445748756191</c:v>
                </c:pt>
                <c:pt idx="383">
                  <c:v>109.53511242269484</c:v>
                </c:pt>
                <c:pt idx="384">
                  <c:v>109.1231887918086</c:v>
                </c:pt>
                <c:pt idx="385">
                  <c:v>108.71863927102292</c:v>
                </c:pt>
                <c:pt idx="386">
                  <c:v>108.32141141999362</c:v>
                </c:pt>
                <c:pt idx="387">
                  <c:v>107.93144803822769</c:v>
                </c:pt>
                <c:pt idx="388">
                  <c:v>107.54868751160929</c:v>
                </c:pt>
                <c:pt idx="389">
                  <c:v>107.17306414846537</c:v>
                </c:pt>
                <c:pt idx="390">
                  <c:v>106.8045085046209</c:v>
                </c:pt>
                <c:pt idx="391">
                  <c:v>106.44294769700976</c:v>
                </c:pt>
                <c:pt idx="392">
                  <c:v>106.08830570550688</c:v>
                </c:pt>
                <c:pt idx="393">
                  <c:v>105.7405036627498</c:v>
                </c:pt>
                <c:pt idx="394">
                  <c:v>105.39946013179473</c:v>
                </c:pt>
                <c:pt idx="395">
                  <c:v>105.06509137154293</c:v>
                </c:pt>
                <c:pt idx="396">
                  <c:v>104.73731158993468</c:v>
                </c:pt>
                <c:pt idx="397">
                  <c:v>104.41603318497746</c:v>
                </c:pt>
                <c:pt idx="398">
                  <c:v>104.10116697372595</c:v>
                </c:pt>
                <c:pt idx="399">
                  <c:v>103.79262240938596</c:v>
                </c:pt>
                <c:pt idx="400">
                  <c:v>103.49030778675325</c:v>
                </c:pt>
                <c:pt idx="401">
                  <c:v>103.1941304362346</c:v>
                </c:pt>
                <c:pt idx="402">
                  <c:v>102.90399690673357</c:v>
                </c:pt>
                <c:pt idx="403">
                  <c:v>102.61981313770342</c:v>
                </c:pt>
                <c:pt idx="404">
                  <c:v>102.34148462069568</c:v>
                </c:pt>
                <c:pt idx="405">
                  <c:v>102.06891655074756</c:v>
                </c:pt>
                <c:pt idx="406">
                  <c:v>101.80201396796245</c:v>
                </c:pt>
                <c:pt idx="407">
                  <c:v>101.54068188965235</c:v>
                </c:pt>
                <c:pt idx="408">
                  <c:v>101.28482543340937</c:v>
                </c:pt>
                <c:pt idx="409">
                  <c:v>101.03434993148535</c:v>
                </c:pt>
                <c:pt idx="410">
                  <c:v>100.78916103685204</c:v>
                </c:pt>
                <c:pt idx="411">
                  <c:v>100.54916482131738</c:v>
                </c:pt>
                <c:pt idx="412">
                  <c:v>100.31426786606842</c:v>
                </c:pt>
                <c:pt idx="413">
                  <c:v>100.08437734500659</c:v>
                </c:pt>
                <c:pt idx="414">
                  <c:v>99.859401101234383</c:v>
                </c:pt>
                <c:pt idx="415">
                  <c:v>99.639247717045663</c:v>
                </c:pt>
                <c:pt idx="416">
                  <c:v>99.423826577762512</c:v>
                </c:pt>
                <c:pt idx="417">
                  <c:v>99.213047929751298</c:v>
                </c:pt>
                <c:pt idx="418">
                  <c:v>99.006822932943848</c:v>
                </c:pt>
                <c:pt idx="419">
                  <c:v>98.805063708173662</c:v>
                </c:pt>
                <c:pt idx="420">
                  <c:v>98.607683379631354</c:v>
                </c:pt>
                <c:pt idx="421">
                  <c:v>98.414596112728645</c:v>
                </c:pt>
                <c:pt idx="422">
                  <c:v>98.22571714765192</c:v>
                </c:pt>
                <c:pt idx="423">
                  <c:v>98.040962828869482</c:v>
                </c:pt>
                <c:pt idx="424">
                  <c:v>97.860250630853997</c:v>
                </c:pt>
                <c:pt idx="425">
                  <c:v>97.683499180259702</c:v>
                </c:pt>
                <c:pt idx="426">
                  <c:v>97.510628274790975</c:v>
                </c:pt>
                <c:pt idx="427">
                  <c:v>97.341558898984843</c:v>
                </c:pt>
                <c:pt idx="428">
                  <c:v>97.176213237117338</c:v>
                </c:pt>
                <c:pt idx="429">
                  <c:v>97.014514683434356</c:v>
                </c:pt>
                <c:pt idx="430">
                  <c:v>96.856387849901168</c:v>
                </c:pt>
                <c:pt idx="431">
                  <c:v>96.701758571645342</c:v>
                </c:pt>
                <c:pt idx="432">
                  <c:v>96.550553910270011</c:v>
                </c:pt>
                <c:pt idx="433">
                  <c:v>96.402702155193296</c:v>
                </c:pt>
                <c:pt idx="434">
                  <c:v>96.258132823170214</c:v>
                </c:pt>
                <c:pt idx="435">
                  <c:v>96.11677665613901</c:v>
                </c:pt>
                <c:pt idx="436">
                  <c:v>95.97856561752684</c:v>
                </c:pt>
                <c:pt idx="437">
                  <c:v>95.843432887144274</c:v>
                </c:pt>
                <c:pt idx="438">
                  <c:v>95.71131285478468</c:v>
                </c:pt>
                <c:pt idx="439">
                  <c:v>95.58214111264472</c:v>
                </c:pt>
                <c:pt idx="440">
                  <c:v>95.455854446669349</c:v>
                </c:pt>
                <c:pt idx="441">
                  <c:v>95.33239082691955</c:v>
                </c:pt>
                <c:pt idx="442">
                  <c:v>95.211689397057526</c:v>
                </c:pt>
                <c:pt idx="443">
                  <c:v>95.093690463033809</c:v>
                </c:pt>
                <c:pt idx="444">
                  <c:v>94.978335481058892</c:v>
                </c:pt>
                <c:pt idx="445">
                  <c:v>94.865567044932931</c:v>
                </c:pt>
                <c:pt idx="446">
                  <c:v>94.755328872806757</c:v>
                </c:pt>
                <c:pt idx="447">
                  <c:v>94.647565793437039</c:v>
                </c:pt>
                <c:pt idx="448">
                  <c:v>94.542223731998888</c:v>
                </c:pt>
                <c:pt idx="449">
                  <c:v>94.439249695511563</c:v>
                </c:pt>
                <c:pt idx="450">
                  <c:v>94.338591757930544</c:v>
                </c:pt>
                <c:pt idx="451">
                  <c:v>94.240199044955247</c:v>
                </c:pt>
                <c:pt idx="452">
                  <c:v>94.144021718597685</c:v>
                </c:pt>
                <c:pt idx="453">
                  <c:v>94.050010961553596</c:v>
                </c:pt>
                <c:pt idx="454">
                  <c:v>93.958118961416417</c:v>
                </c:pt>
                <c:pt idx="455">
                  <c:v>93.868298894768373</c:v>
                </c:pt>
                <c:pt idx="456">
                  <c:v>93.780504911183726</c:v>
                </c:pt>
                <c:pt idx="457">
                  <c:v>93.694692117173091</c:v>
                </c:pt>
                <c:pt idx="458">
                  <c:v>93.610816560098087</c:v>
                </c:pt>
                <c:pt idx="459">
                  <c:v>93.528835212081887</c:v>
                </c:pt>
                <c:pt idx="460">
                  <c:v>93.448705953939381</c:v>
                </c:pt>
                <c:pt idx="461">
                  <c:v>93.370387559148412</c:v>
                </c:pt>
                <c:pt idx="462">
                  <c:v>93.2938396778829</c:v>
                </c:pt>
                <c:pt idx="463">
                  <c:v>93.219022821124412</c:v>
                </c:pt>
                <c:pt idx="464">
                  <c:v>93.145898344869977</c:v>
                </c:pt>
                <c:pt idx="465">
                  <c:v>93.074428434451022</c:v>
                </c:pt>
                <c:pt idx="466">
                  <c:v>93.004576088975725</c:v>
                </c:pt>
                <c:pt idx="467">
                  <c:v>92.936305105908644</c:v>
                </c:pt>
                <c:pt idx="468">
                  <c:v>92.869580065797393</c:v>
                </c:pt>
                <c:pt idx="469">
                  <c:v>92.804366317156806</c:v>
                </c:pt>
                <c:pt idx="470">
                  <c:v>92.740629961519261</c:v>
                </c:pt>
                <c:pt idx="471">
                  <c:v>92.678337838658621</c:v>
                </c:pt>
                <c:pt idx="472">
                  <c:v>92.61745751199534</c:v>
                </c:pt>
                <c:pt idx="473">
                  <c:v>92.557957254188068</c:v>
                </c:pt>
                <c:pt idx="474">
                  <c:v>92.499806032917405</c:v>
                </c:pt>
                <c:pt idx="475">
                  <c:v>92.442973496866074</c:v>
                </c:pt>
                <c:pt idx="476">
                  <c:v>92.387429961899656</c:v>
                </c:pt>
                <c:pt idx="477">
                  <c:v>92.333146397450648</c:v>
                </c:pt>
                <c:pt idx="478">
                  <c:v>92.280094413109026</c:v>
                </c:pt>
                <c:pt idx="479">
                  <c:v>92.228246245420905</c:v>
                </c:pt>
                <c:pt idx="480">
                  <c:v>92.1775747448971</c:v>
                </c:pt>
                <c:pt idx="481">
                  <c:v>92.128053363233136</c:v>
                </c:pt>
                <c:pt idx="482">
                  <c:v>92.079656140740624</c:v>
                </c:pt>
                <c:pt idx="483">
                  <c:v>92.032357693991187</c:v>
                </c:pt>
                <c:pt idx="484">
                  <c:v>91.986133203672694</c:v>
                </c:pt>
                <c:pt idx="485">
                  <c:v>91.940958402657202</c:v>
                </c:pt>
                <c:pt idx="486">
                  <c:v>91.896809564280474</c:v>
                </c:pt>
                <c:pt idx="487">
                  <c:v>91.853663490832034</c:v>
                </c:pt>
                <c:pt idx="488">
                  <c:v>91.811497502254639</c:v>
                </c:pt>
                <c:pt idx="489">
                  <c:v>91.770289425051999</c:v>
                </c:pt>
                <c:pt idx="490">
                  <c:v>91.730017581403075</c:v>
                </c:pt>
                <c:pt idx="491">
                  <c:v>91.690660778481345</c:v>
                </c:pt>
                <c:pt idx="492">
                  <c:v>91.652198297977421</c:v>
                </c:pt>
                <c:pt idx="493">
                  <c:v>91.614609885822532</c:v>
                </c:pt>
                <c:pt idx="494">
                  <c:v>91.57787574211136</c:v>
                </c:pt>
                <c:pt idx="495">
                  <c:v>91.54197651122162</c:v>
                </c:pt>
                <c:pt idx="496">
                  <c:v>91.506893272127883</c:v>
                </c:pt>
                <c:pt idx="497">
                  <c:v>91.472607528908057</c:v>
                </c:pt>
                <c:pt idx="498">
                  <c:v>91.439101201438888</c:v>
                </c:pt>
                <c:pt idx="499">
                  <c:v>91.406356616278885</c:v>
                </c:pt>
                <c:pt idx="500">
                  <c:v>91.374356497735519</c:v>
                </c:pt>
                <c:pt idx="501">
                  <c:v>91.343083959114267</c:v>
                </c:pt>
                <c:pt idx="502">
                  <c:v>91.312522494146549</c:v>
                </c:pt>
                <c:pt idx="503">
                  <c:v>91.282655968594227</c:v>
                </c:pt>
                <c:pt idx="504">
                  <c:v>91.253468612027405</c:v>
                </c:pt>
                <c:pt idx="505">
                  <c:v>91.224945009773194</c:v>
                </c:pt>
                <c:pt idx="506">
                  <c:v>91.197070095032331</c:v>
                </c:pt>
                <c:pt idx="507">
                  <c:v>91.169829141160946</c:v>
                </c:pt>
                <c:pt idx="508">
                  <c:v>91.143207754114812</c:v>
                </c:pt>
                <c:pt idx="509">
                  <c:v>91.117191865052902</c:v>
                </c:pt>
                <c:pt idx="510">
                  <c:v>91.091767723098016</c:v>
                </c:pt>
                <c:pt idx="511">
                  <c:v>91.06692188825096</c:v>
                </c:pt>
                <c:pt idx="512">
                  <c:v>91.042641224456219</c:v>
                </c:pt>
                <c:pt idx="513">
                  <c:v>91.018912892815848</c:v>
                </c:pt>
                <c:pt idx="514">
                  <c:v>90.995724344948982</c:v>
                </c:pt>
                <c:pt idx="515">
                  <c:v>90.97306331649439</c:v>
                </c:pt>
                <c:pt idx="516">
                  <c:v>90.950917820753176</c:v>
                </c:pt>
                <c:pt idx="517">
                  <c:v>90.929276142468922</c:v>
                </c:pt>
                <c:pt idx="518">
                  <c:v>90.908126831742848</c:v>
                </c:pt>
                <c:pt idx="519">
                  <c:v>90.887458698081176</c:v>
                </c:pt>
                <c:pt idx="520">
                  <c:v>90.867260804572098</c:v>
                </c:pt>
                <c:pt idx="521">
                  <c:v>90.8475224621899</c:v>
                </c:pt>
                <c:pt idx="522">
                  <c:v>90.828233224223652</c:v>
                </c:pt>
                <c:pt idx="523">
                  <c:v>90.809382880827982</c:v>
                </c:pt>
                <c:pt idx="524">
                  <c:v>90.790961453693328</c:v>
                </c:pt>
                <c:pt idx="525">
                  <c:v>90.772959190833575</c:v>
                </c:pt>
                <c:pt idx="526">
                  <c:v>90.755366561488287</c:v>
                </c:pt>
                <c:pt idx="527">
                  <c:v>90.738174251137536</c:v>
                </c:pt>
                <c:pt idx="528">
                  <c:v>90.721373156626782</c:v>
                </c:pt>
                <c:pt idx="529">
                  <c:v>90.704954381399418</c:v>
                </c:pt>
                <c:pt idx="530">
                  <c:v>90.68890923083525</c:v>
                </c:pt>
                <c:pt idx="531">
                  <c:v>90.673229207692003</c:v>
                </c:pt>
                <c:pt idx="532">
                  <c:v>90.657906007648322</c:v>
                </c:pt>
                <c:pt idx="533">
                  <c:v>90.642931514945559</c:v>
                </c:pt>
                <c:pt idx="534">
                  <c:v>90.628297798126866</c:v>
                </c:pt>
                <c:pt idx="535">
                  <c:v>90.613997105870865</c:v>
                </c:pt>
                <c:pt idx="536">
                  <c:v>90.600021862918481</c:v>
                </c:pt>
                <c:pt idx="537">
                  <c:v>90.586364666090603</c:v>
                </c:pt>
                <c:pt idx="538">
                  <c:v>90.573018280394564</c:v>
                </c:pt>
                <c:pt idx="539">
                  <c:v>90.55997563521791</c:v>
                </c:pt>
                <c:pt idx="540">
                  <c:v>90.5472298206072</c:v>
                </c:pt>
                <c:pt idx="541">
                  <c:v>90.534774083630126</c:v>
                </c:pt>
              </c:numCache>
            </c:numRef>
          </c:yVal>
          <c:smooth val="1"/>
          <c:extLst>
            <c:ext xmlns:c16="http://schemas.microsoft.com/office/drawing/2014/chart" uri="{C3380CC4-5D6E-409C-BE32-E72D297353CC}">
              <c16:uniqueId val="{00000001-3DFE-43A9-93A4-11C3658A6E80}"/>
            </c:ext>
          </c:extLst>
        </c:ser>
        <c:dLbls>
          <c:showLegendKey val="0"/>
          <c:showVal val="0"/>
          <c:showCatName val="0"/>
          <c:showSerName val="0"/>
          <c:showPercent val="0"/>
          <c:showBubbleSize val="0"/>
        </c:dLbls>
        <c:axId val="384036224"/>
        <c:axId val="384034688"/>
      </c:scatterChart>
      <c:valAx>
        <c:axId val="337758080"/>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84032768"/>
        <c:crosses val="autoZero"/>
        <c:crossBetween val="midCat"/>
      </c:valAx>
      <c:valAx>
        <c:axId val="384032768"/>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37758080"/>
        <c:crosses val="autoZero"/>
        <c:crossBetween val="midCat"/>
        <c:majorUnit val="20"/>
        <c:minorUnit val="10"/>
      </c:valAx>
      <c:valAx>
        <c:axId val="384034688"/>
        <c:scaling>
          <c:orientation val="minMax"/>
          <c:max val="180"/>
          <c:min val="-180"/>
        </c:scaling>
        <c:delete val="0"/>
        <c:axPos val="r"/>
        <c:numFmt formatCode="General" sourceLinked="1"/>
        <c:majorTickMark val="out"/>
        <c:minorTickMark val="none"/>
        <c:tickLblPos val="nextTo"/>
        <c:crossAx val="384036224"/>
        <c:crosses val="max"/>
        <c:crossBetween val="midCat"/>
        <c:majorUnit val="90"/>
        <c:minorUnit val="45"/>
      </c:valAx>
      <c:valAx>
        <c:axId val="384036224"/>
        <c:scaling>
          <c:logBase val="10"/>
          <c:orientation val="minMax"/>
        </c:scaling>
        <c:delete val="1"/>
        <c:axPos val="b"/>
        <c:numFmt formatCode="0.00" sourceLinked="1"/>
        <c:majorTickMark val="out"/>
        <c:minorTickMark val="none"/>
        <c:tickLblPos val="nextTo"/>
        <c:crossAx val="384034688"/>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Bode Plot</a:t>
            </a: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CCM_Loop_Modeling_Isolated!$AW$19:$AW$560</c:f>
              <c:numCache>
                <c:formatCode>0.000</c:formatCode>
                <c:ptCount val="542"/>
                <c:pt idx="0">
                  <c:v>103.26727143061564</c:v>
                </c:pt>
                <c:pt idx="1">
                  <c:v>103.05067632087672</c:v>
                </c:pt>
                <c:pt idx="2">
                  <c:v>102.83205003227458</c:v>
                </c:pt>
                <c:pt idx="3">
                  <c:v>102.61139770691655</c:v>
                </c:pt>
                <c:pt idx="4">
                  <c:v>102.38872457995055</c:v>
                </c:pt>
                <c:pt idx="5">
                  <c:v>102.16403609866084</c:v>
                </c:pt>
                <c:pt idx="6">
                  <c:v>101.93733804690687</c:v>
                </c:pt>
                <c:pt idx="7">
                  <c:v>101.70863667422262</c:v>
                </c:pt>
                <c:pt idx="8">
                  <c:v>101.47793882883983</c:v>
                </c:pt>
                <c:pt idx="9">
                  <c:v>101.24525209385</c:v>
                </c:pt>
                <c:pt idx="10">
                  <c:v>101.01058492566736</c:v>
                </c:pt>
                <c:pt idx="11">
                  <c:v>100.77394679391362</c:v>
                </c:pt>
                <c:pt idx="12">
                  <c:v>100.53534832180169</c:v>
                </c:pt>
                <c:pt idx="13">
                  <c:v>100.29480142605811</c:v>
                </c:pt>
                <c:pt idx="14">
                  <c:v>100.05231945539532</c:v>
                </c:pt>
                <c:pt idx="15">
                  <c:v>99.807917326518023</c:v>
                </c:pt>
                <c:pt idx="16">
                  <c:v>99.561611656633474</c:v>
                </c:pt>
                <c:pt idx="17">
                  <c:v>99.313420891423817</c:v>
                </c:pt>
                <c:pt idx="18">
                  <c:v>99.063365427440701</c:v>
                </c:pt>
                <c:pt idx="19">
                  <c:v>98.811467727890076</c:v>
                </c:pt>
                <c:pt idx="20">
                  <c:v>98.557752430795205</c:v>
                </c:pt>
                <c:pt idx="21">
                  <c:v>98.302246448551955</c:v>
                </c:pt>
                <c:pt idx="22">
                  <c:v>98.044979057932139</c:v>
                </c:pt>
                <c:pt idx="23">
                  <c:v>97.78598197963808</c:v>
                </c:pt>
                <c:pt idx="24">
                  <c:v>97.525289446568337</c:v>
                </c:pt>
                <c:pt idx="25">
                  <c:v>97.262938260024413</c:v>
                </c:pt>
                <c:pt idx="26">
                  <c:v>96.998967833163448</c:v>
                </c:pt>
                <c:pt idx="27">
                  <c:v>96.733420221086263</c:v>
                </c:pt>
                <c:pt idx="28">
                  <c:v>96.466340137040362</c:v>
                </c:pt>
                <c:pt idx="29">
                  <c:v>96.19777495431785</c:v>
                </c:pt>
                <c:pt idx="30">
                  <c:v>95.92777469352626</c:v>
                </c:pt>
                <c:pt idx="31">
                  <c:v>95.656391995020925</c:v>
                </c:pt>
                <c:pt idx="32">
                  <c:v>95.383682076393015</c:v>
                </c:pt>
                <c:pt idx="33">
                  <c:v>95.109702675018866</c:v>
                </c:pt>
                <c:pt idx="34">
                  <c:v>94.834513975787061</c:v>
                </c:pt>
                <c:pt idx="35">
                  <c:v>94.558178524228239</c:v>
                </c:pt>
                <c:pt idx="36">
                  <c:v>94.280761125378888</c:v>
                </c:pt>
                <c:pt idx="37">
                  <c:v>94.00232872881729</c:v>
                </c:pt>
                <c:pt idx="38">
                  <c:v>93.722950300406097</c:v>
                </c:pt>
                <c:pt idx="39">
                  <c:v>93.44269668137315</c:v>
                </c:pt>
                <c:pt idx="40">
                  <c:v>93.161640435450636</c:v>
                </c:pt>
                <c:pt idx="41">
                  <c:v>92.879855684875139</c:v>
                </c:pt>
                <c:pt idx="42">
                  <c:v>92.597417936128124</c:v>
                </c:pt>
                <c:pt idx="43">
                  <c:v>92.314403896364297</c:v>
                </c:pt>
                <c:pt idx="44">
                  <c:v>92.030891281536569</c:v>
                </c:pt>
                <c:pt idx="45">
                  <c:v>91.746958617282601</c:v>
                </c:pt>
                <c:pt idx="46">
                  <c:v>91.462685033679691</c:v>
                </c:pt>
                <c:pt idx="47">
                  <c:v>91.178150055017312</c:v>
                </c:pt>
                <c:pt idx="48">
                  <c:v>90.893433385764013</c:v>
                </c:pt>
                <c:pt idx="49">
                  <c:v>90.608614693930065</c:v>
                </c:pt>
                <c:pt idx="50">
                  <c:v>90.323773393039758</c:v>
                </c:pt>
                <c:pt idx="51">
                  <c:v>90.038988423936303</c:v>
                </c:pt>
                <c:pt idx="52">
                  <c:v>89.754338037640963</c:v>
                </c:pt>
                <c:pt idx="53">
                  <c:v>89.469899580477374</c:v>
                </c:pt>
                <c:pt idx="54">
                  <c:v>89.185749282659287</c:v>
                </c:pt>
                <c:pt idx="55">
                  <c:v>88.901962051512385</c:v>
                </c:pt>
                <c:pt idx="56">
                  <c:v>88.618611270470353</c:v>
                </c:pt>
                <c:pt idx="57">
                  <c:v>88.335768604945955</c:v>
                </c:pt>
                <c:pt idx="58">
                  <c:v>88.053503816128995</c:v>
                </c:pt>
                <c:pt idx="59">
                  <c:v>87.771884583709664</c:v>
                </c:pt>
                <c:pt idx="60">
                  <c:v>87.490976338460825</c:v>
                </c:pt>
                <c:pt idx="61">
                  <c:v>87.210842105545993</c:v>
                </c:pt>
                <c:pt idx="62">
                  <c:v>86.931542359339176</c:v>
                </c:pt>
                <c:pt idx="63">
                  <c:v>86.653134890463136</c:v>
                </c:pt>
                <c:pt idx="64">
                  <c:v>86.375674685660471</c:v>
                </c:pt>
                <c:pt idx="65">
                  <c:v>86.099213821017813</c:v>
                </c:pt>
                <c:pt idx="66">
                  <c:v>85.823801368966286</c:v>
                </c:pt>
                <c:pt idx="67">
                  <c:v>85.549483319375113</c:v>
                </c:pt>
                <c:pt idx="68">
                  <c:v>85.276302514951695</c:v>
                </c:pt>
                <c:pt idx="69">
                  <c:v>85.004298601054813</c:v>
                </c:pt>
                <c:pt idx="70">
                  <c:v>84.733507989916106</c:v>
                </c:pt>
                <c:pt idx="71">
                  <c:v>84.463963839165274</c:v>
                </c:pt>
                <c:pt idx="72">
                  <c:v>84.195696044439714</c:v>
                </c:pt>
                <c:pt idx="73">
                  <c:v>83.928731245767409</c:v>
                </c:pt>
                <c:pt idx="74">
                  <c:v>83.663092847307468</c:v>
                </c:pt>
                <c:pt idx="75">
                  <c:v>83.398801049944581</c:v>
                </c:pt>
                <c:pt idx="76">
                  <c:v>83.135872896147674</c:v>
                </c:pt>
                <c:pt idx="77">
                  <c:v>82.874322326426238</c:v>
                </c:pt>
                <c:pt idx="78">
                  <c:v>82.614160246647558</c:v>
                </c:pt>
                <c:pt idx="79">
                  <c:v>82.355394605422305</c:v>
                </c:pt>
                <c:pt idx="80">
                  <c:v>82.098030480710449</c:v>
                </c:pt>
                <c:pt idx="81">
                  <c:v>81.842070174765297</c:v>
                </c:pt>
                <c:pt idx="82">
                  <c:v>81.587513316499738</c:v>
                </c:pt>
                <c:pt idx="83">
                  <c:v>81.334356970344984</c:v>
                </c:pt>
                <c:pt idx="84">
                  <c:v>81.082595750655543</c:v>
                </c:pt>
                <c:pt idx="85">
                  <c:v>80.832221940723258</c:v>
                </c:pt>
                <c:pt idx="86">
                  <c:v>80.583225615468024</c:v>
                </c:pt>
                <c:pt idx="87">
                  <c:v>80.335594766894644</c:v>
                </c:pt>
                <c:pt idx="88">
                  <c:v>80.08931543143099</c:v>
                </c:pt>
                <c:pt idx="89">
                  <c:v>79.844371818297461</c:v>
                </c:pt>
                <c:pt idx="90">
                  <c:v>79.600746438100018</c:v>
                </c:pt>
                <c:pt idx="91">
                  <c:v>79.358420230882658</c:v>
                </c:pt>
                <c:pt idx="92">
                  <c:v>79.117372692927944</c:v>
                </c:pt>
                <c:pt idx="93">
                  <c:v>78.877582001649102</c:v>
                </c:pt>
                <c:pt idx="94">
                  <c:v>78.639025137969838</c:v>
                </c:pt>
                <c:pt idx="95">
                  <c:v>78.401678005654119</c:v>
                </c:pt>
                <c:pt idx="96">
                  <c:v>78.165515547100327</c:v>
                </c:pt>
                <c:pt idx="97">
                  <c:v>77.930511855178366</c:v>
                </c:pt>
                <c:pt idx="98">
                  <c:v>77.696640280744489</c:v>
                </c:pt>
                <c:pt idx="99">
                  <c:v>77.463873535529444</c:v>
                </c:pt>
                <c:pt idx="100">
                  <c:v>77.232183790146578</c:v>
                </c:pt>
                <c:pt idx="101">
                  <c:v>77.001542767023977</c:v>
                </c:pt>
                <c:pt idx="102">
                  <c:v>76.771921828112809</c:v>
                </c:pt>
                <c:pt idx="103">
                  <c:v>76.543292057271231</c:v>
                </c:pt>
                <c:pt idx="104">
                  <c:v>76.315624337268702</c:v>
                </c:pt>
                <c:pt idx="105">
                  <c:v>76.08888942139302</c:v>
                </c:pt>
                <c:pt idx="106">
                  <c:v>75.863057999682781</c:v>
                </c:pt>
                <c:pt idx="107">
                  <c:v>75.638100759836803</c:v>
                </c:pt>
                <c:pt idx="108">
                  <c:v>75.413988442883763</c:v>
                </c:pt>
                <c:pt idx="109">
                  <c:v>75.190691893720384</c:v>
                </c:pt>
                <c:pt idx="110">
                  <c:v>74.968182106647859</c:v>
                </c:pt>
                <c:pt idx="111">
                  <c:v>74.746430266056024</c:v>
                </c:pt>
                <c:pt idx="112">
                  <c:v>74.525407782418142</c:v>
                </c:pt>
                <c:pt idx="113">
                  <c:v>74.305086323774105</c:v>
                </c:pt>
                <c:pt idx="114">
                  <c:v>74.085437842887615</c:v>
                </c:pt>
                <c:pt idx="115">
                  <c:v>73.866434600271162</c:v>
                </c:pt>
                <c:pt idx="116">
                  <c:v>73.648049183275731</c:v>
                </c:pt>
                <c:pt idx="117">
                  <c:v>73.430254521446471</c:v>
                </c:pt>
                <c:pt idx="118">
                  <c:v>73.213023898344971</c:v>
                </c:pt>
                <c:pt idx="119">
                  <c:v>72.996330960038293</c:v>
                </c:pt>
                <c:pt idx="120">
                  <c:v>72.780149720453068</c:v>
                </c:pt>
                <c:pt idx="121">
                  <c:v>72.564454563785389</c:v>
                </c:pt>
                <c:pt idx="122">
                  <c:v>72.349220244160406</c:v>
                </c:pt>
                <c:pt idx="123">
                  <c:v>72.134421882719565</c:v>
                </c:pt>
                <c:pt idx="124">
                  <c:v>71.920034962315555</c:v>
                </c:pt>
                <c:pt idx="125">
                  <c:v>71.706035319983712</c:v>
                </c:pt>
                <c:pt idx="126">
                  <c:v>71.49239913735174</c:v>
                </c:pt>
                <c:pt idx="127">
                  <c:v>71.279102929143164</c:v>
                </c:pt>
                <c:pt idx="128">
                  <c:v>71.066123529919921</c:v>
                </c:pt>
                <c:pt idx="129">
                  <c:v>70.853438079204537</c:v>
                </c:pt>
                <c:pt idx="130">
                  <c:v>70.641024005111262</c:v>
                </c:pt>
                <c:pt idx="131">
                  <c:v>70.428859006610452</c:v>
                </c:pt>
                <c:pt idx="132">
                  <c:v>70.216921034540235</c:v>
                </c:pt>
                <c:pt idx="133">
                  <c:v>70.005188271474793</c:v>
                </c:pt>
                <c:pt idx="134">
                  <c:v>69.793639110549833</c:v>
                </c:pt>
                <c:pt idx="135">
                  <c:v>69.582252133339608</c:v>
                </c:pt>
                <c:pt idx="136">
                  <c:v>69.371006086872498</c:v>
                </c:pt>
                <c:pt idx="137">
                  <c:v>69.159879859869591</c:v>
                </c:pt>
                <c:pt idx="138">
                  <c:v>68.948852458280101</c:v>
                </c:pt>
                <c:pt idx="139">
                  <c:v>68.737902980186846</c:v>
                </c:pt>
                <c:pt idx="140">
                  <c:v>68.527010590149402</c:v>
                </c:pt>
                <c:pt idx="141">
                  <c:v>68.316154493046284</c:v>
                </c:pt>
                <c:pt idx="142">
                  <c:v>68.105313907477864</c:v>
                </c:pt>
                <c:pt idx="143">
                  <c:v>67.894468038785675</c:v>
                </c:pt>
                <c:pt idx="144">
                  <c:v>67.683596051742526</c:v>
                </c:pt>
                <c:pt idx="145">
                  <c:v>67.472677042967277</c:v>
                </c:pt>
                <c:pt idx="146">
                  <c:v>67.261690013113508</c:v>
                </c:pt>
                <c:pt idx="147">
                  <c:v>67.050613838885184</c:v>
                </c:pt>
                <c:pt idx="148">
                  <c:v>66.839427244927606</c:v>
                </c:pt>
                <c:pt idx="149">
                  <c:v>66.628108775645345</c:v>
                </c:pt>
                <c:pt idx="150">
                  <c:v>66.416636767000213</c:v>
                </c:pt>
                <c:pt idx="151">
                  <c:v>66.204989318339614</c:v>
                </c:pt>
                <c:pt idx="152">
                  <c:v>65.993144264313798</c:v>
                </c:pt>
                <c:pt idx="153">
                  <c:v>65.781079146937898</c:v>
                </c:pt>
                <c:pt idx="154">
                  <c:v>65.568771187860463</c:v>
                </c:pt>
                <c:pt idx="155">
                  <c:v>65.356197260903485</c:v>
                </c:pt>
                <c:pt idx="156">
                  <c:v>65.143333864943315</c:v>
                </c:pt>
                <c:pt idx="157">
                  <c:v>64.930157097204329</c:v>
                </c:pt>
                <c:pt idx="158">
                  <c:v>64.71664262704644</c:v>
                </c:pt>
                <c:pt idx="159">
                  <c:v>64.502765670330035</c:v>
                </c:pt>
                <c:pt idx="160">
                  <c:v>64.28850096444863</c:v>
                </c:pt>
                <c:pt idx="161">
                  <c:v>64.073822744127341</c:v>
                </c:pt>
                <c:pt idx="162">
                  <c:v>63.858704718089932</c:v>
                </c:pt>
                <c:pt idx="163">
                  <c:v>63.643120046707878</c:v>
                </c:pt>
                <c:pt idx="164">
                  <c:v>63.427041320747549</c:v>
                </c:pt>
                <c:pt idx="165">
                  <c:v>63.210440541344582</c:v>
                </c:pt>
                <c:pt idx="166">
                  <c:v>62.993289101337766</c:v>
                </c:pt>
                <c:pt idx="167">
                  <c:v>62.775557768106374</c:v>
                </c:pt>
                <c:pt idx="168">
                  <c:v>62.557216668060498</c:v>
                </c:pt>
                <c:pt idx="169">
                  <c:v>62.338235272941716</c:v>
                </c:pt>
                <c:pt idx="170">
                  <c:v>62.11858238810148</c:v>
                </c:pt>
                <c:pt idx="171">
                  <c:v>61.898226142927768</c:v>
                </c:pt>
                <c:pt idx="172">
                  <c:v>61.677133983601834</c:v>
                </c:pt>
                <c:pt idx="173">
                  <c:v>61.455272668368657</c:v>
                </c:pt>
                <c:pt idx="174">
                  <c:v>61.232608265512994</c:v>
                </c:pt>
                <c:pt idx="175">
                  <c:v>61.009106154235667</c:v>
                </c:pt>
                <c:pt idx="176">
                  <c:v>60.784731028628165</c:v>
                </c:pt>
                <c:pt idx="177">
                  <c:v>60.55944690494627</c:v>
                </c:pt>
                <c:pt idx="178">
                  <c:v>60.333217132380312</c:v>
                </c:pt>
                <c:pt idx="179">
                  <c:v>60.106004407524061</c:v>
                </c:pt>
                <c:pt idx="180">
                  <c:v>59.87777079273318</c:v>
                </c:pt>
                <c:pt idx="181">
                  <c:v>59.648477738565113</c:v>
                </c:pt>
                <c:pt idx="182">
                  <c:v>59.418086110477702</c:v>
                </c:pt>
                <c:pt idx="183">
                  <c:v>59.186556219960551</c:v>
                </c:pt>
                <c:pt idx="184">
                  <c:v>58.95384786024956</c:v>
                </c:pt>
                <c:pt idx="185">
                  <c:v>58.719920346768717</c:v>
                </c:pt>
                <c:pt idx="186">
                  <c:v>58.484732562414209</c:v>
                </c:pt>
                <c:pt idx="187">
                  <c:v>58.248243007779564</c:v>
                </c:pt>
                <c:pt idx="188">
                  <c:v>58.010409856389202</c:v>
                </c:pt>
                <c:pt idx="189">
                  <c:v>57.771191014980367</c:v>
                </c:pt>
                <c:pt idx="190">
                  <c:v>57.530544188839343</c:v>
                </c:pt>
                <c:pt idx="191">
                  <c:v>57.288426952159696</c:v>
                </c:pt>
                <c:pt idx="192">
                  <c:v>57.044796823352954</c:v>
                </c:pt>
                <c:pt idx="193">
                  <c:v>56.799611345196823</c:v>
                </c:pt>
                <c:pt idx="194">
                  <c:v>56.552828169659158</c:v>
                </c:pt>
                <c:pt idx="195">
                  <c:v>56.304405147192369</c:v>
                </c:pt>
                <c:pt idx="196">
                  <c:v>56.054300420236423</c:v>
                </c:pt>
                <c:pt idx="197">
                  <c:v>55.802472520621542</c:v>
                </c:pt>
                <c:pt idx="198">
                  <c:v>55.548880470506319</c:v>
                </c:pt>
                <c:pt idx="199">
                  <c:v>55.29348388643524</c:v>
                </c:pt>
                <c:pt idx="200">
                  <c:v>55.036243086046007</c:v>
                </c:pt>
                <c:pt idx="201">
                  <c:v>54.777119196907066</c:v>
                </c:pt>
                <c:pt idx="202">
                  <c:v>54.516074266915233</c:v>
                </c:pt>
                <c:pt idx="203">
                  <c:v>54.253071375637525</c:v>
                </c:pt>
                <c:pt idx="204">
                  <c:v>53.988074745940111</c:v>
                </c:pt>
                <c:pt idx="205">
                  <c:v>53.721049855207752</c:v>
                </c:pt>
                <c:pt idx="206">
                  <c:v>53.451963545427645</c:v>
                </c:pt>
                <c:pt idx="207">
                  <c:v>53.180784131383298</c:v>
                </c:pt>
                <c:pt idx="208">
                  <c:v>52.907481506190067</c:v>
                </c:pt>
                <c:pt idx="209">
                  <c:v>52.632027243390198</c:v>
                </c:pt>
                <c:pt idx="210">
                  <c:v>52.354394694826738</c:v>
                </c:pt>
                <c:pt idx="211">
                  <c:v>52.074559083521812</c:v>
                </c:pt>
                <c:pt idx="212">
                  <c:v>51.792497590803272</c:v>
                </c:pt>
                <c:pt idx="213">
                  <c:v>51.50818943694911</c:v>
                </c:pt>
                <c:pt idx="214">
                  <c:v>51.221615954657473</c:v>
                </c:pt>
                <c:pt idx="215">
                  <c:v>50.93276065469329</c:v>
                </c:pt>
                <c:pt idx="216">
                  <c:v>50.641609283119983</c:v>
                </c:pt>
                <c:pt idx="217">
                  <c:v>50.348149869585406</c:v>
                </c:pt>
                <c:pt idx="218">
                  <c:v>50.052372766203604</c:v>
                </c:pt>
                <c:pt idx="219">
                  <c:v>49.75427067665052</c:v>
                </c:pt>
                <c:pt idx="220">
                  <c:v>49.453838675176371</c:v>
                </c:pt>
                <c:pt idx="221">
                  <c:v>49.151074215320847</c:v>
                </c:pt>
                <c:pt idx="222">
                  <c:v>48.845977128214841</c:v>
                </c:pt>
                <c:pt idx="223">
                  <c:v>48.538549610437592</c:v>
                </c:pt>
                <c:pt idx="224">
                  <c:v>48.228796201495491</c:v>
                </c:pt>
                <c:pt idx="225">
                  <c:v>47.916723751078777</c:v>
                </c:pt>
                <c:pt idx="226">
                  <c:v>47.6023413763414</c:v>
                </c:pt>
                <c:pt idx="227">
                  <c:v>47.285660409535176</c:v>
                </c:pt>
                <c:pt idx="228">
                  <c:v>46.966694336408594</c:v>
                </c:pt>
                <c:pt idx="229">
                  <c:v>46.645458725855484</c:v>
                </c:pt>
                <c:pt idx="230">
                  <c:v>46.321971151364927</c:v>
                </c:pt>
                <c:pt idx="231">
                  <c:v>45.9962511048819</c:v>
                </c:pt>
                <c:pt idx="232">
                  <c:v>45.668319903739906</c:v>
                </c:pt>
                <c:pt idx="233">
                  <c:v>45.338200591363773</c:v>
                </c:pt>
                <c:pt idx="234">
                  <c:v>45.005917832477166</c:v>
                </c:pt>
                <c:pt idx="235">
                  <c:v>44.671497803566112</c:v>
                </c:pt>
                <c:pt idx="236">
                  <c:v>44.334968079364174</c:v>
                </c:pt>
                <c:pt idx="237">
                  <c:v>43.99635751612869</c:v>
                </c:pt>
                <c:pt idx="238">
                  <c:v>43.655696132468265</c:v>
                </c:pt>
                <c:pt idx="239">
                  <c:v>43.313014988471885</c:v>
                </c:pt>
                <c:pt idx="240">
                  <c:v>42.968346063862725</c:v>
                </c:pt>
                <c:pt idx="241">
                  <c:v>42.621722135876638</c:v>
                </c:pt>
                <c:pt idx="242">
                  <c:v>42.273176657524694</c:v>
                </c:pt>
                <c:pt idx="243">
                  <c:v>41.922743636864524</c:v>
                </c:pt>
                <c:pt idx="244">
                  <c:v>41.570457517856177</c:v>
                </c:pt>
                <c:pt idx="245">
                  <c:v>41.216353063334438</c:v>
                </c:pt>
                <c:pt idx="246">
                  <c:v>40.86046524057538</c:v>
                </c:pt>
                <c:pt idx="247">
                  <c:v>40.502829109888424</c:v>
                </c:pt>
                <c:pt idx="248">
                  <c:v>40.143479716606919</c:v>
                </c:pt>
                <c:pt idx="249">
                  <c:v>39.782451986802243</c:v>
                </c:pt>
                <c:pt idx="250">
                  <c:v>39.419780626993578</c:v>
                </c:pt>
                <c:pt idx="251">
                  <c:v>39.055500028072203</c:v>
                </c:pt>
                <c:pt idx="252">
                  <c:v>38.689644173616259</c:v>
                </c:pt>
                <c:pt idx="253">
                  <c:v>38.322246552720216</c:v>
                </c:pt>
                <c:pt idx="254">
                  <c:v>37.953340077423256</c:v>
                </c:pt>
                <c:pt idx="255">
                  <c:v>37.582957004779423</c:v>
                </c:pt>
                <c:pt idx="256">
                  <c:v>37.211128863576185</c:v>
                </c:pt>
                <c:pt idx="257">
                  <c:v>36.837886385671837</c:v>
                </c:pt>
                <c:pt idx="258">
                  <c:v>36.463259441895872</c:v>
                </c:pt>
                <c:pt idx="259">
                  <c:v>36.087276982428797</c:v>
                </c:pt>
                <c:pt idx="260">
                  <c:v>35.70996698155178</c:v>
                </c:pt>
                <c:pt idx="261">
                  <c:v>35.331356386644202</c:v>
                </c:pt>
                <c:pt idx="262">
                  <c:v>34.951471071283088</c:v>
                </c:pt>
                <c:pt idx="263">
                  <c:v>34.570335792294451</c:v>
                </c:pt>
                <c:pt idx="264">
                  <c:v>34.187974150589532</c:v>
                </c:pt>
                <c:pt idx="265">
                  <c:v>33.804408555617925</c:v>
                </c:pt>
                <c:pt idx="266">
                  <c:v>33.419660193263958</c:v>
                </c:pt>
                <c:pt idx="267">
                  <c:v>33.033748997012786</c:v>
                </c:pt>
                <c:pt idx="268">
                  <c:v>32.646693622211885</c:v>
                </c:pt>
                <c:pt idx="269">
                  <c:v>32.258511423261218</c:v>
                </c:pt>
                <c:pt idx="270">
                  <c:v>31.869218433567429</c:v>
                </c:pt>
                <c:pt idx="271">
                  <c:v>31.478829348107528</c:v>
                </c:pt>
                <c:pt idx="272">
                  <c:v>31.087357508455025</c:v>
                </c:pt>
                <c:pt idx="273">
                  <c:v>30.694814890133316</c:v>
                </c:pt>
                <c:pt idx="274">
                  <c:v>30.301212092173131</c:v>
                </c:pt>
                <c:pt idx="275">
                  <c:v>29.906558328761946</c:v>
                </c:pt>
                <c:pt idx="276">
                  <c:v>29.510861422889402</c:v>
                </c:pt>
                <c:pt idx="277">
                  <c:v>29.114127801908168</c:v>
                </c:pt>
                <c:pt idx="278">
                  <c:v>28.716362494939478</c:v>
                </c:pt>
                <c:pt idx="279">
                  <c:v>28.31756913207867</c:v>
                </c:pt>
                <c:pt idx="280">
                  <c:v>27.917749945360939</c:v>
                </c:pt>
                <c:pt idx="281">
                  <c:v>27.516905771473041</c:v>
                </c:pt>
                <c:pt idx="282">
                  <c:v>27.115036056208751</c:v>
                </c:pt>
                <c:pt idx="283">
                  <c:v>26.712138860684679</c:v>
                </c:pt>
                <c:pt idx="284">
                  <c:v>26.308210869347871</c:v>
                </c:pt>
                <c:pt idx="285">
                  <c:v>25.903247399826764</c:v>
                </c:pt>
                <c:pt idx="286">
                  <c:v>25.497242414688767</c:v>
                </c:pt>
                <c:pt idx="287">
                  <c:v>25.09018853518706</c:v>
                </c:pt>
                <c:pt idx="288">
                  <c:v>24.682077057093686</c:v>
                </c:pt>
                <c:pt idx="289">
                  <c:v>24.272897968728927</c:v>
                </c:pt>
                <c:pt idx="290">
                  <c:v>23.862639971313744</c:v>
                </c:pt>
                <c:pt idx="291">
                  <c:v>23.451290501781237</c:v>
                </c:pt>
                <c:pt idx="292">
                  <c:v>23.038835758198172</c:v>
                </c:pt>
                <c:pt idx="293">
                  <c:v>22.625260727956732</c:v>
                </c:pt>
                <c:pt idx="294">
                  <c:v>22.210549218903122</c:v>
                </c:pt>
                <c:pt idx="295">
                  <c:v>21.794683893580363</c:v>
                </c:pt>
                <c:pt idx="296">
                  <c:v>21.37764630676714</c:v>
                </c:pt>
                <c:pt idx="297">
                  <c:v>20.959416946495466</c:v>
                </c:pt>
                <c:pt idx="298">
                  <c:v>20.539975278733735</c:v>
                </c:pt>
                <c:pt idx="299">
                  <c:v>20.119299795918046</c:v>
                </c:pt>
                <c:pt idx="300">
                  <c:v>19.697368069512585</c:v>
                </c:pt>
                <c:pt idx="301">
                  <c:v>19.274156806770982</c:v>
                </c:pt>
                <c:pt idx="302">
                  <c:v>18.849641911860587</c:v>
                </c:pt>
                <c:pt idx="303">
                  <c:v>18.423798551500028</c:v>
                </c:pt>
                <c:pt idx="304">
                  <c:v>17.996601225240621</c:v>
                </c:pt>
                <c:pt idx="305">
                  <c:v>17.568023840505486</c:v>
                </c:pt>
                <c:pt idx="306">
                  <c:v>17.138039792472888</c:v>
                </c:pt>
                <c:pt idx="307">
                  <c:v>16.706622048864734</c:v>
                </c:pt>
                <c:pt idx="308">
                  <c:v>16.273743239669393</c:v>
                </c:pt>
                <c:pt idx="309">
                  <c:v>15.839375751793924</c:v>
                </c:pt>
                <c:pt idx="310">
                  <c:v>15.403491828600416</c:v>
                </c:pt>
                <c:pt idx="311">
                  <c:v>14.966063674241767</c:v>
                </c:pt>
                <c:pt idx="312">
                  <c:v>14.52706356266518</c:v>
                </c:pt>
                <c:pt idx="313">
                  <c:v>14.086463951106227</c:v>
                </c:pt>
                <c:pt idx="314">
                  <c:v>13.644237597844626</c:v>
                </c:pt>
                <c:pt idx="315">
                  <c:v>13.200357683941803</c:v>
                </c:pt>
                <c:pt idx="316">
                  <c:v>12.75479793862619</c:v>
                </c:pt>
                <c:pt idx="317">
                  <c:v>12.307532767940149</c:v>
                </c:pt>
                <c:pt idx="318">
                  <c:v>11.858537386205501</c:v>
                </c:pt>
                <c:pt idx="319">
                  <c:v>11.407787949814756</c:v>
                </c:pt>
                <c:pt idx="320">
                  <c:v>10.955261692799885</c:v>
                </c:pt>
                <c:pt idx="321">
                  <c:v>10.500937063584779</c:v>
                </c:pt>
                <c:pt idx="322">
                  <c:v>10.044793862279349</c:v>
                </c:pt>
                <c:pt idx="323">
                  <c:v>9.586813377832188</c:v>
                </c:pt>
                <c:pt idx="324">
                  <c:v>9.1269785243216273</c:v>
                </c:pt>
                <c:pt idx="325">
                  <c:v>8.6652739756367687</c:v>
                </c:pt>
                <c:pt idx="326">
                  <c:v>8.2016862977741916</c:v>
                </c:pt>
                <c:pt idx="327">
                  <c:v>7.7362040779578738</c:v>
                </c:pt>
                <c:pt idx="328">
                  <c:v>7.2688180497888677</c:v>
                </c:pt>
                <c:pt idx="329">
                  <c:v>6.7995212136215022</c:v>
                </c:pt>
                <c:pt idx="330">
                  <c:v>6.3283089513837565</c:v>
                </c:pt>
                <c:pt idx="331">
                  <c:v>5.8551791350672886</c:v>
                </c:pt>
                <c:pt idx="332">
                  <c:v>5.3801322281502699</c:v>
                </c:pt>
                <c:pt idx="333">
                  <c:v>4.9031713792445482</c:v>
                </c:pt>
                <c:pt idx="334">
                  <c:v>4.4243025073125466</c:v>
                </c:pt>
                <c:pt idx="335">
                  <c:v>3.943534377847056</c:v>
                </c:pt>
                <c:pt idx="336">
                  <c:v>3.4608786694735949</c:v>
                </c:pt>
                <c:pt idx="337">
                  <c:v>2.9763500304985717</c:v>
                </c:pt>
                <c:pt idx="338">
                  <c:v>2.4899661250050018</c:v>
                </c:pt>
                <c:pt idx="339">
                  <c:v>2.0017476681753537</c:v>
                </c:pt>
                <c:pt idx="340">
                  <c:v>1.5117184505997336</c:v>
                </c:pt>
                <c:pt idx="341">
                  <c:v>1.0199053514152039</c:v>
                </c:pt>
                <c:pt idx="342">
                  <c:v>0.52633834020482317</c:v>
                </c:pt>
                <c:pt idx="343">
                  <c:v>3.1050467670090551E-2</c:v>
                </c:pt>
                <c:pt idx="344">
                  <c:v>-0.46592215483038485</c:v>
                </c:pt>
                <c:pt idx="345">
                  <c:v>-0.96454038670313458</c:v>
                </c:pt>
                <c:pt idx="346">
                  <c:v>-1.4647621002567184</c:v>
                </c:pt>
                <c:pt idx="347">
                  <c:v>-1.9665422332397813</c:v>
                </c:pt>
                <c:pt idx="348">
                  <c:v>-2.4698328514069527</c:v>
                </c:pt>
                <c:pt idx="349">
                  <c:v>-2.9745832206821019</c:v>
                </c:pt>
                <c:pt idx="350">
                  <c:v>-3.4807398884478409</c:v>
                </c:pt>
                <c:pt idx="351">
                  <c:v>-3.9882467734484166</c:v>
                </c:pt>
                <c:pt idx="352">
                  <c:v>-4.4970452637691221</c:v>
                </c:pt>
                <c:pt idx="353">
                  <c:v>-5.0070743223305474</c:v>
                </c:pt>
                <c:pt idx="354">
                  <c:v>-5.5182705993317507</c:v>
                </c:pt>
                <c:pt idx="355">
                  <c:v>-6.0305685510632649</c:v>
                </c:pt>
                <c:pt idx="356">
                  <c:v>-6.54390056452793</c:v>
                </c:pt>
                <c:pt idx="357">
                  <c:v>-7.0581970873057323</c:v>
                </c:pt>
                <c:pt idx="358">
                  <c:v>-7.5733867621257032</c:v>
                </c:pt>
                <c:pt idx="359">
                  <c:v>-8.0893965656241313</c:v>
                </c:pt>
                <c:pt idx="360">
                  <c:v>-8.6061519507992656</c:v>
                </c:pt>
                <c:pt idx="361">
                  <c:v>-9.123576992696167</c:v>
                </c:pt>
                <c:pt idx="362">
                  <c:v>-9.6415945368934715</c:v>
                </c:pt>
                <c:pt idx="363">
                  <c:v>-10.160126350387838</c:v>
                </c:pt>
                <c:pt idx="364">
                  <c:v>-10.679093274510109</c:v>
                </c:pt>
                <c:pt idx="365">
                  <c:v>-11.198415379533937</c:v>
                </c:pt>
                <c:pt idx="366">
                  <c:v>-11.718012120665907</c:v>
                </c:pt>
                <c:pt idx="367">
                  <c:v>-12.23780249513041</c:v>
                </c:pt>
                <c:pt idx="368">
                  <c:v>-12.757705200088054</c:v>
                </c:pt>
                <c:pt idx="369">
                  <c:v>-13.277638791134518</c:v>
                </c:pt>
                <c:pt idx="370">
                  <c:v>-13.797521841147603</c:v>
                </c:pt>
                <c:pt idx="371">
                  <c:v>-14.317273099250095</c:v>
                </c:pt>
                <c:pt idx="372">
                  <c:v>-14.836811649659738</c:v>
                </c:pt>
                <c:pt idx="373">
                  <c:v>-15.356057070192804</c:v>
                </c:pt>
                <c:pt idx="374">
                  <c:v>-15.874929590177471</c:v>
                </c:pt>
                <c:pt idx="375">
                  <c:v>-16.393350247519258</c:v>
                </c:pt>
                <c:pt idx="376">
                  <c:v>-16.911241044639315</c:v>
                </c:pt>
                <c:pt idx="377">
                  <c:v>-17.428525102986381</c:v>
                </c:pt>
                <c:pt idx="378">
                  <c:v>-17.945126815791131</c:v>
                </c:pt>
                <c:pt idx="379">
                  <c:v>-18.460971998709695</c:v>
                </c:pt>
                <c:pt idx="380">
                  <c:v>-18.975988037962573</c:v>
                </c:pt>
                <c:pt idx="381">
                  <c:v>-19.49010403555469</c:v>
                </c:pt>
                <c:pt idx="382">
                  <c:v>-20.003250951120719</c:v>
                </c:pt>
                <c:pt idx="383">
                  <c:v>-20.51536173991942</c:v>
                </c:pt>
                <c:pt idx="384">
                  <c:v>-21.026371486466072</c:v>
                </c:pt>
                <c:pt idx="385">
                  <c:v>-21.536217533276101</c:v>
                </c:pt>
                <c:pt idx="386">
                  <c:v>-22.044839604167482</c:v>
                </c:pt>
                <c:pt idx="387">
                  <c:v>-22.552179921565244</c:v>
                </c:pt>
                <c:pt idx="388">
                  <c:v>-23.058183317235745</c:v>
                </c:pt>
                <c:pt idx="389">
                  <c:v>-23.562797335889201</c:v>
                </c:pt>
                <c:pt idx="390">
                  <c:v>-24.065972331089725</c:v>
                </c:pt>
                <c:pt idx="391">
                  <c:v>-24.567661552938414</c:v>
                </c:pt>
                <c:pt idx="392">
                  <c:v>-25.067821227011432</c:v>
                </c:pt>
                <c:pt idx="393">
                  <c:v>-25.566410624079658</c:v>
                </c:pt>
                <c:pt idx="394">
                  <c:v>-26.063392120172118</c:v>
                </c:pt>
                <c:pt idx="395">
                  <c:v>-26.558731246603632</c:v>
                </c:pt>
                <c:pt idx="396">
                  <c:v>-27.052396729640051</c:v>
                </c:pt>
                <c:pt idx="397">
                  <c:v>-27.544360519545705</c:v>
                </c:pt>
                <c:pt idx="398">
                  <c:v>-28.034597808829034</c:v>
                </c:pt>
                <c:pt idx="399">
                  <c:v>-28.52308703957636</c:v>
                </c:pt>
                <c:pt idx="400">
                  <c:v>-29.009809899849877</c:v>
                </c:pt>
                <c:pt idx="401">
                  <c:v>-29.494751309205505</c:v>
                </c:pt>
                <c:pt idx="402">
                  <c:v>-29.977899393473439</c:v>
                </c:pt>
                <c:pt idx="403">
                  <c:v>-30.459245449027293</c:v>
                </c:pt>
                <c:pt idx="404">
                  <c:v>-30.938783896853188</c:v>
                </c:pt>
                <c:pt idx="405">
                  <c:v>-31.4165122268058</c:v>
                </c:pt>
                <c:pt idx="406">
                  <c:v>-31.892430932521254</c:v>
                </c:pt>
                <c:pt idx="407">
                  <c:v>-32.366543437517457</c:v>
                </c:pt>
                <c:pt idx="408">
                  <c:v>-32.838856013089426</c:v>
                </c:pt>
                <c:pt idx="409">
                  <c:v>-33.309377688650137</c:v>
                </c:pt>
                <c:pt idx="410">
                  <c:v>-33.778120155227775</c:v>
                </c:pt>
                <c:pt idx="411">
                  <c:v>-34.245097662861859</c:v>
                </c:pt>
                <c:pt idx="412">
                  <c:v>-34.710326912678021</c:v>
                </c:pt>
                <c:pt idx="413">
                  <c:v>-35.173826944437735</c:v>
                </c:pt>
                <c:pt idx="414">
                  <c:v>-35.635619020375913</c:v>
                </c:pt>
                <c:pt idx="415">
                  <c:v>-36.095726506138533</c:v>
                </c:pt>
                <c:pt idx="416">
                  <c:v>-36.554174749632764</c:v>
                </c:pt>
                <c:pt idx="417">
                  <c:v>-37.010990958581196</c:v>
                </c:pt>
                <c:pt idx="418">
                  <c:v>-37.46620407755546</c:v>
                </c:pt>
                <c:pt idx="419">
                  <c:v>-37.919844665234436</c:v>
                </c:pt>
                <c:pt idx="420">
                  <c:v>-38.371944772596713</c:v>
                </c:pt>
                <c:pt idx="421">
                  <c:v>-38.822537822717223</c:v>
                </c:pt>
                <c:pt idx="422">
                  <c:v>-39.271658492792163</c:v>
                </c:pt>
                <c:pt idx="423">
                  <c:v>-39.719342598969888</c:v>
                </c:pt>
                <c:pt idx="424">
                  <c:v>-40.16562698451132</c:v>
                </c:pt>
                <c:pt idx="425">
                  <c:v>-40.610549411751819</c:v>
                </c:pt>
                <c:pt idx="426">
                  <c:v>-41.054148458282434</c:v>
                </c:pt>
                <c:pt idx="427">
                  <c:v>-41.496463417710238</c:v>
                </c:pt>
                <c:pt idx="428">
                  <c:v>-41.937534205307976</c:v>
                </c:pt>
                <c:pt idx="429">
                  <c:v>-42.377401268807908</c:v>
                </c:pt>
                <c:pt idx="430">
                  <c:v>-42.816105504537838</c:v>
                </c:pt>
                <c:pt idx="431">
                  <c:v>-43.253688179059154</c:v>
                </c:pt>
                <c:pt idx="432">
                  <c:v>-43.690190856404371</c:v>
                </c:pt>
                <c:pt idx="433">
                  <c:v>-44.125655330982561</c:v>
                </c:pt>
                <c:pt idx="434">
                  <c:v>-44.560123566165714</c:v>
                </c:pt>
                <c:pt idx="435">
                  <c:v>-44.993637638541408</c:v>
                </c:pt>
                <c:pt idx="436">
                  <c:v>-45.426239687774981</c:v>
                </c:pt>
                <c:pt idx="437">
                  <c:v>-45.857971871996966</c:v>
                </c:pt>
                <c:pt idx="438">
                  <c:v>-46.288876328602335</c:v>
                </c:pt>
                <c:pt idx="439">
                  <c:v>-46.718995140318967</c:v>
                </c:pt>
                <c:pt idx="440">
                  <c:v>-47.148370306388671</c:v>
                </c:pt>
                <c:pt idx="441">
                  <c:v>-47.577043718677913</c:v>
                </c:pt>
                <c:pt idx="442">
                  <c:v>-48.005057142523512</c:v>
                </c:pt>
                <c:pt idx="443">
                  <c:v>-48.432452202101828</c:v>
                </c:pt>
                <c:pt idx="444">
                  <c:v>-48.859270370102564</c:v>
                </c:pt>
                <c:pt idx="445">
                  <c:v>-49.28555296147853</c:v>
                </c:pt>
                <c:pt idx="446">
                  <c:v>-49.711341131031823</c:v>
                </c:pt>
                <c:pt idx="447">
                  <c:v>-50.136675874597607</c:v>
                </c:pt>
                <c:pt idx="448">
                  <c:v>-50.561598033581333</c:v>
                </c:pt>
                <c:pt idx="449">
                  <c:v>-50.986148302598778</c:v>
                </c:pt>
                <c:pt idx="450">
                  <c:v>-51.410367239974363</c:v>
                </c:pt>
                <c:pt idx="451">
                  <c:v>-51.83429528084573</c:v>
                </c:pt>
                <c:pt idx="452">
                  <c:v>-52.257972752629236</c:v>
                </c:pt>
                <c:pt idx="453">
                  <c:v>-52.6814398925967</c:v>
                </c:pt>
                <c:pt idx="454">
                  <c:v>-53.104736867317783</c:v>
                </c:pt>
                <c:pt idx="455">
                  <c:v>-53.527903793725102</c:v>
                </c:pt>
                <c:pt idx="456">
                  <c:v>-53.950980761554334</c:v>
                </c:pt>
                <c:pt idx="457">
                  <c:v>-54.37400785692369</c:v>
                </c:pt>
                <c:pt idx="458">
                  <c:v>-54.797025186807488</c:v>
                </c:pt>
                <c:pt idx="459">
                  <c:v>-55.220072904165789</c:v>
                </c:pt>
                <c:pt idx="460">
                  <c:v>-55.643191233493681</c:v>
                </c:pt>
                <c:pt idx="461">
                  <c:v>-56.066420496549078</c:v>
                </c:pt>
                <c:pt idx="462">
                  <c:v>-56.489801138024582</c:v>
                </c:pt>
                <c:pt idx="463">
                  <c:v>-56.913373750923853</c:v>
                </c:pt>
                <c:pt idx="464">
                  <c:v>-57.33717910140399</c:v>
                </c:pt>
                <c:pt idx="465">
                  <c:v>-57.761258152847212</c:v>
                </c:pt>
                <c:pt idx="466">
                  <c:v>-58.185652088920193</c:v>
                </c:pt>
                <c:pt idx="467">
                  <c:v>-58.610402335380478</c:v>
                </c:pt>
                <c:pt idx="468">
                  <c:v>-59.035550580389248</c:v>
                </c:pt>
                <c:pt idx="469">
                  <c:v>-59.461138793085553</c:v>
                </c:pt>
                <c:pt idx="470">
                  <c:v>-59.88720924017916</c:v>
                </c:pt>
                <c:pt idx="471">
                  <c:v>-60.313804500316849</c:v>
                </c:pt>
                <c:pt idx="472">
                  <c:v>-60.740967475977158</c:v>
                </c:pt>
                <c:pt idx="473">
                  <c:v>-61.168741402648344</c:v>
                </c:pt>
                <c:pt idx="474">
                  <c:v>-61.597169855047255</c:v>
                </c:pt>
                <c:pt idx="475">
                  <c:v>-62.026296750136105</c:v>
                </c:pt>
                <c:pt idx="476">
                  <c:v>-62.456166346702211</c:v>
                </c:pt>
                <c:pt idx="477">
                  <c:v>-62.886823241263215</c:v>
                </c:pt>
                <c:pt idx="478">
                  <c:v>-63.318312360075993</c:v>
                </c:pt>
                <c:pt idx="479">
                  <c:v>-63.750678947027019</c:v>
                </c:pt>
                <c:pt idx="480">
                  <c:v>-64.183968547199299</c:v>
                </c:pt>
                <c:pt idx="481">
                  <c:v>-64.618226985919321</c:v>
                </c:pt>
                <c:pt idx="482">
                  <c:v>-65.053500343105085</c:v>
                </c:pt>
                <c:pt idx="483">
                  <c:v>-65.489834922753303</c:v>
                </c:pt>
                <c:pt idx="484">
                  <c:v>-65.927277217425996</c:v>
                </c:pt>
                <c:pt idx="485">
                  <c:v>-66.365873867619186</c:v>
                </c:pt>
                <c:pt idx="486">
                  <c:v>-66.805671615923984</c:v>
                </c:pt>
                <c:pt idx="487">
                  <c:v>-67.246717255924466</c:v>
                </c:pt>
                <c:pt idx="488">
                  <c:v>-67.689057575801229</c:v>
                </c:pt>
                <c:pt idx="489">
                  <c:v>-68.132739296660063</c:v>
                </c:pt>
                <c:pt idx="490">
                  <c:v>-68.577809005631082</c:v>
                </c:pt>
                <c:pt idx="491">
                  <c:v>-69.024313083837839</c:v>
                </c:pt>
                <c:pt idx="492">
                  <c:v>-69.472297629376271</c:v>
                </c:pt>
                <c:pt idx="493">
                  <c:v>-69.921808375491693</c:v>
                </c:pt>
                <c:pt idx="494">
                  <c:v>-70.372890604195106</c:v>
                </c:pt>
                <c:pt idx="495">
                  <c:v>-70.825589055610891</c:v>
                </c:pt>
                <c:pt idx="496">
                  <c:v>-71.279947833399447</c:v>
                </c:pt>
                <c:pt idx="497">
                  <c:v>-71.736010306653455</c:v>
                </c:pt>
                <c:pt idx="498">
                  <c:v>-72.193819008720482</c:v>
                </c:pt>
                <c:pt idx="499">
                  <c:v>-72.653415533454023</c:v>
                </c:pt>
                <c:pt idx="500">
                  <c:v>-73.114840429447995</c:v>
                </c:pt>
                <c:pt idx="501">
                  <c:v>-73.578133092854671</c:v>
                </c:pt>
                <c:pt idx="502">
                  <c:v>-74.043331659433861</c:v>
                </c:pt>
                <c:pt idx="503">
                  <c:v>-74.510472896514216</c:v>
                </c:pt>
                <c:pt idx="504">
                  <c:v>-74.979592095588814</c:v>
                </c:pt>
                <c:pt idx="505">
                  <c:v>-75.450722966289561</c:v>
                </c:pt>
                <c:pt idx="506">
                  <c:v>-75.923897532505563</c:v>
                </c:pt>
                <c:pt idx="507">
                  <c:v>-76.39914603142725</c:v>
                </c:pt>
                <c:pt idx="508">
                  <c:v>-76.876496816298868</c:v>
                </c:pt>
                <c:pt idx="509">
                  <c:v>-77.355976263656942</c:v>
                </c:pt>
                <c:pt idx="510">
                  <c:v>-77.837608685820442</c:v>
                </c:pt>
                <c:pt idx="511">
                  <c:v>-78.321416249372589</c:v>
                </c:pt>
                <c:pt idx="512">
                  <c:v>-78.807418900343208</c:v>
                </c:pt>
                <c:pt idx="513">
                  <c:v>-79.295634296754685</c:v>
                </c:pt>
                <c:pt idx="514">
                  <c:v>-79.786077749145733</c:v>
                </c:pt>
                <c:pt idx="515">
                  <c:v>-80.278762169623548</c:v>
                </c:pt>
                <c:pt idx="516">
                  <c:v>-80.773698029930557</c:v>
                </c:pt>
                <c:pt idx="517">
                  <c:v>-81.270893328931919</c:v>
                </c:pt>
                <c:pt idx="518">
                  <c:v>-81.770353569851551</c:v>
                </c:pt>
                <c:pt idx="519">
                  <c:v>-82.27208174749623</c:v>
                </c:pt>
                <c:pt idx="520">
                  <c:v>-82.776078345619908</c:v>
                </c:pt>
                <c:pt idx="521">
                  <c:v>-83.282341344484337</c:v>
                </c:pt>
                <c:pt idx="522">
                  <c:v>-83.790866238581586</c:v>
                </c:pt>
                <c:pt idx="523">
                  <c:v>-84.301646064391946</c:v>
                </c:pt>
                <c:pt idx="524">
                  <c:v>-84.814671437960271</c:v>
                </c:pt>
                <c:pt idx="525">
                  <c:v>-85.329930601983079</c:v>
                </c:pt>
                <c:pt idx="526">
                  <c:v>-85.847409482022528</c:v>
                </c:pt>
                <c:pt idx="527">
                  <c:v>-86.36709175138337</c:v>
                </c:pt>
                <c:pt idx="528">
                  <c:v>-86.888958904117658</c:v>
                </c:pt>
                <c:pt idx="529">
                  <c:v>-87.412990335568978</c:v>
                </c:pt>
                <c:pt idx="530">
                  <c:v>-87.939163429798185</c:v>
                </c:pt>
                <c:pt idx="531">
                  <c:v>-88.467453653211606</c:v>
                </c:pt>
                <c:pt idx="532">
                  <c:v>-88.997834653653385</c:v>
                </c:pt>
                <c:pt idx="533">
                  <c:v>-89.530278364221289</c:v>
                </c:pt>
                <c:pt idx="534">
                  <c:v>-90.064755111029342</c:v>
                </c:pt>
                <c:pt idx="535">
                  <c:v>-90.601233724153616</c:v>
                </c:pt>
                <c:pt idx="536">
                  <c:v>-91.13968165098207</c:v>
                </c:pt>
                <c:pt idx="537">
                  <c:v>-91.680065071218735</c:v>
                </c:pt>
                <c:pt idx="538">
                  <c:v>-92.222349012796698</c:v>
                </c:pt>
                <c:pt idx="539">
                  <c:v>-92.766497467989353</c:v>
                </c:pt>
                <c:pt idx="540">
                  <c:v>-93.312473509040856</c:v>
                </c:pt>
                <c:pt idx="541">
                  <c:v>-93.860239402674324</c:v>
                </c:pt>
              </c:numCache>
            </c:numRef>
          </c:yVal>
          <c:smooth val="1"/>
          <c:extLst>
            <c:ext xmlns:c16="http://schemas.microsoft.com/office/drawing/2014/chart" uri="{C3380CC4-5D6E-409C-BE32-E72D297353CC}">
              <c16:uniqueId val="{00000000-2860-4C4C-B618-5424CA982335}"/>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2860-4C4C-B618-5424CA982335}"/>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860-4C4C-B618-5424CA982335}"/>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CCM_Loop_Modeling_Isolated!$O$11</c:f>
              <c:numCache>
                <c:formatCode>0</c:formatCode>
                <c:ptCount val="1"/>
                <c:pt idx="0">
                  <c:v>3.4057847904438514</c:v>
                </c:pt>
              </c:numCache>
            </c:numRef>
          </c:xVal>
          <c:yVal>
            <c:numRef>
              <c:f>CCM_Loop_Modeling_Isolated!$AW$11</c:f>
              <c:numCache>
                <c:formatCode>0.000</c:formatCode>
                <c:ptCount val="1"/>
                <c:pt idx="0">
                  <c:v>111.04681851893437</c:v>
                </c:pt>
              </c:numCache>
            </c:numRef>
          </c:yVal>
          <c:smooth val="0"/>
          <c:extLst>
            <c:ext xmlns:c16="http://schemas.microsoft.com/office/drawing/2014/chart" uri="{C3380CC4-5D6E-409C-BE32-E72D297353CC}">
              <c16:uniqueId val="{00000002-2860-4C4C-B618-5424CA982335}"/>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2860-4C4C-B618-5424CA982335}"/>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CCM_Loop_Modeling_Isolated!$O$9</c:f>
              <c:numCache>
                <c:formatCode>0</c:formatCode>
                <c:ptCount val="1"/>
                <c:pt idx="0">
                  <c:v>98243.792032034165</c:v>
                </c:pt>
              </c:numCache>
            </c:numRef>
          </c:xVal>
          <c:yVal>
            <c:numRef>
              <c:f>CCM_Loop_Modeling_Isolated!$AW$9</c:f>
              <c:numCache>
                <c:formatCode>0.000</c:formatCode>
                <c:ptCount val="1"/>
                <c:pt idx="0">
                  <c:v>-28.147356046862395</c:v>
                </c:pt>
              </c:numCache>
            </c:numRef>
          </c:yVal>
          <c:smooth val="1"/>
          <c:extLst>
            <c:ext xmlns:c16="http://schemas.microsoft.com/office/drawing/2014/chart" uri="{C3380CC4-5D6E-409C-BE32-E72D297353CC}">
              <c16:uniqueId val="{00000004-2860-4C4C-B618-5424CA982335}"/>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2860-4C4C-B618-5424CA982335}"/>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2860-4C4C-B618-5424CA982335}"/>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CCM_Loop_Modeling_Isolated!$O$10</c:f>
              <c:numCache>
                <c:formatCode>0</c:formatCode>
                <c:ptCount val="1"/>
                <c:pt idx="0">
                  <c:v>53051647697.298447</c:v>
                </c:pt>
              </c:numCache>
            </c:numRef>
          </c:xVal>
          <c:yVal>
            <c:numRef>
              <c:f>CCM_Loop_Modeling_Isolated!$AW$10</c:f>
              <c:numCache>
                <c:formatCode>0.000</c:formatCode>
                <c:ptCount val="1"/>
                <c:pt idx="0">
                  <c:v>-347.84120356714175</c:v>
                </c:pt>
              </c:numCache>
            </c:numRef>
          </c:yVal>
          <c:smooth val="1"/>
          <c:extLst>
            <c:ext xmlns:c16="http://schemas.microsoft.com/office/drawing/2014/chart" uri="{C3380CC4-5D6E-409C-BE32-E72D297353CC}">
              <c16:uniqueId val="{00000006-2860-4C4C-B618-5424CA982335}"/>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860-4C4C-B618-5424CA9823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CCM_Loop_Modeling_Isolated!$O$12</c:f>
              <c:numCache>
                <c:formatCode>General</c:formatCode>
                <c:ptCount val="1"/>
                <c:pt idx="0">
                  <c:v>49.121896016017075</c:v>
                </c:pt>
              </c:numCache>
            </c:numRef>
          </c:xVal>
          <c:yVal>
            <c:numRef>
              <c:f>CCM_Loop_Modeling_Isolated!$AW$12</c:f>
              <c:numCache>
                <c:formatCode>0.000</c:formatCode>
                <c:ptCount val="1"/>
                <c:pt idx="0">
                  <c:v>85.241552453650385</c:v>
                </c:pt>
              </c:numCache>
            </c:numRef>
          </c:yVal>
          <c:smooth val="1"/>
          <c:extLst>
            <c:ext xmlns:c16="http://schemas.microsoft.com/office/drawing/2014/chart" uri="{C3380CC4-5D6E-409C-BE32-E72D297353CC}">
              <c16:uniqueId val="{00000008-2860-4C4C-B618-5424CA982335}"/>
            </c:ext>
          </c:extLst>
        </c:ser>
        <c:dLbls>
          <c:showLegendKey val="0"/>
          <c:showVal val="0"/>
          <c:showCatName val="0"/>
          <c:showSerName val="0"/>
          <c:showPercent val="0"/>
          <c:showBubbleSize val="0"/>
        </c:dLbls>
        <c:axId val="377478144"/>
        <c:axId val="377496704"/>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CCM_Loop_Modeling_Isolated!$AX$19:$AX$560</c:f>
              <c:numCache>
                <c:formatCode>General</c:formatCode>
                <c:ptCount val="542"/>
                <c:pt idx="0">
                  <c:v>91.838128006760556</c:v>
                </c:pt>
                <c:pt idx="1">
                  <c:v>91.154878657771363</c:v>
                </c:pt>
                <c:pt idx="2">
                  <c:v>90.477336316606937</c:v>
                </c:pt>
                <c:pt idx="3">
                  <c:v>89.80565067327521</c:v>
                </c:pt>
                <c:pt idx="4">
                  <c:v>89.139979366414011</c:v>
                </c:pt>
                <c:pt idx="5">
                  <c:v>88.480488287490772</c:v>
                </c:pt>
                <c:pt idx="6">
                  <c:v>87.827351822178258</c:v>
                </c:pt>
                <c:pt idx="7">
                  <c:v>87.180753025441064</c:v>
                </c:pt>
                <c:pt idx="8">
                  <c:v>86.540883727147246</c:v>
                </c:pt>
                <c:pt idx="9">
                  <c:v>85.907944565335868</c:v>
                </c:pt>
                <c:pt idx="10">
                  <c:v>85.282144944638517</c:v>
                </c:pt>
                <c:pt idx="11">
                  <c:v>84.663702917743677</c:v>
                </c:pt>
                <c:pt idx="12">
                  <c:v>84.052844988237851</c:v>
                </c:pt>
                <c:pt idx="13">
                  <c:v>83.449805833631459</c:v>
                </c:pt>
                <c:pt idx="14">
                  <c:v>82.854827947892375</c:v>
                </c:pt>
                <c:pt idx="15">
                  <c:v>82.268161203350459</c:v>
                </c:pt>
                <c:pt idx="16">
                  <c:v>81.69006233241754</c:v>
                </c:pt>
                <c:pt idx="17">
                  <c:v>81.120794330159114</c:v>
                </c:pt>
                <c:pt idx="18">
                  <c:v>80.560625779372359</c:v>
                </c:pt>
                <c:pt idx="19">
                  <c:v>80.00983010045114</c:v>
                </c:pt>
                <c:pt idx="20">
                  <c:v>79.46868472895332</c:v>
                </c:pt>
                <c:pt idx="21">
                  <c:v>78.937470224409026</c:v>
                </c:pt>
                <c:pt idx="22">
                  <c:v>78.416469314536656</c:v>
                </c:pt>
                <c:pt idx="23">
                  <c:v>77.905965879615152</c:v>
                </c:pt>
                <c:pt idx="24">
                  <c:v>77.406243882356861</c:v>
                </c:pt>
                <c:pt idx="25">
                  <c:v>76.917586249141749</c:v>
                </c:pt>
                <c:pt idx="26">
                  <c:v>76.440273708983597</c:v>
                </c:pt>
                <c:pt idx="27">
                  <c:v>75.974583597031199</c:v>
                </c:pt>
                <c:pt idx="28">
                  <c:v>75.520788629822846</c:v>
                </c:pt>
                <c:pt idx="29">
                  <c:v>75.079155659812187</c:v>
                </c:pt>
                <c:pt idx="30">
                  <c:v>74.649944416977078</c:v>
                </c:pt>
                <c:pt idx="31">
                  <c:v>74.233406245509499</c:v>
                </c:pt>
                <c:pt idx="32">
                  <c:v>73.829782843705914</c:v>
                </c:pt>
                <c:pt idx="33">
                  <c:v>73.439305015254092</c:v>
                </c:pt>
                <c:pt idx="34">
                  <c:v>73.062191440077797</c:v>
                </c:pt>
                <c:pt idx="35">
                  <c:v>72.698647472827616</c:v>
                </c:pt>
                <c:pt idx="36">
                  <c:v>72.348863976951563</c:v>
                </c:pt>
                <c:pt idx="37">
                  <c:v>72.013016202060115</c:v>
                </c:pt>
                <c:pt idx="38">
                  <c:v>71.691262712022649</c:v>
                </c:pt>
                <c:pt idx="39">
                  <c:v>71.383744370891705</c:v>
                </c:pt>
                <c:pt idx="40">
                  <c:v>71.090583393373009</c:v>
                </c:pt>
                <c:pt idx="41">
                  <c:v>70.811882466105743</c:v>
                </c:pt>
                <c:pt idx="42">
                  <c:v>70.547723945556228</c:v>
                </c:pt>
                <c:pt idx="43">
                  <c:v>70.298169137800357</c:v>
                </c:pt>
                <c:pt idx="44">
                  <c:v>70.063257664921437</c:v>
                </c:pt>
                <c:pt idx="45">
                  <c:v>69.843006922184671</c:v>
                </c:pt>
                <c:pt idx="46">
                  <c:v>69.637411629532551</c:v>
                </c:pt>
                <c:pt idx="47">
                  <c:v>69.44644348034825</c:v>
                </c:pt>
                <c:pt idx="48">
                  <c:v>69.27005088978251</c:v>
                </c:pt>
                <c:pt idx="49">
                  <c:v>69.108158844314048</c:v>
                </c:pt>
                <c:pt idx="50">
                  <c:v>68.960668853548384</c:v>
                </c:pt>
                <c:pt idx="51">
                  <c:v>68.827459004616884</c:v>
                </c:pt>
                <c:pt idx="52">
                  <c:v>68.708384118876154</c:v>
                </c:pt>
                <c:pt idx="53">
                  <c:v>68.60327600996105</c:v>
                </c:pt>
                <c:pt idx="54">
                  <c:v>68.511943841589797</c:v>
                </c:pt>
                <c:pt idx="55">
                  <c:v>68.43417458289143</c:v>
                </c:pt>
                <c:pt idx="56">
                  <c:v>68.369733558390223</c:v>
                </c:pt>
                <c:pt idx="57">
                  <c:v>68.318365089184127</c:v>
                </c:pt>
                <c:pt idx="58">
                  <c:v>68.279793221249506</c:v>
                </c:pt>
                <c:pt idx="59">
                  <c:v>68.253722536260113</c:v>
                </c:pt>
                <c:pt idx="60">
                  <c:v>68.239839039754997</c:v>
                </c:pt>
                <c:pt idx="61">
                  <c:v>68.237811121000433</c:v>
                </c:pt>
                <c:pt idx="62">
                  <c:v>68.247290578429457</c:v>
                </c:pt>
                <c:pt idx="63">
                  <c:v>68.267913704118286</c:v>
                </c:pt>
                <c:pt idx="64">
                  <c:v>68.299302420402142</c:v>
                </c:pt>
                <c:pt idx="65">
                  <c:v>68.341065461409897</c:v>
                </c:pt>
                <c:pt idx="66">
                  <c:v>68.392799592051688</c:v>
                </c:pt>
                <c:pt idx="67">
                  <c:v>68.454090856795503</c:v>
                </c:pt>
                <c:pt idx="68">
                  <c:v>68.524515850446079</c:v>
                </c:pt>
                <c:pt idx="69">
                  <c:v>68.603643003085324</c:v>
                </c:pt>
                <c:pt idx="70">
                  <c:v>68.691033871342611</c:v>
                </c:pt>
                <c:pt idx="71">
                  <c:v>68.786244428252971</c:v>
                </c:pt>
                <c:pt idx="72">
                  <c:v>68.888826344112104</c:v>
                </c:pt>
                <c:pt idx="73">
                  <c:v>68.998328250968086</c:v>
                </c:pt>
                <c:pt idx="74">
                  <c:v>69.114296983675914</c:v>
                </c:pt>
                <c:pt idx="75">
                  <c:v>69.236278790795694</c:v>
                </c:pt>
                <c:pt idx="76">
                  <c:v>69.363820509031143</c:v>
                </c:pt>
                <c:pt idx="77">
                  <c:v>69.496470695362163</c:v>
                </c:pt>
                <c:pt idx="78">
                  <c:v>69.633780711543693</c:v>
                </c:pt>
                <c:pt idx="79">
                  <c:v>69.775305756179492</c:v>
                </c:pt>
                <c:pt idx="80">
                  <c:v>69.920605840169216</c:v>
                </c:pt>
                <c:pt idx="81">
                  <c:v>70.069246701916526</c:v>
                </c:pt>
                <c:pt idx="82">
                  <c:v>70.22080065930615</c:v>
                </c:pt>
                <c:pt idx="83">
                  <c:v>70.374847396075012</c:v>
                </c:pt>
                <c:pt idx="84">
                  <c:v>70.530974680818943</c:v>
                </c:pt>
                <c:pt idx="85">
                  <c:v>70.688779017477884</c:v>
                </c:pt>
                <c:pt idx="86">
                  <c:v>70.847866226740095</c:v>
                </c:pt>
                <c:pt idx="87">
                  <c:v>71.007851958356866</c:v>
                </c:pt>
                <c:pt idx="88">
                  <c:v>71.168362134902736</c:v>
                </c:pt>
                <c:pt idx="89">
                  <c:v>71.329033328003803</c:v>
                </c:pt>
                <c:pt idx="90">
                  <c:v>71.489513068523095</c:v>
                </c:pt>
                <c:pt idx="91">
                  <c:v>71.649460092599128</c:v>
                </c:pt>
                <c:pt idx="92">
                  <c:v>71.80854452580661</c:v>
                </c:pt>
                <c:pt idx="93">
                  <c:v>71.966448008028237</c:v>
                </c:pt>
                <c:pt idx="94">
                  <c:v>72.122863761902494</c:v>
                </c:pt>
                <c:pt idx="95">
                  <c:v>72.277496607936854</c:v>
                </c:pt>
                <c:pt idx="96">
                  <c:v>72.430062929558474</c:v>
                </c:pt>
                <c:pt idx="97">
                  <c:v>72.580290591509765</c:v>
                </c:pt>
                <c:pt idx="98">
                  <c:v>72.727918815082816</c:v>
                </c:pt>
                <c:pt idx="99">
                  <c:v>72.872698013752427</c:v>
                </c:pt>
                <c:pt idx="100">
                  <c:v>73.014389592759656</c:v>
                </c:pt>
                <c:pt idx="101">
                  <c:v>73.152765716206048</c:v>
                </c:pt>
                <c:pt idx="102">
                  <c:v>73.287609045142631</c:v>
                </c:pt>
                <c:pt idx="103">
                  <c:v>73.418712450074963</c:v>
                </c:pt>
                <c:pt idx="104">
                  <c:v>73.545878701200721</c:v>
                </c:pt>
                <c:pt idx="105">
                  <c:v>73.668920139574084</c:v>
                </c:pt>
                <c:pt idx="106">
                  <c:v>73.787658332249961</c:v>
                </c:pt>
                <c:pt idx="107">
                  <c:v>73.901923714315259</c:v>
                </c:pt>
                <c:pt idx="108">
                  <c:v>74.01155522054934</c:v>
                </c:pt>
                <c:pt idx="109">
                  <c:v>74.116399909283587</c:v>
                </c:pt>
                <c:pt idx="110">
                  <c:v>74.216312580861597</c:v>
                </c:pt>
                <c:pt idx="111">
                  <c:v>74.311155392921435</c:v>
                </c:pt>
                <c:pt idx="112">
                  <c:v>74.400797474545215</c:v>
                </c:pt>
                <c:pt idx="113">
                  <c:v>74.48511454114994</c:v>
                </c:pt>
                <c:pt idx="114">
                  <c:v>74.563988511817229</c:v>
                </c:pt>
                <c:pt idx="115">
                  <c:v>74.637307130600249</c:v>
                </c:pt>
                <c:pt idx="116">
                  <c:v>74.704963593180665</c:v>
                </c:pt>
                <c:pt idx="117">
                  <c:v>74.766856180101072</c:v>
                </c:pt>
                <c:pt idx="118">
                  <c:v>74.822887897647547</c:v>
                </c:pt>
                <c:pt idx="119">
                  <c:v>74.872966127328965</c:v>
                </c:pt>
                <c:pt idx="120">
                  <c:v>74.91700228476634</c:v>
                </c:pt>
                <c:pt idx="121">
                  <c:v>74.954911488686292</c:v>
                </c:pt>
                <c:pt idx="122">
                  <c:v>74.986612240614534</c:v>
                </c:pt>
                <c:pt idx="123">
                  <c:v>75.012026115750174</c:v>
                </c:pt>
                <c:pt idx="124">
                  <c:v>75.031077465425</c:v>
                </c:pt>
                <c:pt idx="125">
                  <c:v>75.043693131463201</c:v>
                </c:pt>
                <c:pt idx="126">
                  <c:v>75.049802172686668</c:v>
                </c:pt>
                <c:pt idx="127">
                  <c:v>75.049335603744183</c:v>
                </c:pt>
                <c:pt idx="128">
                  <c:v>75.042226146392181</c:v>
                </c:pt>
                <c:pt idx="129">
                  <c:v>75.02840799329951</c:v>
                </c:pt>
                <c:pt idx="130">
                  <c:v>75.007816584411586</c:v>
                </c:pt>
                <c:pt idx="131">
                  <c:v>74.980388395872495</c:v>
                </c:pt>
                <c:pt idx="132">
                  <c:v>74.946060741476558</c:v>
                </c:pt>
                <c:pt idx="133">
                  <c:v>74.90477158659688</c:v>
                </c:pt>
                <c:pt idx="134">
                  <c:v>74.856459374522785</c:v>
                </c:pt>
                <c:pt idx="135">
                  <c:v>74.801062865124862</c:v>
                </c:pt>
                <c:pt idx="136">
                  <c:v>74.738520985758342</c:v>
                </c:pt>
                <c:pt idx="137">
                  <c:v>74.668772694314356</c:v>
                </c:pt>
                <c:pt idx="138">
                  <c:v>74.591756854324984</c:v>
                </c:pt>
                <c:pt idx="139">
                  <c:v>74.507412122035859</c:v>
                </c:pt>
                <c:pt idx="140">
                  <c:v>74.415676845362881</c:v>
                </c:pt>
                <c:pt idx="141">
                  <c:v>74.316488974660714</c:v>
                </c:pt>
                <c:pt idx="142">
                  <c:v>74.209785985241467</c:v>
                </c:pt>
                <c:pt idx="143">
                  <c:v>74.095504811595148</c:v>
                </c:pt>
                <c:pt idx="144">
                  <c:v>73.973581793277305</c:v>
                </c:pt>
                <c:pt idx="145">
                  <c:v>73.843952632447042</c:v>
                </c:pt>
                <c:pt idx="146">
                  <c:v>73.706552363052651</c:v>
                </c:pt>
                <c:pt idx="147">
                  <c:v>73.561315331682877</c:v>
                </c:pt>
                <c:pt idx="148">
                  <c:v>73.408175190114974</c:v>
                </c:pt>
                <c:pt idx="149">
                  <c:v>73.247064899614088</c:v>
                </c:pt>
                <c:pt idx="150">
                  <c:v>73.077916747050793</c:v>
                </c:pt>
                <c:pt idx="151">
                  <c:v>72.90066237292136</c:v>
                </c:pt>
                <c:pt idx="152">
                  <c:v>72.715232811374307</c:v>
                </c:pt>
                <c:pt idx="153">
                  <c:v>72.521558542356999</c:v>
                </c:pt>
                <c:pt idx="154">
                  <c:v>72.319569556011402</c:v>
                </c:pt>
                <c:pt idx="155">
                  <c:v>72.109195429457827</c:v>
                </c:pt>
                <c:pt idx="156">
                  <c:v>71.890365416115714</c:v>
                </c:pt>
                <c:pt idx="157">
                  <c:v>71.66300854771373</c:v>
                </c:pt>
                <c:pt idx="158">
                  <c:v>71.427053749147518</c:v>
                </c:pt>
                <c:pt idx="159">
                  <c:v>71.182429966340891</c:v>
                </c:pt>
                <c:pt idx="160">
                  <c:v>70.92906630726371</c:v>
                </c:pt>
                <c:pt idx="161">
                  <c:v>70.666892196246351</c:v>
                </c:pt>
                <c:pt idx="162">
                  <c:v>70.39583754172638</c:v>
                </c:pt>
                <c:pt idx="163">
                  <c:v>70.115832917534803</c:v>
                </c:pt>
                <c:pt idx="164">
                  <c:v>69.826809757813393</c:v>
                </c:pt>
                <c:pt idx="165">
                  <c:v>69.528700565618379</c:v>
                </c:pt>
                <c:pt idx="166">
                  <c:v>69.221439135234348</c:v>
                </c:pt>
                <c:pt idx="167">
                  <c:v>68.904960788177519</c:v>
                </c:pt>
                <c:pt idx="168">
                  <c:v>68.579202622814222</c:v>
                </c:pt>
                <c:pt idx="169">
                  <c:v>68.244103777467359</c:v>
                </c:pt>
                <c:pt idx="170">
                  <c:v>67.899605706813659</c:v>
                </c:pt>
                <c:pt idx="171">
                  <c:v>67.545652471300571</c:v>
                </c:pt>
                <c:pt idx="172">
                  <c:v>67.182191039232023</c:v>
                </c:pt>
                <c:pt idx="173">
                  <c:v>66.809171601073245</c:v>
                </c:pt>
                <c:pt idx="174">
                  <c:v>66.426547895432662</c:v>
                </c:pt>
                <c:pt idx="175">
                  <c:v>66.034277546061332</c:v>
                </c:pt>
                <c:pt idx="176">
                  <c:v>65.632322409100084</c:v>
                </c:pt>
                <c:pt idx="177">
                  <c:v>65.220648929667774</c:v>
                </c:pt>
                <c:pt idx="178">
                  <c:v>64.799228506757927</c:v>
                </c:pt>
                <c:pt idx="179">
                  <c:v>64.368037865264071</c:v>
                </c:pt>
                <c:pt idx="180">
                  <c:v>63.927059433804494</c:v>
                </c:pt>
                <c:pt idx="181">
                  <c:v>63.476281726862538</c:v>
                </c:pt>
                <c:pt idx="182">
                  <c:v>63.015699729600264</c:v>
                </c:pt>
                <c:pt idx="183">
                  <c:v>62.545315283535551</c:v>
                </c:pt>
                <c:pt idx="184">
                  <c:v>62.065137471113353</c:v>
                </c:pt>
                <c:pt idx="185">
                  <c:v>61.575182997033025</c:v>
                </c:pt>
                <c:pt idx="186">
                  <c:v>61.075476564031533</c:v>
                </c:pt>
                <c:pt idx="187">
                  <c:v>60.566051240668799</c:v>
                </c:pt>
                <c:pt idx="188">
                  <c:v>60.046948818505214</c:v>
                </c:pt>
                <c:pt idx="189">
                  <c:v>59.518220155925569</c:v>
                </c:pt>
                <c:pt idx="190">
                  <c:v>58.979925505736581</c:v>
                </c:pt>
                <c:pt idx="191">
                  <c:v>58.432134823551195</c:v>
                </c:pt>
                <c:pt idx="192">
                  <c:v>57.874928053884751</c:v>
                </c:pt>
                <c:pt idx="193">
                  <c:v>57.308395390821318</c:v>
                </c:pt>
                <c:pt idx="194">
                  <c:v>56.732637510061686</c:v>
                </c:pt>
                <c:pt idx="195">
                  <c:v>56.147765769157118</c:v>
                </c:pt>
                <c:pt idx="196">
                  <c:v>55.553902372750812</c:v>
                </c:pt>
                <c:pt idx="197">
                  <c:v>54.951180499704243</c:v>
                </c:pt>
                <c:pt idx="198">
                  <c:v>54.339744389085148</c:v>
                </c:pt>
                <c:pt idx="199">
                  <c:v>53.719749382115424</c:v>
                </c:pt>
                <c:pt idx="200">
                  <c:v>53.091361917371366</c:v>
                </c:pt>
                <c:pt idx="201">
                  <c:v>52.454759476730516</c:v>
                </c:pt>
                <c:pt idx="202">
                  <c:v>51.810130479834633</c:v>
                </c:pt>
                <c:pt idx="203">
                  <c:v>51.157674125134236</c:v>
                </c:pt>
                <c:pt idx="204">
                  <c:v>50.497600175936768</c:v>
                </c:pt>
                <c:pt idx="205">
                  <c:v>49.830128690260224</c:v>
                </c:pt>
                <c:pt idx="206">
                  <c:v>49.155489693722338</c:v>
                </c:pt>
                <c:pt idx="207">
                  <c:v>48.473922795147899</c:v>
                </c:pt>
                <c:pt idx="208">
                  <c:v>47.78567674507201</c:v>
                </c:pt>
                <c:pt idx="209">
                  <c:v>47.091008937809995</c:v>
                </c:pt>
                <c:pt idx="210">
                  <c:v>46.39018485830222</c:v>
                </c:pt>
                <c:pt idx="211">
                  <c:v>45.683477475468976</c:v>
                </c:pt>
                <c:pt idx="212">
                  <c:v>44.971166584343798</c:v>
                </c:pt>
                <c:pt idx="213">
                  <c:v>44.253538099786383</c:v>
                </c:pt>
                <c:pt idx="214">
                  <c:v>43.530883305085197</c:v>
                </c:pt>
                <c:pt idx="215">
                  <c:v>42.803498059251417</c:v>
                </c:pt>
                <c:pt idx="216">
                  <c:v>42.071681967262236</c:v>
                </c:pt>
                <c:pt idx="217">
                  <c:v>41.335737517933275</c:v>
                </c:pt>
                <c:pt idx="218">
                  <c:v>40.595969194464338</c:v>
                </c:pt>
                <c:pt idx="219">
                  <c:v>39.852682563027074</c:v>
                </c:pt>
                <c:pt idx="220">
                  <c:v>39.10618334501703</c:v>
                </c:pt>
                <c:pt idx="221">
                  <c:v>38.356776478782656</c:v>
                </c:pt>
                <c:pt idx="222">
                  <c:v>37.604765176774812</c:v>
                </c:pt>
                <c:pt idx="223">
                  <c:v>36.85044998411017</c:v>
                </c:pt>
                <c:pt idx="224">
                  <c:v>36.094127844524017</c:v>
                </c:pt>
                <c:pt idx="225">
                  <c:v>35.336091179602256</c:v>
                </c:pt>
                <c:pt idx="226">
                  <c:v>34.576626987021413</c:v>
                </c:pt>
                <c:pt idx="227">
                  <c:v>33.816015963306086</c:v>
                </c:pt>
                <c:pt idx="228">
                  <c:v>33.054531656322261</c:v>
                </c:pt>
                <c:pt idx="229">
                  <c:v>32.292439652378825</c:v>
                </c:pt>
                <c:pt idx="230">
                  <c:v>31.529996802434329</c:v>
                </c:pt>
                <c:pt idx="231">
                  <c:v>30.767450491439856</c:v>
                </c:pt>
                <c:pt idx="232">
                  <c:v>30.005037954416043</c:v>
                </c:pt>
                <c:pt idx="233">
                  <c:v>29.242985642321571</c:v>
                </c:pt>
                <c:pt idx="234">
                  <c:v>28.481508640293313</c:v>
                </c:pt>
                <c:pt idx="235">
                  <c:v>27.720810140283437</c:v>
                </c:pt>
                <c:pt idx="236">
                  <c:v>26.961080969603572</c:v>
                </c:pt>
                <c:pt idx="237">
                  <c:v>26.202499176358018</c:v>
                </c:pt>
                <c:pt idx="238">
                  <c:v>25.445229672239634</c:v>
                </c:pt>
                <c:pt idx="239">
                  <c:v>24.689423932675915</c:v>
                </c:pt>
                <c:pt idx="240">
                  <c:v>23.935219753841928</c:v>
                </c:pt>
                <c:pt idx="241">
                  <c:v>23.182741065628978</c:v>
                </c:pt>
                <c:pt idx="242">
                  <c:v>22.432097799263929</c:v>
                </c:pt>
                <c:pt idx="243">
                  <c:v>21.683385807910934</c:v>
                </c:pt>
                <c:pt idx="244">
                  <c:v>20.93668683827196</c:v>
                </c:pt>
                <c:pt idx="245">
                  <c:v>20.192068550934398</c:v>
                </c:pt>
                <c:pt idx="246">
                  <c:v>19.449584586973206</c:v>
                </c:pt>
                <c:pt idx="247">
                  <c:v>18.709274678145192</c:v>
                </c:pt>
                <c:pt idx="248">
                  <c:v>17.971164797849838</c:v>
                </c:pt>
                <c:pt idx="249">
                  <c:v>17.235267349949975</c:v>
                </c:pt>
                <c:pt idx="250">
                  <c:v>16.501581392467443</c:v>
                </c:pt>
                <c:pt idx="251">
                  <c:v>15.770092893150466</c:v>
                </c:pt>
                <c:pt idx="252">
                  <c:v>15.040775013922287</c:v>
                </c:pt>
                <c:pt idx="253">
                  <c:v>14.313588421252641</c:v>
                </c:pt>
                <c:pt idx="254">
                  <c:v>13.588481619572518</c:v>
                </c:pt>
                <c:pt idx="255">
                  <c:v>12.8653913049365</c:v>
                </c:pt>
                <c:pt idx="256">
                  <c:v>12.144242736263177</c:v>
                </c:pt>
                <c:pt idx="257">
                  <c:v>11.424950121605653</c:v>
                </c:pt>
                <c:pt idx="258">
                  <c:v>10.707417017063797</c:v>
                </c:pt>
                <c:pt idx="259">
                  <c:v>9.9915367361009864</c:v>
                </c:pt>
                <c:pt idx="260">
                  <c:v>9.277192767204486</c:v>
                </c:pt>
                <c:pt idx="261">
                  <c:v>8.5642591979960105</c:v>
                </c:pt>
                <c:pt idx="262">
                  <c:v>7.8526011440863499</c:v>
                </c:pt>
                <c:pt idx="263">
                  <c:v>7.1420751811373453</c:v>
                </c:pt>
                <c:pt idx="264">
                  <c:v>6.4325297787853586</c:v>
                </c:pt>
                <c:pt idx="265">
                  <c:v>5.7238057352456133</c:v>
                </c:pt>
                <c:pt idx="266">
                  <c:v>5.0157366115960356</c:v>
                </c:pt>
                <c:pt idx="267">
                  <c:v>4.3081491649000405</c:v>
                </c:pt>
                <c:pt idx="268">
                  <c:v>3.6008637794948974</c:v>
                </c:pt>
                <c:pt idx="269">
                  <c:v>2.8936948959105777</c:v>
                </c:pt>
                <c:pt idx="270">
                  <c:v>2.1864514370427743</c:v>
                </c:pt>
                <c:pt idx="271">
                  <c:v>1.4789372313188598</c:v>
                </c:pt>
                <c:pt idx="272">
                  <c:v>0.77095143273905697</c:v>
                </c:pt>
                <c:pt idx="273">
                  <c:v>6.228893776433346E-2</c:v>
                </c:pt>
                <c:pt idx="274">
                  <c:v>-0.64725920085236133</c:v>
                </c:pt>
                <c:pt idx="275">
                  <c:v>-1.3579053631230269</c:v>
                </c:pt>
                <c:pt idx="276">
                  <c:v>-2.0698649535085067</c:v>
                </c:pt>
                <c:pt idx="277">
                  <c:v>-2.7833559949054987</c:v>
                </c:pt>
                <c:pt idx="278">
                  <c:v>-3.4985987245551509</c:v>
                </c:pt>
                <c:pt idx="279">
                  <c:v>-4.2158151914447437</c:v>
                </c:pt>
                <c:pt idx="280">
                  <c:v>-4.9352288547380443</c:v>
                </c:pt>
                <c:pt idx="281">
                  <c:v>-5.657064182748754</c:v>
                </c:pt>
                <c:pt idx="282">
                  <c:v>-6.3815462519596453</c:v>
                </c:pt>
                <c:pt idx="283">
                  <c:v>-7.1089003455850195</c:v>
                </c:pt>
                <c:pt idx="284">
                  <c:v>-7.8393515511930678</c:v>
                </c:pt>
                <c:pt idx="285">
                  <c:v>-8.5731243569165905</c:v>
                </c:pt>
                <c:pt idx="286">
                  <c:v>-9.3104422458190008</c:v>
                </c:pt>
                <c:pt idx="287">
                  <c:v>-10.051527288034222</c:v>
                </c:pt>
                <c:pt idx="288">
                  <c:v>-10.796599730333654</c:v>
                </c:pt>
                <c:pt idx="289">
                  <c:v>-11.545877582868016</c:v>
                </c:pt>
                <c:pt idx="290">
                  <c:v>-12.299576202885865</c:v>
                </c:pt>
                <c:pt idx="291">
                  <c:v>-13.05790787533455</c:v>
                </c:pt>
                <c:pt idx="292">
                  <c:v>-13.821081390342838</c:v>
                </c:pt>
                <c:pt idx="293">
                  <c:v>-14.589301617695664</c:v>
                </c:pt>
                <c:pt idx="294">
                  <c:v>-15.362769078530986</c:v>
                </c:pt>
                <c:pt idx="295">
                  <c:v>-16.141679514624247</c:v>
                </c:pt>
                <c:pt idx="296">
                  <c:v>-16.926223455756737</c:v>
                </c:pt>
                <c:pt idx="297">
                  <c:v>-17.716585785817557</c:v>
                </c:pt>
                <c:pt idx="298">
                  <c:v>-18.512945308442703</c:v>
                </c:pt>
                <c:pt idx="299">
                  <c:v>-19.315474313159427</c:v>
                </c:pt>
                <c:pt idx="300">
                  <c:v>-20.124338143162504</c:v>
                </c:pt>
                <c:pt idx="301">
                  <c:v>-20.939694766028648</c:v>
                </c:pt>
                <c:pt idx="302">
                  <c:v>-21.761694348844486</c:v>
                </c:pt>
                <c:pt idx="303">
                  <c:v>-22.590478839395164</c:v>
                </c:pt>
                <c:pt idx="304">
                  <c:v>-23.426181555233558</c:v>
                </c:pt>
                <c:pt idx="305">
                  <c:v>-24.268926782614646</c:v>
                </c:pt>
                <c:pt idx="306">
                  <c:v>-25.118829387440673</c:v>
                </c:pt>
                <c:pt idx="307">
                  <c:v>-25.975994440512626</c:v>
                </c:pt>
                <c:pt idx="308">
                  <c:v>-26.840516859517887</c:v>
                </c:pt>
                <c:pt idx="309">
                  <c:v>-27.712481070308989</c:v>
                </c:pt>
                <c:pt idx="310">
                  <c:v>-28.591960690125408</c:v>
                </c:pt>
                <c:pt idx="311">
                  <c:v>-29.479018235495669</c:v>
                </c:pt>
                <c:pt idx="312">
                  <c:v>-30.373704857602846</c:v>
                </c:pt>
                <c:pt idx="313">
                  <c:v>-31.276060107929752</c:v>
                </c:pt>
                <c:pt idx="314">
                  <c:v>-32.186111736983854</c:v>
                </c:pt>
                <c:pt idx="315">
                  <c:v>-33.103875528862069</c:v>
                </c:pt>
                <c:pt idx="316">
                  <c:v>-34.029355174337105</c:v>
                </c:pt>
                <c:pt idx="317">
                  <c:v>-34.962542185019728</c:v>
                </c:pt>
                <c:pt idx="318">
                  <c:v>-35.903415850991152</c:v>
                </c:pt>
                <c:pt idx="319">
                  <c:v>-36.851943244092737</c:v>
                </c:pt>
                <c:pt idx="320">
                  <c:v>-37.808079268809401</c:v>
                </c:pt>
                <c:pt idx="321">
                  <c:v>-38.771766762387145</c:v>
                </c:pt>
                <c:pt idx="322">
                  <c:v>-39.74293664548884</c:v>
                </c:pt>
                <c:pt idx="323">
                  <c:v>-40.721508124316863</c:v>
                </c:pt>
                <c:pt idx="324">
                  <c:v>-41.707388944716463</c:v>
                </c:pt>
                <c:pt idx="325">
                  <c:v>-42.700475698311237</c:v>
                </c:pt>
                <c:pt idx="326">
                  <c:v>-43.700654180261751</c:v>
                </c:pt>
                <c:pt idx="327">
                  <c:v>-44.707799797722039</c:v>
                </c:pt>
                <c:pt idx="328">
                  <c:v>-45.721778027541447</c:v>
                </c:pt>
                <c:pt idx="329">
                  <c:v>-46.742444921250701</c:v>
                </c:pt>
                <c:pt idx="330">
                  <c:v>-47.769647654796955</c:v>
                </c:pt>
                <c:pt idx="331">
                  <c:v>-48.803225120003518</c:v>
                </c:pt>
                <c:pt idx="332">
                  <c:v>-49.843008554173927</c:v>
                </c:pt>
                <c:pt idx="333">
                  <c:v>-50.888822203801631</c:v>
                </c:pt>
                <c:pt idx="334">
                  <c:v>-51.940484017848931</c:v>
                </c:pt>
                <c:pt idx="335">
                  <c:v>-52.997806365656615</c:v>
                </c:pt>
                <c:pt idx="336">
                  <c:v>-54.060596774154241</c:v>
                </c:pt>
                <c:pt idx="337">
                  <c:v>-55.128658678737729</c:v>
                </c:pt>
                <c:pt idx="338">
                  <c:v>-56.20179218189103</c:v>
                </c:pt>
                <c:pt idx="339">
                  <c:v>-57.279794813457414</c:v>
                </c:pt>
                <c:pt idx="340">
                  <c:v>-58.362462286330079</c:v>
                </c:pt>
                <c:pt idx="341">
                  <c:v>-59.449589241296643</c:v>
                </c:pt>
                <c:pt idx="342">
                  <c:v>-60.540969974772587</c:v>
                </c:pt>
                <c:pt idx="343">
                  <c:v>-61.636399143299315</c:v>
                </c:pt>
                <c:pt idx="344">
                  <c:v>-62.735672438826235</c:v>
                </c:pt>
                <c:pt idx="345">
                  <c:v>-63.83858722908127</c:v>
                </c:pt>
                <c:pt idx="346">
                  <c:v>-64.944943157640111</c:v>
                </c:pt>
                <c:pt idx="347">
                  <c:v>-66.054542698691407</c:v>
                </c:pt>
                <c:pt idx="348">
                  <c:v>-67.16719166197457</c:v>
                </c:pt>
                <c:pt idx="349">
                  <c:v>-68.282699643823761</c:v>
                </c:pt>
                <c:pt idx="350">
                  <c:v>-69.400880420850854</c:v>
                </c:pt>
                <c:pt idx="351">
                  <c:v>-70.521552283349791</c:v>
                </c:pt>
                <c:pt idx="352">
                  <c:v>-71.644538306142806</c:v>
                </c:pt>
                <c:pt idx="353">
                  <c:v>-72.76966655522763</c:v>
                </c:pt>
                <c:pt idx="354">
                  <c:v>-73.896770229234605</c:v>
                </c:pt>
                <c:pt idx="355">
                  <c:v>-75.025687735352065</c:v>
                </c:pt>
                <c:pt idx="356">
                  <c:v>-76.156262700063465</c:v>
                </c:pt>
                <c:pt idx="357">
                  <c:v>-77.288343915647943</c:v>
                </c:pt>
                <c:pt idx="358">
                  <c:v>-78.421785224056137</c:v>
                </c:pt>
                <c:pt idx="359">
                  <c:v>-79.556445340360725</c:v>
                </c:pt>
                <c:pt idx="360">
                  <c:v>-80.692187618567814</c:v>
                </c:pt>
                <c:pt idx="361">
                  <c:v>-81.828879763113207</c:v>
                </c:pt>
                <c:pt idx="362">
                  <c:v>-82.966393489875671</c:v>
                </c:pt>
                <c:pt idx="363">
                  <c:v>-84.104604141000337</c:v>
                </c:pt>
                <c:pt idx="364">
                  <c:v>-85.243390258249534</c:v>
                </c:pt>
                <c:pt idx="365">
                  <c:v>-86.382633119961611</c:v>
                </c:pt>
                <c:pt idx="366">
                  <c:v>-87.52221624703067</c:v>
                </c:pt>
                <c:pt idx="367">
                  <c:v>-88.66202488358158</c:v>
                </c:pt>
                <c:pt idx="368">
                  <c:v>-89.80194545825087</c:v>
                </c:pt>
                <c:pt idx="369">
                  <c:v>-90.941865032128717</c:v>
                </c:pt>
                <c:pt idx="370">
                  <c:v>-92.081670739558476</c:v>
                </c:pt>
                <c:pt idx="371">
                  <c:v>-93.221249228031027</c:v>
                </c:pt>
                <c:pt idx="372">
                  <c:v>-94.360486103428684</c:v>
                </c:pt>
                <c:pt idx="373">
                  <c:v>-95.499265386826551</c:v>
                </c:pt>
                <c:pt idx="374">
                  <c:v>-96.63746898895748</c:v>
                </c:pt>
                <c:pt idx="375">
                  <c:v>-97.774976208298114</c:v>
                </c:pt>
                <c:pt idx="376">
                  <c:v>-98.911663258520889</c:v>
                </c:pt>
                <c:pt idx="377">
                  <c:v>-100.04740283081033</c:v>
                </c:pt>
                <c:pt idx="378">
                  <c:v>-101.18206369622308</c:v>
                </c:pt>
                <c:pt idx="379">
                  <c:v>-102.31551035292151</c:v>
                </c:pt>
                <c:pt idx="380">
                  <c:v>-103.44760272270014</c:v>
                </c:pt>
                <c:pt idx="381">
                  <c:v>-104.57819590077558</c:v>
                </c:pt>
                <c:pt idx="382">
                  <c:v>-105.70713996231754</c:v>
                </c:pt>
                <c:pt idx="383">
                  <c:v>-106.83427982866444</c:v>
                </c:pt>
                <c:pt idx="384">
                  <c:v>-107.95945519560115</c:v>
                </c:pt>
                <c:pt idx="385">
                  <c:v>-109.08250052547567</c:v>
                </c:pt>
                <c:pt idx="386">
                  <c:v>-110.20324510431055</c:v>
                </c:pt>
                <c:pt idx="387">
                  <c:v>-111.32151316442619</c:v>
                </c:pt>
                <c:pt idx="388">
                  <c:v>-112.43712407243105</c:v>
                </c:pt>
                <c:pt idx="389">
                  <c:v>-113.54989258178253</c:v>
                </c:pt>
                <c:pt idx="390">
                  <c:v>-114.65962914846493</c:v>
                </c:pt>
                <c:pt idx="391">
                  <c:v>-115.76614030768236</c:v>
                </c:pt>
                <c:pt idx="392">
                  <c:v>-116.86922910884668</c:v>
                </c:pt>
                <c:pt idx="393">
                  <c:v>-117.96869560553084</c:v>
                </c:pt>
                <c:pt idx="394">
                  <c:v>-119.06433739651231</c:v>
                </c:pt>
                <c:pt idx="395">
                  <c:v>-120.1559502134989</c:v>
                </c:pt>
                <c:pt idx="396">
                  <c:v>-121.24332855067156</c:v>
                </c:pt>
                <c:pt idx="397">
                  <c:v>-122.32626633076636</c:v>
                </c:pt>
                <c:pt idx="398">
                  <c:v>-123.40455760207935</c:v>
                </c:pt>
                <c:pt idx="399">
                  <c:v>-124.4779972604961</c:v>
                </c:pt>
                <c:pt idx="400">
                  <c:v>-125.54638179045078</c:v>
                </c:pt>
                <c:pt idx="401">
                  <c:v>-126.60951001859399</c:v>
                </c:pt>
                <c:pt idx="402">
                  <c:v>-127.66718387389419</c:v>
                </c:pt>
                <c:pt idx="403">
                  <c:v>-128.71920914793259</c:v>
                </c:pt>
                <c:pt idx="404">
                  <c:v>-129.7653962492449</c:v>
                </c:pt>
                <c:pt idx="405">
                  <c:v>-130.80556094574274</c:v>
                </c:pt>
                <c:pt idx="406">
                  <c:v>-131.83952508949656</c:v>
                </c:pt>
                <c:pt idx="407">
                  <c:v>-132.86711731845077</c:v>
                </c:pt>
                <c:pt idx="408">
                  <c:v>-133.88817373002729</c:v>
                </c:pt>
                <c:pt idx="409">
                  <c:v>-134.90253852196193</c:v>
                </c:pt>
                <c:pt idx="410">
                  <c:v>-135.91006459619499</c:v>
                </c:pt>
                <c:pt idx="411">
                  <c:v>-136.91061412210502</c:v>
                </c:pt>
                <c:pt idx="412">
                  <c:v>-137.90405905590345</c:v>
                </c:pt>
                <c:pt idx="413">
                  <c:v>-138.89028161351987</c:v>
                </c:pt>
                <c:pt idx="414">
                  <c:v>-139.86917469485843</c:v>
                </c:pt>
                <c:pt idx="415">
                  <c:v>-140.8406422578343</c:v>
                </c:pt>
                <c:pt idx="416">
                  <c:v>-141.8045996411189</c:v>
                </c:pt>
                <c:pt idx="417">
                  <c:v>-142.76097383504839</c:v>
                </c:pt>
                <c:pt idx="418">
                  <c:v>-143.70970370061923</c:v>
                </c:pt>
                <c:pt idx="419">
                  <c:v>-144.65074013697478</c:v>
                </c:pt>
                <c:pt idx="420">
                  <c:v>-145.58404619819251</c:v>
                </c:pt>
                <c:pt idx="421">
                  <c:v>-146.50959716058861</c:v>
                </c:pt>
                <c:pt idx="422">
                  <c:v>-147.42738054209227</c:v>
                </c:pt>
                <c:pt idx="423">
                  <c:v>-148.33739607556598</c:v>
                </c:pt>
                <c:pt idx="424">
                  <c:v>-149.23965563818598</c:v>
                </c:pt>
                <c:pt idx="425">
                  <c:v>-150.13418313925095</c:v>
                </c:pt>
                <c:pt idx="426">
                  <c:v>-151.021014368934</c:v>
                </c:pt>
                <c:pt idx="427">
                  <c:v>-151.90019681063919</c:v>
                </c:pt>
                <c:pt idx="428">
                  <c:v>-152.77178941972139</c:v>
                </c:pt>
                <c:pt idx="429">
                  <c:v>-153.63586237137983</c:v>
                </c:pt>
                <c:pt idx="430">
                  <c:v>-154.49249678054224</c:v>
                </c:pt>
                <c:pt idx="431">
                  <c:v>-155.34178439656415</c:v>
                </c:pt>
                <c:pt idx="432">
                  <c:v>-156.18382727550218</c:v>
                </c:pt>
                <c:pt idx="433">
                  <c:v>-157.01873743266555</c:v>
                </c:pt>
                <c:pt idx="434">
                  <c:v>-157.84663647803893</c:v>
                </c:pt>
                <c:pt idx="435">
                  <c:v>-158.66765523706414</c:v>
                </c:pt>
                <c:pt idx="436">
                  <c:v>-159.48193335914027</c:v>
                </c:pt>
                <c:pt idx="437">
                  <c:v>-160.28961891603709</c:v>
                </c:pt>
                <c:pt idx="438">
                  <c:v>-161.09086799228368</c:v>
                </c:pt>
                <c:pt idx="439">
                  <c:v>-161.885844269411</c:v>
                </c:pt>
                <c:pt idx="440">
                  <c:v>-162.67471860576481</c:v>
                </c:pt>
                <c:pt idx="441">
                  <c:v>-163.45766861343637</c:v>
                </c:pt>
                <c:pt idx="442">
                  <c:v>-164.23487823367438</c:v>
                </c:pt>
                <c:pt idx="443">
                  <c:v>-165.00653731198219</c:v>
                </c:pt>
                <c:pt idx="444">
                  <c:v>-165.77284117392631</c:v>
                </c:pt>
                <c:pt idx="445">
                  <c:v>-166.5339902025222</c:v>
                </c:pt>
                <c:pt idx="446">
                  <c:v>-167.29018941790599</c:v>
                </c:pt>
                <c:pt idx="447">
                  <c:v>-168.04164805984612</c:v>
                </c:pt>
                <c:pt idx="448">
                  <c:v>-168.78857917350771</c:v>
                </c:pt>
                <c:pt idx="449">
                  <c:v>-169.53119919874922</c:v>
                </c:pt>
                <c:pt idx="450">
                  <c:v>-170.26972756310212</c:v>
                </c:pt>
                <c:pt idx="451">
                  <c:v>-171.00438627847134</c:v>
                </c:pt>
                <c:pt idx="452">
                  <c:v>-171.73539954148515</c:v>
                </c:pt>
                <c:pt idx="453">
                  <c:v>-172.46299333733447</c:v>
                </c:pt>
                <c:pt idx="454">
                  <c:v>-173.18739504684612</c:v>
                </c:pt>
                <c:pt idx="455">
                  <c:v>-173.90883305647236</c:v>
                </c:pt>
                <c:pt idx="456">
                  <c:v>-174.62753637080039</c:v>
                </c:pt>
                <c:pt idx="457">
                  <c:v>-175.34373422715166</c:v>
                </c:pt>
                <c:pt idx="458">
                  <c:v>-176.05765571177687</c:v>
                </c:pt>
                <c:pt idx="459">
                  <c:v>-176.76952937713958</c:v>
                </c:pt>
                <c:pt idx="460">
                  <c:v>-177.47958285974698</c:v>
                </c:pt>
                <c:pt idx="461">
                  <c:v>-178.18804249798333</c:v>
                </c:pt>
                <c:pt idx="462">
                  <c:v>-178.89513294939886</c:v>
                </c:pt>
                <c:pt idx="463">
                  <c:v>-179.60107680691954</c:v>
                </c:pt>
                <c:pt idx="464">
                  <c:v>179.6939057865373</c:v>
                </c:pt>
                <c:pt idx="465">
                  <c:v>178.98959752552386</c:v>
                </c:pt>
                <c:pt idx="466">
                  <c:v>178.28578433203592</c:v>
                </c:pt>
                <c:pt idx="467">
                  <c:v>177.58225574838536</c:v>
                </c:pt>
                <c:pt idx="468">
                  <c:v>176.87880533329451</c:v>
                </c:pt>
                <c:pt idx="469">
                  <c:v>176.1752310614516</c:v>
                </c:pt>
                <c:pt idx="470">
                  <c:v>175.47133572669239</c:v>
                </c:pt>
                <c:pt idx="471">
                  <c:v>174.76692734886493</c:v>
                </c:pt>
                <c:pt idx="472">
                  <c:v>174.0618195843382</c:v>
                </c:pt>
                <c:pt idx="473">
                  <c:v>173.35583213998768</c:v>
                </c:pt>
                <c:pt idx="474">
                  <c:v>172.64879119037036</c:v>
                </c:pt>
                <c:pt idx="475">
                  <c:v>171.94052979766494</c:v>
                </c:pt>
                <c:pt idx="476">
                  <c:v>171.23088833380098</c:v>
                </c:pt>
                <c:pt idx="477">
                  <c:v>170.51971490405339</c:v>
                </c:pt>
                <c:pt idx="478">
                  <c:v>169.80686577121438</c:v>
                </c:pt>
                <c:pt idx="479">
                  <c:v>169.09220577928374</c:v>
                </c:pt>
                <c:pt idx="480">
                  <c:v>168.37560877544988</c:v>
                </c:pt>
                <c:pt idx="481">
                  <c:v>167.65695802895416</c:v>
                </c:pt>
                <c:pt idx="482">
                  <c:v>166.93614664525052</c:v>
                </c:pt>
                <c:pt idx="483">
                  <c:v>166.21307797369437</c:v>
                </c:pt>
                <c:pt idx="484">
                  <c:v>165.48766600681645</c:v>
                </c:pt>
                <c:pt idx="485">
                  <c:v>164.75983576906268</c:v>
                </c:pt>
                <c:pt idx="486">
                  <c:v>164.02952369271378</c:v>
                </c:pt>
                <c:pt idx="487">
                  <c:v>163.29667797854154</c:v>
                </c:pt>
                <c:pt idx="488">
                  <c:v>162.5612589386142</c:v>
                </c:pt>
                <c:pt idx="489">
                  <c:v>161.82323931852937</c:v>
                </c:pt>
                <c:pt idx="490">
                  <c:v>161.08260459624941</c:v>
                </c:pt>
                <c:pt idx="491">
                  <c:v>160.33935325462085</c:v>
                </c:pt>
                <c:pt idx="492">
                  <c:v>159.59349702459329</c:v>
                </c:pt>
                <c:pt idx="493">
                  <c:v>158.84506109612963</c:v>
                </c:pt>
                <c:pt idx="494">
                  <c:v>158.09408429378652</c:v>
                </c:pt>
                <c:pt idx="495">
                  <c:v>157.34061921398302</c:v>
                </c:pt>
                <c:pt idx="496">
                  <c:v>156.58473232104475</c:v>
                </c:pt>
                <c:pt idx="497">
                  <c:v>155.82650399921823</c:v>
                </c:pt>
                <c:pt idx="498">
                  <c:v>155.0660285580112</c:v>
                </c:pt>
                <c:pt idx="499">
                  <c:v>154.3034141883987</c:v>
                </c:pt>
                <c:pt idx="500">
                  <c:v>153.53878286768273</c:v>
                </c:pt>
                <c:pt idx="501">
                  <c:v>152.77227021107456</c:v>
                </c:pt>
                <c:pt idx="502">
                  <c:v>152.0040252683921</c:v>
                </c:pt>
                <c:pt idx="503">
                  <c:v>151.23421026462702</c:v>
                </c:pt>
                <c:pt idx="504">
                  <c:v>150.46300028355975</c:v>
                </c:pt>
                <c:pt idx="505">
                  <c:v>149.690582894014</c:v>
                </c:pt>
                <c:pt idx="506">
                  <c:v>148.91715771882909</c:v>
                </c:pt>
                <c:pt idx="507">
                  <c:v>148.14293594712598</c:v>
                </c:pt>
                <c:pt idx="508">
                  <c:v>147.36813979093699</c:v>
                </c:pt>
                <c:pt idx="509">
                  <c:v>146.59300188781654</c:v>
                </c:pt>
                <c:pt idx="510">
                  <c:v>145.81776465156884</c:v>
                </c:pt>
                <c:pt idx="511">
                  <c:v>145.04267957375097</c:v>
                </c:pt>
                <c:pt idx="512">
                  <c:v>144.26800647913498</c:v>
                </c:pt>
                <c:pt idx="513">
                  <c:v>143.49401273879485</c:v>
                </c:pt>
                <c:pt idx="514">
                  <c:v>142.72097244495765</c:v>
                </c:pt>
                <c:pt idx="515">
                  <c:v>141.94916555218339</c:v>
                </c:pt>
                <c:pt idx="516">
                  <c:v>141.17887698981767</c:v>
                </c:pt>
                <c:pt idx="517">
                  <c:v>140.41039575100137</c:v>
                </c:pt>
                <c:pt idx="518">
                  <c:v>139.64401396378764</c:v>
                </c:pt>
                <c:pt idx="519">
                  <c:v>138.88002595013444</c:v>
                </c:pt>
                <c:pt idx="520">
                  <c:v>138.11872727867942</c:v>
                </c:pt>
                <c:pt idx="521">
                  <c:v>137.3604138172802</c:v>
                </c:pt>
                <c:pt idx="522">
                  <c:v>136.60538079131368</c:v>
                </c:pt>
                <c:pt idx="523">
                  <c:v>135.85392185364063</c:v>
                </c:pt>
                <c:pt idx="524">
                  <c:v>135.10632817202688</c:v>
                </c:pt>
                <c:pt idx="525">
                  <c:v>134.36288753958871</c:v>
                </c:pt>
                <c:pt idx="526">
                  <c:v>133.62388351356748</c:v>
                </c:pt>
                <c:pt idx="527">
                  <c:v>132.88959458740982</c:v>
                </c:pt>
                <c:pt idx="528">
                  <c:v>132.16029340075067</c:v>
                </c:pt>
                <c:pt idx="529">
                  <c:v>131.43624599145733</c:v>
                </c:pt>
                <c:pt idx="530">
                  <c:v>130.71771109345607</c:v>
                </c:pt>
                <c:pt idx="531">
                  <c:v>130.00493948353241</c:v>
                </c:pt>
                <c:pt idx="532">
                  <c:v>129.29817337980882</c:v>
                </c:pt>
                <c:pt idx="533">
                  <c:v>128.59764589405873</c:v>
                </c:pt>
                <c:pt idx="534">
                  <c:v>127.90358053948817</c:v>
                </c:pt>
                <c:pt idx="535">
                  <c:v>127.21619079508135</c:v>
                </c:pt>
                <c:pt idx="536">
                  <c:v>126.5356797270891</c:v>
                </c:pt>
                <c:pt idx="537">
                  <c:v>125.86223966772937</c:v>
                </c:pt>
                <c:pt idx="538">
                  <c:v>125.19605195070383</c:v>
                </c:pt>
                <c:pt idx="539">
                  <c:v>124.53728670266374</c:v>
                </c:pt>
                <c:pt idx="540">
                  <c:v>123.88610268936657</c:v>
                </c:pt>
                <c:pt idx="541">
                  <c:v>123.24264721486293</c:v>
                </c:pt>
              </c:numCache>
            </c:numRef>
          </c:yVal>
          <c:smooth val="1"/>
          <c:extLst>
            <c:ext xmlns:c16="http://schemas.microsoft.com/office/drawing/2014/chart" uri="{C3380CC4-5D6E-409C-BE32-E72D297353CC}">
              <c16:uniqueId val="{00000009-2860-4C4C-B618-5424CA982335}"/>
            </c:ext>
          </c:extLst>
        </c:ser>
        <c:dLbls>
          <c:showLegendKey val="0"/>
          <c:showVal val="0"/>
          <c:showCatName val="0"/>
          <c:showSerName val="0"/>
          <c:showPercent val="0"/>
          <c:showBubbleSize val="0"/>
        </c:dLbls>
        <c:axId val="377513088"/>
        <c:axId val="377498624"/>
      </c:scatterChart>
      <c:valAx>
        <c:axId val="377478144"/>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377496704"/>
        <c:crosses val="autoZero"/>
        <c:crossBetween val="midCat"/>
      </c:valAx>
      <c:valAx>
        <c:axId val="377496704"/>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377478144"/>
        <c:crosses val="autoZero"/>
        <c:crossBetween val="midCat"/>
        <c:majorUnit val="20"/>
        <c:minorUnit val="10"/>
      </c:valAx>
      <c:valAx>
        <c:axId val="377498624"/>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377513088"/>
        <c:crosses val="max"/>
        <c:crossBetween val="midCat"/>
        <c:majorUnit val="90"/>
        <c:minorUnit val="45"/>
      </c:valAx>
      <c:valAx>
        <c:axId val="377513088"/>
        <c:scaling>
          <c:logBase val="10"/>
          <c:orientation val="minMax"/>
        </c:scaling>
        <c:delete val="1"/>
        <c:axPos val="b"/>
        <c:numFmt formatCode="0.00" sourceLinked="1"/>
        <c:majorTickMark val="out"/>
        <c:minorTickMark val="none"/>
        <c:tickLblPos val="nextTo"/>
        <c:crossAx val="377498624"/>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CCM_Loop_Modeling_non_isolated!$AD$19:$AD$560</c:f>
              <c:numCache>
                <c:formatCode>0.000</c:formatCode>
                <c:ptCount val="542"/>
                <c:pt idx="0">
                  <c:v>84.17364081682959</c:v>
                </c:pt>
                <c:pt idx="1">
                  <c:v>83.993169388028562</c:v>
                </c:pt>
                <c:pt idx="2">
                  <c:v>83.811900670832586</c:v>
                </c:pt>
                <c:pt idx="3">
                  <c:v>83.629863914548039</c:v>
                </c:pt>
                <c:pt idx="4">
                  <c:v>83.447087554130306</c:v>
                </c:pt>
                <c:pt idx="5">
                  <c:v>83.263599211226861</c:v>
                </c:pt>
                <c:pt idx="6">
                  <c:v>83.079425697329654</c:v>
                </c:pt>
                <c:pt idx="7">
                  <c:v>82.89459301885222</c:v>
                </c:pt>
                <c:pt idx="8">
                  <c:v>82.709126383951102</c:v>
                </c:pt>
                <c:pt idx="9">
                  <c:v>82.523050210923031</c:v>
                </c:pt>
                <c:pt idx="10">
                  <c:v>82.336388138013092</c:v>
                </c:pt>
                <c:pt idx="11">
                  <c:v>82.149163034478903</c:v>
                </c:pt>
                <c:pt idx="12">
                  <c:v>81.961397012765374</c:v>
                </c:pt>
                <c:pt idx="13">
                  <c:v>81.773111441651224</c:v>
                </c:pt>
                <c:pt idx="14">
                  <c:v>81.584326960236922</c:v>
                </c:pt>
                <c:pt idx="15">
                  <c:v>81.395063492653691</c:v>
                </c:pt>
                <c:pt idx="16">
                  <c:v>81.205340263380151</c:v>
                </c:pt>
                <c:pt idx="17">
                  <c:v>81.015175813060978</c:v>
                </c:pt>
                <c:pt idx="18">
                  <c:v>80.824588014730949</c:v>
                </c:pt>
                <c:pt idx="19">
                  <c:v>80.633594090354364</c:v>
                </c:pt>
                <c:pt idx="20">
                  <c:v>80.442210627597802</c:v>
                </c:pt>
                <c:pt idx="21">
                  <c:v>80.250453596759542</c:v>
                </c:pt>
                <c:pt idx="22">
                  <c:v>80.058338367788622</c:v>
                </c:pt>
                <c:pt idx="23">
                  <c:v>79.865879727329499</c:v>
                </c:pt>
                <c:pt idx="24">
                  <c:v>79.673091895736633</c:v>
                </c:pt>
                <c:pt idx="25">
                  <c:v>79.479988544007256</c:v>
                </c:pt>
                <c:pt idx="26">
                  <c:v>79.28658281058776</c:v>
                </c:pt>
                <c:pt idx="27">
                  <c:v>79.092887318012032</c:v>
                </c:pt>
                <c:pt idx="28">
                  <c:v>78.898914189335898</c:v>
                </c:pt>
                <c:pt idx="29">
                  <c:v>78.704675064336541</c:v>
                </c:pt>
                <c:pt idx="30">
                  <c:v>78.51018111544802</c:v>
                </c:pt>
                <c:pt idx="31">
                  <c:v>78.315443063409504</c:v>
                </c:pt>
                <c:pt idx="32">
                  <c:v>78.12047119260599</c:v>
                </c:pt>
                <c:pt idx="33">
                  <c:v>77.925275366082204</c:v>
                </c:pt>
                <c:pt idx="34">
                  <c:v>77.729865040217149</c:v>
                </c:pt>
                <c:pt idx="35">
                  <c:v>77.534249279045952</c:v>
                </c:pt>
                <c:pt idx="36">
                  <c:v>77.338436768219253</c:v>
                </c:pt>
                <c:pt idx="37">
                  <c:v>77.142435828593591</c:v>
                </c:pt>
                <c:pt idx="38">
                  <c:v>76.946254429446299</c:v>
                </c:pt>
                <c:pt idx="39">
                  <c:v>76.749900201311675</c:v>
                </c:pt>
                <c:pt idx="40">
                  <c:v>76.553380448436343</c:v>
                </c:pt>
                <c:pt idx="41">
                  <c:v>76.356702160852421</c:v>
                </c:pt>
                <c:pt idx="42">
                  <c:v>76.15987202606982</c:v>
                </c:pt>
                <c:pt idx="43">
                  <c:v>75.962896440389159</c:v>
                </c:pt>
                <c:pt idx="44">
                  <c:v>75.765781519837333</c:v>
                </c:pt>
                <c:pt idx="45">
                  <c:v>75.568533110730058</c:v>
                </c:pt>
                <c:pt idx="46">
                  <c:v>75.371156799865375</c:v>
                </c:pt>
                <c:pt idx="47">
                  <c:v>75.173657924352611</c:v>
                </c:pt>
                <c:pt idx="48">
                  <c:v>74.976041581083294</c:v>
                </c:pt>
                <c:pt idx="49">
                  <c:v>74.778312635848792</c:v>
                </c:pt>
                <c:pt idx="50">
                  <c:v>74.580475732111893</c:v>
                </c:pt>
                <c:pt idx="51">
                  <c:v>74.382535299438516</c:v>
                </c:pt>
                <c:pt idx="52">
                  <c:v>74.184495561596833</c:v>
                </c:pt>
                <c:pt idx="53">
                  <c:v>73.986360544330211</c:v>
                </c:pt>
                <c:pt idx="54">
                  <c:v>73.788134082812149</c:v>
                </c:pt>
                <c:pt idx="55">
                  <c:v>73.589819828789828</c:v>
                </c:pt>
                <c:pt idx="56">
                  <c:v>73.391421257423687</c:v>
                </c:pt>
                <c:pt idx="57">
                  <c:v>73.192941673830632</c:v>
                </c:pt>
                <c:pt idx="58">
                  <c:v>72.994384219338102</c:v>
                </c:pt>
                <c:pt idx="59">
                  <c:v>72.795751877456269</c:v>
                </c:pt>
                <c:pt idx="60">
                  <c:v>72.597047479574982</c:v>
                </c:pt>
                <c:pt idx="61">
                  <c:v>72.398273710394108</c:v>
                </c:pt>
                <c:pt idx="62">
                  <c:v>72.199433113091516</c:v>
                </c:pt>
                <c:pt idx="63">
                  <c:v>72.000528094238575</c:v>
                </c:pt>
                <c:pt idx="64">
                  <c:v>71.801560928466898</c:v>
                </c:pt>
                <c:pt idx="65">
                  <c:v>71.602533762894424</c:v>
                </c:pt>
                <c:pt idx="66">
                  <c:v>71.403448621316699</c:v>
                </c:pt>
                <c:pt idx="67">
                  <c:v>71.204307408168731</c:v>
                </c:pt>
                <c:pt idx="68">
                  <c:v>71.005111912263715</c:v>
                </c:pt>
                <c:pt idx="69">
                  <c:v>70.805863810314264</c:v>
                </c:pt>
                <c:pt idx="70">
                  <c:v>70.606564670239806</c:v>
                </c:pt>
                <c:pt idx="71">
                  <c:v>70.407215954268295</c:v>
                </c:pt>
                <c:pt idx="72">
                  <c:v>70.20781902183289</c:v>
                </c:pt>
                <c:pt idx="73">
                  <c:v>70.008375132272221</c:v>
                </c:pt>
                <c:pt idx="74">
                  <c:v>69.808885447334944</c:v>
                </c:pt>
                <c:pt idx="75">
                  <c:v>69.609351033494903</c:v>
                </c:pt>
                <c:pt idx="76">
                  <c:v>69.409772864079542</c:v>
                </c:pt>
                <c:pt idx="77">
                  <c:v>69.210151821214978</c:v>
                </c:pt>
                <c:pt idx="78">
                  <c:v>69.010488697591285</c:v>
                </c:pt>
                <c:pt idx="79">
                  <c:v>68.810784198050342</c:v>
                </c:pt>
                <c:pt idx="80">
                  <c:v>68.611038941000018</c:v>
                </c:pt>
                <c:pt idx="81">
                  <c:v>68.411253459654745</c:v>
                </c:pt>
                <c:pt idx="82">
                  <c:v>68.211428203107147</c:v>
                </c:pt>
                <c:pt idx="83">
                  <c:v>68.011563537230842</c:v>
                </c:pt>
                <c:pt idx="84">
                  <c:v>67.811659745416094</c:v>
                </c:pt>
                <c:pt idx="85">
                  <c:v>67.611717029140451</c:v>
                </c:pt>
                <c:pt idx="86">
                  <c:v>67.411735508373994</c:v>
                </c:pt>
                <c:pt idx="87">
                  <c:v>67.211715221821095</c:v>
                </c:pt>
                <c:pt idx="88">
                  <c:v>67.011656126998474</c:v>
                </c:pt>
                <c:pt idx="89">
                  <c:v>66.811558100149341</c:v>
                </c:pt>
                <c:pt idx="90">
                  <c:v>66.611420935994644</c:v>
                </c:pt>
                <c:pt idx="91">
                  <c:v>66.411244347319624</c:v>
                </c:pt>
                <c:pt idx="92">
                  <c:v>66.211027964395811</c:v>
                </c:pt>
                <c:pt idx="93">
                  <c:v>66.010771334238044</c:v>
                </c:pt>
                <c:pt idx="94">
                  <c:v>65.810473919693052</c:v>
                </c:pt>
                <c:pt idx="95">
                  <c:v>65.610135098361141</c:v>
                </c:pt>
                <c:pt idx="96">
                  <c:v>65.409754161346541</c:v>
                </c:pt>
                <c:pt idx="97">
                  <c:v>65.20933031183624</c:v>
                </c:pt>
                <c:pt idx="98">
                  <c:v>65.008862663503322</c:v>
                </c:pt>
                <c:pt idx="99">
                  <c:v>64.808350238733908</c:v>
                </c:pt>
                <c:pt idx="100">
                  <c:v>64.607791966673545</c:v>
                </c:pt>
                <c:pt idx="101">
                  <c:v>64.40718668109001</c:v>
                </c:pt>
                <c:pt idx="102">
                  <c:v>64.206533118050174</c:v>
                </c:pt>
                <c:pt idx="103">
                  <c:v>64.005829913405762</c:v>
                </c:pt>
                <c:pt idx="104">
                  <c:v>63.805075600085104</c:v>
                </c:pt>
                <c:pt idx="105">
                  <c:v>63.60426860518595</c:v>
                </c:pt>
                <c:pt idx="106">
                  <c:v>63.403407246865655</c:v>
                </c:pt>
                <c:pt idx="107">
                  <c:v>63.202489731023384</c:v>
                </c:pt>
                <c:pt idx="108">
                  <c:v>63.001514147769299</c:v>
                </c:pt>
                <c:pt idx="109">
                  <c:v>62.800478467675617</c:v>
                </c:pt>
                <c:pt idx="110">
                  <c:v>62.599380537804535</c:v>
                </c:pt>
                <c:pt idx="111">
                  <c:v>62.398218077506499</c:v>
                </c:pt>
                <c:pt idx="112">
                  <c:v>62.196988673983469</c:v>
                </c:pt>
                <c:pt idx="113">
                  <c:v>61.995689777610338</c:v>
                </c:pt>
                <c:pt idx="114">
                  <c:v>61.794318697008919</c:v>
                </c:pt>
                <c:pt idx="115">
                  <c:v>61.592872593867739</c:v>
                </c:pt>
                <c:pt idx="116">
                  <c:v>61.391348477500344</c:v>
                </c:pt>
                <c:pt idx="117">
                  <c:v>61.189743199135606</c:v>
                </c:pt>
                <c:pt idx="118">
                  <c:v>60.98805344593324</c:v>
                </c:pt>
                <c:pt idx="119">
                  <c:v>60.786275734716988</c:v>
                </c:pt>
                <c:pt idx="120">
                  <c:v>60.584406405418669</c:v>
                </c:pt>
                <c:pt idx="121">
                  <c:v>60.382441614224248</c:v>
                </c:pt>
                <c:pt idx="122">
                  <c:v>60.180377326417741</c:v>
                </c:pt>
                <c:pt idx="123">
                  <c:v>59.978209308911879</c:v>
                </c:pt>
                <c:pt idx="124">
                  <c:v>59.775933122460707</c:v>
                </c:pt>
                <c:pt idx="125">
                  <c:v>59.573544113546603</c:v>
                </c:pt>
                <c:pt idx="126">
                  <c:v>59.371037405933322</c:v>
                </c:pt>
                <c:pt idx="127">
                  <c:v>59.168407891879902</c:v>
                </c:pt>
                <c:pt idx="128">
                  <c:v>58.965650223007714</c:v>
                </c:pt>
                <c:pt idx="129">
                  <c:v>58.762758800814211</c:v>
                </c:pt>
                <c:pt idx="130">
                  <c:v>58.559727766828715</c:v>
                </c:pt>
                <c:pt idx="131">
                  <c:v>58.356550992403029</c:v>
                </c:pt>
                <c:pt idx="132">
                  <c:v>58.153222068133843</c:v>
                </c:pt>
                <c:pt idx="133">
                  <c:v>57.949734292910676</c:v>
                </c:pt>
                <c:pt idx="134">
                  <c:v>57.746080662587957</c:v>
                </c:pt>
                <c:pt idx="135">
                  <c:v>57.542253858277135</c:v>
                </c:pt>
                <c:pt idx="136">
                  <c:v>57.338246234257682</c:v>
                </c:pt>
                <c:pt idx="137">
                  <c:v>57.134049805506791</c:v>
                </c:pt>
                <c:pt idx="138">
                  <c:v>56.92965623484853</c:v>
                </c:pt>
                <c:pt idx="139">
                  <c:v>56.725056819723847</c:v>
                </c:pt>
                <c:pt idx="140">
                  <c:v>56.520242478586908</c:v>
                </c:pt>
                <c:pt idx="141">
                  <c:v>56.315203736931558</c:v>
                </c:pt>
                <c:pt idx="142">
                  <c:v>56.109930712957087</c:v>
                </c:pt>
                <c:pt idx="143">
                  <c:v>55.904413102882117</c:v>
                </c:pt>
                <c:pt idx="144">
                  <c:v>55.698640165919315</c:v>
                </c:pt>
                <c:pt idx="145">
                  <c:v>55.49260070892516</c:v>
                </c:pt>
                <c:pt idx="146">
                  <c:v>55.286283070743622</c:v>
                </c:pt>
                <c:pt idx="147">
                  <c:v>55.079675106263196</c:v>
                </c:pt>
                <c:pt idx="148">
                  <c:v>54.872764170213017</c:v>
                </c:pt>
                <c:pt idx="149">
                  <c:v>54.66553710072462</c:v>
                </c:pt>
                <c:pt idx="150">
                  <c:v>54.457980202692866</c:v>
                </c:pt>
                <c:pt idx="151">
                  <c:v>54.250079230971011</c:v>
                </c:pt>
                <c:pt idx="152">
                  <c:v>54.041819373441783</c:v>
                </c:pt>
                <c:pt idx="153">
                  <c:v>53.833185234010024</c:v>
                </c:pt>
                <c:pt idx="154">
                  <c:v>53.624160815568267</c:v>
                </c:pt>
                <c:pt idx="155">
                  <c:v>53.414729502991747</c:v>
                </c:pt>
                <c:pt idx="156">
                  <c:v>53.204874046227204</c:v>
                </c:pt>
                <c:pt idx="157">
                  <c:v>52.99457654354164</c:v>
                </c:pt>
                <c:pt idx="158">
                  <c:v>52.783818425010587</c:v>
                </c:pt>
                <c:pt idx="159">
                  <c:v>52.572580436326</c:v>
                </c:pt>
                <c:pt idx="160">
                  <c:v>52.360842623014733</c:v>
                </c:pt>
                <c:pt idx="161">
                  <c:v>52.148584315166353</c:v>
                </c:pt>
                <c:pt idx="162">
                  <c:v>51.935784112773405</c:v>
                </c:pt>
                <c:pt idx="163">
                  <c:v>51.722419871800639</c:v>
                </c:pt>
                <c:pt idx="164">
                  <c:v>51.508468691102387</c:v>
                </c:pt>
                <c:pt idx="165">
                  <c:v>51.293906900320607</c:v>
                </c:pt>
                <c:pt idx="166">
                  <c:v>51.078710048900184</c:v>
                </c:pt>
                <c:pt idx="167">
                  <c:v>50.862852896369873</c:v>
                </c:pt>
                <c:pt idx="168">
                  <c:v>50.646309404044302</c:v>
                </c:pt>
                <c:pt idx="169">
                  <c:v>50.429052728309642</c:v>
                </c:pt>
                <c:pt idx="170">
                  <c:v>50.211055215665226</c:v>
                </c:pt>
                <c:pt idx="171">
                  <c:v>49.992288399699859</c:v>
                </c:pt>
                <c:pt idx="172">
                  <c:v>49.772723000188293</c:v>
                </c:pt>
                <c:pt idx="173">
                  <c:v>49.552328924500777</c:v>
                </c:pt>
                <c:pt idx="174">
                  <c:v>49.331075271521684</c:v>
                </c:pt>
                <c:pt idx="175">
                  <c:v>49.108930338280643</c:v>
                </c:pt>
                <c:pt idx="176">
                  <c:v>48.885861629499743</c:v>
                </c:pt>
                <c:pt idx="177">
                  <c:v>48.661835870264639</c:v>
                </c:pt>
                <c:pt idx="178">
                  <c:v>48.436819022025553</c:v>
                </c:pt>
                <c:pt idx="179">
                  <c:v>48.210776302134228</c:v>
                </c:pt>
                <c:pt idx="180">
                  <c:v>47.983672207117785</c:v>
                </c:pt>
                <c:pt idx="181">
                  <c:v>47.755470539885948</c:v>
                </c:pt>
                <c:pt idx="182">
                  <c:v>47.526134441058041</c:v>
                </c:pt>
                <c:pt idx="183">
                  <c:v>47.29562642458761</c:v>
                </c:pt>
                <c:pt idx="184">
                  <c:v>47.063908417845603</c:v>
                </c:pt>
                <c:pt idx="185">
                  <c:v>46.83094180630988</c:v>
                </c:pt>
                <c:pt idx="186">
                  <c:v>46.596687482984613</c:v>
                </c:pt>
                <c:pt idx="187">
                  <c:v>46.361105902654245</c:v>
                </c:pt>
                <c:pt idx="188">
                  <c:v>46.124157141046481</c:v>
                </c:pt>
                <c:pt idx="189">
                  <c:v>45.885800958950242</c:v>
                </c:pt>
                <c:pt idx="190">
                  <c:v>45.645996871301634</c:v>
                </c:pt>
                <c:pt idx="191">
                  <c:v>45.404704221211567</c:v>
                </c:pt>
                <c:pt idx="192">
                  <c:v>45.161882258872296</c:v>
                </c:pt>
                <c:pt idx="193">
                  <c:v>44.917490225233614</c:v>
                </c:pt>
                <c:pt idx="194">
                  <c:v>44.671487440294456</c:v>
                </c:pt>
                <c:pt idx="195">
                  <c:v>44.423833395809488</c:v>
                </c:pt>
                <c:pt idx="196">
                  <c:v>44.174487852155565</c:v>
                </c:pt>
                <c:pt idx="197">
                  <c:v>43.923410939055721</c:v>
                </c:pt>
                <c:pt idx="198">
                  <c:v>43.670563259801852</c:v>
                </c:pt>
                <c:pt idx="199">
                  <c:v>43.415905998566686</c:v>
                </c:pt>
                <c:pt idx="200">
                  <c:v>43.159401030341122</c:v>
                </c:pt>
                <c:pt idx="201">
                  <c:v>42.901011032983803</c:v>
                </c:pt>
                <c:pt idx="202">
                  <c:v>42.640699600818465</c:v>
                </c:pt>
                <c:pt idx="203">
                  <c:v>42.378431359169596</c:v>
                </c:pt>
                <c:pt idx="204">
                  <c:v>42.114172079184939</c:v>
                </c:pt>
                <c:pt idx="205">
                  <c:v>41.8478887922548</c:v>
                </c:pt>
                <c:pt idx="206">
                  <c:v>41.579549903307566</c:v>
                </c:pt>
                <c:pt idx="207">
                  <c:v>41.309125302233767</c:v>
                </c:pt>
                <c:pt idx="208">
                  <c:v>41.036586472676007</c:v>
                </c:pt>
                <c:pt idx="209">
                  <c:v>40.761906597408867</c:v>
                </c:pt>
                <c:pt idx="210">
                  <c:v>40.485060659534604</c:v>
                </c:pt>
                <c:pt idx="211">
                  <c:v>40.206025538726131</c:v>
                </c:pt>
                <c:pt idx="212">
                  <c:v>39.924780101767858</c:v>
                </c:pt>
                <c:pt idx="213">
                  <c:v>39.641305286670033</c:v>
                </c:pt>
                <c:pt idx="214">
                  <c:v>39.355584179670934</c:v>
                </c:pt>
                <c:pt idx="215">
                  <c:v>39.067602084484669</c:v>
                </c:pt>
                <c:pt idx="216">
                  <c:v>38.777346583209237</c:v>
                </c:pt>
                <c:pt idx="217">
                  <c:v>38.484807588371517</c:v>
                </c:pt>
                <c:pt idx="218">
                  <c:v>38.189977385656746</c:v>
                </c:pt>
                <c:pt idx="219">
                  <c:v>37.89285066694854</c:v>
                </c:pt>
                <c:pt idx="220">
                  <c:v>37.593424553387614</c:v>
                </c:pt>
                <c:pt idx="221">
                  <c:v>37.291698608245241</c:v>
                </c:pt>
                <c:pt idx="222">
                  <c:v>36.98767483949937</c:v>
                </c:pt>
                <c:pt idx="223">
                  <c:v>36.681357692091865</c:v>
                </c:pt>
                <c:pt idx="224">
                  <c:v>36.372754029939941</c:v>
                </c:pt>
                <c:pt idx="225">
                  <c:v>36.061873107865814</c:v>
                </c:pt>
                <c:pt idx="226">
                  <c:v>35.748726533696747</c:v>
                </c:pt>
                <c:pt idx="227">
                  <c:v>35.433328220876639</c:v>
                </c:pt>
                <c:pt idx="228">
                  <c:v>35.115694332005667</c:v>
                </c:pt>
                <c:pt idx="229">
                  <c:v>34.795843213801355</c:v>
                </c:pt>
                <c:pt idx="230">
                  <c:v>34.473795324042726</c:v>
                </c:pt>
                <c:pt idx="231">
                  <c:v>34.149573151112875</c:v>
                </c:pt>
                <c:pt idx="232">
                  <c:v>33.823201126812144</c:v>
                </c:pt>
                <c:pt idx="233">
                  <c:v>33.494705533146501</c:v>
                </c:pt>
                <c:pt idx="234">
                  <c:v>33.164114403836152</c:v>
                </c:pt>
                <c:pt idx="235">
                  <c:v>32.831457421303554</c:v>
                </c:pt>
                <c:pt idx="236">
                  <c:v>32.496765809915708</c:v>
                </c:pt>
                <c:pt idx="237">
                  <c:v>32.160072226258755</c:v>
                </c:pt>
                <c:pt idx="238">
                  <c:v>31.821410647214165</c:v>
                </c:pt>
                <c:pt idx="239">
                  <c:v>31.480816256595912</c:v>
                </c:pt>
                <c:pt idx="240">
                  <c:v>31.138325331080861</c:v>
                </c:pt>
                <c:pt idx="241">
                  <c:v>30.793975126139827</c:v>
                </c:pt>
                <c:pt idx="242">
                  <c:v>30.447803762639637</c:v>
                </c:pt>
                <c:pt idx="243">
                  <c:v>30.099850114747756</c:v>
                </c:pt>
                <c:pt idx="244">
                  <c:v>29.750153699724354</c:v>
                </c:pt>
                <c:pt idx="245">
                  <c:v>29.398754570141534</c:v>
                </c:pt>
                <c:pt idx="246">
                  <c:v>29.045693209016818</c:v>
                </c:pt>
                <c:pt idx="247">
                  <c:v>28.691010428297158</c:v>
                </c:pt>
                <c:pt idx="248">
                  <c:v>28.334747271076353</c:v>
                </c:pt>
                <c:pt idx="249">
                  <c:v>27.976944917875969</c:v>
                </c:pt>
                <c:pt idx="250">
                  <c:v>27.61764459726777</c:v>
                </c:pt>
                <c:pt idx="251">
                  <c:v>27.256887501063723</c:v>
                </c:pt>
                <c:pt idx="252">
                  <c:v>26.894714704251783</c:v>
                </c:pt>
                <c:pt idx="253">
                  <c:v>26.531167089807358</c:v>
                </c:pt>
                <c:pt idx="254">
                  <c:v>26.166285278466749</c:v>
                </c:pt>
                <c:pt idx="255">
                  <c:v>25.800109563506645</c:v>
                </c:pt>
                <c:pt idx="256">
                  <c:v>25.432679850537802</c:v>
                </c:pt>
                <c:pt idx="257">
                  <c:v>25.06403560228096</c:v>
                </c:pt>
                <c:pt idx="258">
                  <c:v>24.694215788268167</c:v>
                </c:pt>
                <c:pt idx="259">
                  <c:v>24.323258839379449</c:v>
                </c:pt>
                <c:pt idx="260">
                  <c:v>23.951202607101699</c:v>
                </c:pt>
                <c:pt idx="261">
                  <c:v>23.578084327376637</c:v>
                </c:pt>
                <c:pt idx="262">
                  <c:v>23.203940588883295</c:v>
                </c:pt>
                <c:pt idx="263">
                  <c:v>22.828807305589798</c:v>
                </c:pt>
                <c:pt idx="264">
                  <c:v>22.452719693392929</c:v>
                </c:pt>
                <c:pt idx="265">
                  <c:v>22.075712250657105</c:v>
                </c:pt>
                <c:pt idx="266">
                  <c:v>21.697818742456704</c:v>
                </c:pt>
                <c:pt idx="267">
                  <c:v>21.319072188322018</c:v>
                </c:pt>
                <c:pt idx="268">
                  <c:v>20.939504853284753</c:v>
                </c:pt>
                <c:pt idx="269">
                  <c:v>20.559148242020981</c:v>
                </c:pt>
                <c:pt idx="270">
                  <c:v>20.178033095888765</c:v>
                </c:pt>
                <c:pt idx="271">
                  <c:v>19.796189392661745</c:v>
                </c:pt>
                <c:pt idx="272">
                  <c:v>19.413646348762505</c:v>
                </c:pt>
                <c:pt idx="273">
                  <c:v>19.030432423806481</c:v>
                </c:pt>
                <c:pt idx="274">
                  <c:v>18.646575327271517</c:v>
                </c:pt>
                <c:pt idx="275">
                  <c:v>18.262102027115649</c:v>
                </c:pt>
                <c:pt idx="276">
                  <c:v>17.877038760173289</c:v>
                </c:pt>
                <c:pt idx="277">
                  <c:v>17.491411044168284</c:v>
                </c:pt>
                <c:pt idx="278">
                  <c:v>17.105243691188104</c:v>
                </c:pt>
                <c:pt idx="279">
                  <c:v>16.718560822475791</c:v>
                </c:pt>
                <c:pt idx="280">
                  <c:v>16.331385884401655</c:v>
                </c:pt>
                <c:pt idx="281">
                  <c:v>15.943741665486314</c:v>
                </c:pt>
                <c:pt idx="282">
                  <c:v>15.555650314356033</c:v>
                </c:pt>
                <c:pt idx="283">
                  <c:v>15.167133358518548</c:v>
                </c:pt>
                <c:pt idx="284">
                  <c:v>14.778211723857236</c:v>
                </c:pt>
                <c:pt idx="285">
                  <c:v>14.388905754747991</c:v>
                </c:pt>
                <c:pt idx="286">
                  <c:v>13.999235234713163</c:v>
                </c:pt>
                <c:pt idx="287">
                  <c:v>13.609219407531546</c:v>
                </c:pt>
                <c:pt idx="288">
                  <c:v>13.218876998735032</c:v>
                </c:pt>
                <c:pt idx="289">
                  <c:v>12.828226237423957</c:v>
                </c:pt>
                <c:pt idx="290">
                  <c:v>12.43728487834602</c:v>
                </c:pt>
                <c:pt idx="291">
                  <c:v>12.046070224183696</c:v>
                </c:pt>
                <c:pt idx="292">
                  <c:v>11.654599148006536</c:v>
                </c:pt>
                <c:pt idx="293">
                  <c:v>11.262888115847012</c:v>
                </c:pt>
                <c:pt idx="294">
                  <c:v>10.870953209364458</c:v>
                </c:pt>
                <c:pt idx="295">
                  <c:v>10.478810148566923</c:v>
                </c:pt>
                <c:pt idx="296">
                  <c:v>10.086474314566056</c:v>
                </c:pt>
                <c:pt idx="297">
                  <c:v>9.6939607723427628</c:v>
                </c:pt>
                <c:pt idx="298">
                  <c:v>9.3012842935063809</c:v>
                </c:pt>
                <c:pt idx="299">
                  <c:v>8.9084593790333386</c:v>
                </c:pt>
                <c:pt idx="300">
                  <c:v>8.5155002819745693</c:v>
                </c:pt>
                <c:pt idx="301">
                  <c:v>8.1224210301250057</c:v>
                </c:pt>
                <c:pt idx="302">
                  <c:v>7.7292354486481489</c:v>
                </c:pt>
                <c:pt idx="303">
                  <c:v>7.3359571826555738</c:v>
                </c:pt>
                <c:pt idx="304">
                  <c:v>6.9425997197387934</c:v>
                </c:pt>
                <c:pt idx="305">
                  <c:v>6.5491764124567498</c:v>
                </c:pt>
                <c:pt idx="306">
                  <c:v>6.1557005007810703</c:v>
                </c:pt>
                <c:pt idx="307">
                  <c:v>5.7621851345035964</c:v>
                </c:pt>
                <c:pt idx="308">
                  <c:v>5.3686433956121249</c:v>
                </c:pt>
                <c:pt idx="309">
                  <c:v>4.9750883206410093</c:v>
                </c:pt>
                <c:pt idx="310">
                  <c:v>4.581532923003544</c:v>
                </c:pt>
                <c:pt idx="311">
                  <c:v>4.1879902153141133</c:v>
                </c:pt>
                <c:pt idx="312">
                  <c:v>3.7944732317071739</c:v>
                </c:pt>
                <c:pt idx="313">
                  <c:v>3.4009950501624293</c:v>
                </c:pt>
                <c:pt idx="314">
                  <c:v>3.0075688148422408</c:v>
                </c:pt>
                <c:pt idx="315">
                  <c:v>2.6142077584496075</c:v>
                </c:pt>
                <c:pt idx="316">
                  <c:v>2.2209252246124738</c:v>
                </c:pt>
                <c:pt idx="317">
                  <c:v>1.8277346903001213</c:v>
                </c:pt>
                <c:pt idx="318">
                  <c:v>1.4346497882764544</c:v>
                </c:pt>
                <c:pt idx="319">
                  <c:v>1.0416843295926166</c:v>
                </c:pt>
                <c:pt idx="320">
                  <c:v>0.64885232611999011</c:v>
                </c:pt>
                <c:pt idx="321">
                  <c:v>0.2561680131241626</c:v>
                </c:pt>
                <c:pt idx="322">
                  <c:v>-0.13635412812407227</c:v>
                </c:pt>
                <c:pt idx="323">
                  <c:v>-0.5286993477046843</c:v>
                </c:pt>
                <c:pt idx="324">
                  <c:v>-0.92085260438188965</c:v>
                </c:pt>
                <c:pt idx="325">
                  <c:v>-1.312798542921811</c:v>
                </c:pt>
                <c:pt idx="326">
                  <c:v>-1.7045214714120471</c:v>
                </c:pt>
                <c:pt idx="327">
                  <c:v>-2.0960053386005981</c:v>
                </c:pt>
                <c:pt idx="328">
                  <c:v>-2.4872337112734746</c:v>
                </c:pt>
                <c:pt idx="329">
                  <c:v>-2.8781897517013948</c:v>
                </c:pt>
                <c:pt idx="330">
                  <c:v>-3.26885619518078</c:v>
                </c:pt>
                <c:pt idx="331">
                  <c:v>-3.6592153277105814</c:v>
                </c:pt>
                <c:pt idx="332">
                  <c:v>-4.0492489638397942</c:v>
                </c:pt>
                <c:pt idx="333">
                  <c:v>-4.4389384247384882</c:v>
                </c:pt>
                <c:pt idx="334">
                  <c:v>-4.8282645165391207</c:v>
                </c:pt>
                <c:pt idx="335">
                  <c:v>-5.2172075090112653</c:v>
                </c:pt>
                <c:pt idx="336">
                  <c:v>-5.6057471146320283</c:v>
                </c:pt>
                <c:pt idx="337">
                  <c:v>-5.993862468128154</c:v>
                </c:pt>
                <c:pt idx="338">
                  <c:v>-6.3815321065672386</c:v>
                </c:pt>
                <c:pt idx="339">
                  <c:v>-6.76873395008543</c:v>
                </c:pt>
                <c:pt idx="340">
                  <c:v>-7.1554452833490254</c:v>
                </c:pt>
                <c:pt idx="341">
                  <c:v>-7.5416427378523903</c:v>
                </c:pt>
                <c:pt idx="342">
                  <c:v>-7.927302275164374</c:v>
                </c:pt>
                <c:pt idx="343">
                  <c:v>-8.3123991712431771</c:v>
                </c:pt>
                <c:pt idx="344">
                  <c:v>-8.696908001950046</c:v>
                </c:pt>
                <c:pt idx="345">
                  <c:v>-9.0808026298988107</c:v>
                </c:pt>
                <c:pt idx="346">
                  <c:v>-9.4640561927877513</c:v>
                </c:pt>
                <c:pt idx="347">
                  <c:v>-9.8466410933680635</c:v>
                </c:pt>
                <c:pt idx="348">
                  <c:v>-10.228528991214144</c:v>
                </c:pt>
                <c:pt idx="349">
                  <c:v>-10.609690796463543</c:v>
                </c:pt>
                <c:pt idx="350">
                  <c:v>-10.99009666570783</c:v>
                </c:pt>
                <c:pt idx="351">
                  <c:v>-11.369716000217807</c:v>
                </c:pt>
                <c:pt idx="352">
                  <c:v>-11.748517446695388</c:v>
                </c:pt>
                <c:pt idx="353">
                  <c:v>-12.126468900746959</c:v>
                </c:pt>
                <c:pt idx="354">
                  <c:v>-12.503537513281247</c:v>
                </c:pt>
                <c:pt idx="355">
                  <c:v>-12.879689700030442</c:v>
                </c:pt>
                <c:pt idx="356">
                  <c:v>-13.254891154403769</c:v>
                </c:pt>
                <c:pt idx="357">
                  <c:v>-13.629106863873005</c:v>
                </c:pt>
                <c:pt idx="358">
                  <c:v>-14.002301130093164</c:v>
                </c:pt>
                <c:pt idx="359">
                  <c:v>-14.374437592954813</c:v>
                </c:pt>
                <c:pt idx="360">
                  <c:v>-14.745479258757525</c:v>
                </c:pt>
                <c:pt idx="361">
                  <c:v>-15.115388532684548</c:v>
                </c:pt>
                <c:pt idx="362">
                  <c:v>-15.484127255748103</c:v>
                </c:pt>
                <c:pt idx="363">
                  <c:v>-15.85165674635644</c:v>
                </c:pt>
                <c:pt idx="364">
                  <c:v>-16.217937846638844</c:v>
                </c:pt>
                <c:pt idx="365">
                  <c:v>-16.582930973641883</c:v>
                </c:pt>
                <c:pt idx="366">
                  <c:v>-16.946596175484828</c:v>
                </c:pt>
                <c:pt idx="367">
                  <c:v>-17.308893192534487</c:v>
                </c:pt>
                <c:pt idx="368">
                  <c:v>-17.669781523629872</c:v>
                </c:pt>
                <c:pt idx="369">
                  <c:v>-18.02922049734752</c:v>
                </c:pt>
                <c:pt idx="370">
                  <c:v>-18.387169348265143</c:v>
                </c:pt>
                <c:pt idx="371">
                  <c:v>-18.74358729813687</c:v>
                </c:pt>
                <c:pt idx="372">
                  <c:v>-19.098433641848796</c:v>
                </c:pt>
                <c:pt idx="373">
                  <c:v>-19.451667837977105</c:v>
                </c:pt>
                <c:pt idx="374">
                  <c:v>-19.803249603723796</c:v>
                </c:pt>
                <c:pt idx="375">
                  <c:v>-20.153139013949076</c:v>
                </c:pt>
                <c:pt idx="376">
                  <c:v>-20.501296603972577</c:v>
                </c:pt>
                <c:pt idx="377">
                  <c:v>-20.847683475759268</c:v>
                </c:pt>
                <c:pt idx="378">
                  <c:v>-21.192261407054282</c:v>
                </c:pt>
                <c:pt idx="379">
                  <c:v>-21.534992962979477</c:v>
                </c:pt>
                <c:pt idx="380">
                  <c:v>-21.875841609552566</c:v>
                </c:pt>
                <c:pt idx="381">
                  <c:v>-22.21477182854477</c:v>
                </c:pt>
                <c:pt idx="382">
                  <c:v>-22.551749233045758</c:v>
                </c:pt>
                <c:pt idx="383">
                  <c:v>-22.886740683067309</c:v>
                </c:pt>
                <c:pt idx="384">
                  <c:v>-23.219714400480306</c:v>
                </c:pt>
                <c:pt idx="385">
                  <c:v>-23.550640082553222</c:v>
                </c:pt>
                <c:pt idx="386">
                  <c:v>-23.879489013336929</c:v>
                </c:pt>
                <c:pt idx="387">
                  <c:v>-24.206234172128429</c:v>
                </c:pt>
                <c:pt idx="388">
                  <c:v>-24.530850338239528</c:v>
                </c:pt>
                <c:pt idx="389">
                  <c:v>-24.853314191299795</c:v>
                </c:pt>
                <c:pt idx="390">
                  <c:v>-25.173604406336839</c:v>
                </c:pt>
                <c:pt idx="391">
                  <c:v>-25.491701742898591</c:v>
                </c:pt>
                <c:pt idx="392">
                  <c:v>-25.807589127513921</c:v>
                </c:pt>
                <c:pt idx="393">
                  <c:v>-26.121251728828746</c:v>
                </c:pt>
                <c:pt idx="394">
                  <c:v>-26.432677024807777</c:v>
                </c:pt>
                <c:pt idx="395">
                  <c:v>-26.741854861447436</c:v>
                </c:pt>
                <c:pt idx="396">
                  <c:v>-27.04877750251665</c:v>
                </c:pt>
                <c:pt idx="397">
                  <c:v>-27.353439669913143</c:v>
                </c:pt>
                <c:pt idx="398">
                  <c:v>-27.655838574307182</c:v>
                </c:pt>
                <c:pt idx="399">
                  <c:v>-27.955973935826712</c:v>
                </c:pt>
                <c:pt idx="400">
                  <c:v>-28.253847994631073</c:v>
                </c:pt>
                <c:pt idx="401">
                  <c:v>-28.549465511308675</c:v>
                </c:pt>
                <c:pt idx="402">
                  <c:v>-28.842833757130983</c:v>
                </c:pt>
                <c:pt idx="403">
                  <c:v>-29.133962494283864</c:v>
                </c:pt>
                <c:pt idx="404">
                  <c:v>-29.422863946291983</c:v>
                </c:pt>
                <c:pt idx="405">
                  <c:v>-29.709552758936574</c:v>
                </c:pt>
                <c:pt idx="406">
                  <c:v>-29.994045952051454</c:v>
                </c:pt>
                <c:pt idx="407">
                  <c:v>-30.276362862659276</c:v>
                </c:pt>
                <c:pt idx="408">
                  <c:v>-30.556525079982173</c:v>
                </c:pt>
                <c:pt idx="409">
                  <c:v>-30.834556372920474</c:v>
                </c:pt>
                <c:pt idx="410">
                  <c:v>-31.110482610651971</c:v>
                </c:pt>
                <c:pt idx="411">
                  <c:v>-31.38433167704676</c:v>
                </c:pt>
                <c:pt idx="412">
                  <c:v>-31.656133379630411</c:v>
                </c:pt>
                <c:pt idx="413">
                  <c:v>-31.925919353854049</c:v>
                </c:pt>
                <c:pt idx="414">
                  <c:v>-32.193722963448003</c:v>
                </c:pt>
                <c:pt idx="415">
                  <c:v>-32.459579197641304</c:v>
                </c:pt>
                <c:pt idx="416">
                  <c:v>-32.723524566031116</c:v>
                </c:pt>
                <c:pt idx="417">
                  <c:v>-32.985596991871738</c:v>
                </c:pt>
                <c:pt idx="418">
                  <c:v>-33.245835704538578</c:v>
                </c:pt>
                <c:pt idx="419">
                  <c:v>-33.504281131894444</c:v>
                </c:pt>
                <c:pt idx="420">
                  <c:v>-33.760974793255166</c:v>
                </c:pt>
                <c:pt idx="421">
                  <c:v>-34.015959193611764</c:v>
                </c:pt>
                <c:pt idx="422">
                  <c:v>-34.26927771972651</c:v>
                </c:pt>
                <c:pt idx="423">
                  <c:v>-34.520974538670387</c:v>
                </c:pt>
                <c:pt idx="424">
                  <c:v>-34.771094499324889</c:v>
                </c:pt>
                <c:pt idx="425">
                  <c:v>-35.019683037312795</c:v>
                </c:pt>
                <c:pt idx="426">
                  <c:v>-35.26678608377712</c:v>
                </c:pt>
                <c:pt idx="427">
                  <c:v>-35.512449978367343</c:v>
                </c:pt>
                <c:pt idx="428">
                  <c:v>-35.756721386743848</c:v>
                </c:pt>
                <c:pt idx="429">
                  <c:v>-35.999647222856836</c:v>
                </c:pt>
                <c:pt idx="430">
                  <c:v>-36.241274576204127</c:v>
                </c:pt>
                <c:pt idx="431">
                  <c:v>-36.481650644227784</c:v>
                </c:pt>
                <c:pt idx="432">
                  <c:v>-36.720822669955623</c:v>
                </c:pt>
                <c:pt idx="433">
                  <c:v>-36.958837884958704</c:v>
                </c:pt>
                <c:pt idx="434">
                  <c:v>-37.195743457646074</c:v>
                </c:pt>
                <c:pt idx="435">
                  <c:v>-37.431586446887714</c:v>
                </c:pt>
                <c:pt idx="436">
                  <c:v>-37.666413760915972</c:v>
                </c:pt>
                <c:pt idx="437">
                  <c:v>-37.90027212142936</c:v>
                </c:pt>
                <c:pt idx="438">
                  <c:v>-38.133208032791451</c:v>
                </c:pt>
                <c:pt idx="439">
                  <c:v>-38.365267756192154</c:v>
                </c:pt>
                <c:pt idx="440">
                  <c:v>-38.596497288620967</c:v>
                </c:pt>
                <c:pt idx="441">
                  <c:v>-38.826942346478106</c:v>
                </c:pt>
                <c:pt idx="442">
                  <c:v>-39.056648353637009</c:v>
                </c:pt>
                <c:pt idx="443">
                  <c:v>-39.285660433755353</c:v>
                </c:pt>
                <c:pt idx="444">
                  <c:v>-39.514023406623295</c:v>
                </c:pt>
                <c:pt idx="445">
                  <c:v>-39.741781788328424</c:v>
                </c:pt>
                <c:pt idx="446">
                  <c:v>-39.968979795006781</c:v>
                </c:pt>
                <c:pt idx="447">
                  <c:v>-40.195661349948892</c:v>
                </c:pt>
                <c:pt idx="448">
                  <c:v>-40.421870093823756</c:v>
                </c:pt>
                <c:pt idx="449">
                  <c:v>-40.647649397779716</c:v>
                </c:pt>
                <c:pt idx="450">
                  <c:v>-40.873042379183609</c:v>
                </c:pt>
                <c:pt idx="451">
                  <c:v>-41.098091919755518</c:v>
                </c:pt>
                <c:pt idx="452">
                  <c:v>-41.322840685859617</c:v>
                </c:pt>
                <c:pt idx="453">
                  <c:v>-41.547331150709581</c:v>
                </c:pt>
                <c:pt idx="454">
                  <c:v>-41.771605618250518</c:v>
                </c:pt>
                <c:pt idx="455">
                  <c:v>-41.995706248479657</c:v>
                </c:pt>
                <c:pt idx="456">
                  <c:v>-42.219675083967857</c:v>
                </c:pt>
                <c:pt idx="457">
                  <c:v>-42.443554077349162</c:v>
                </c:pt>
                <c:pt idx="458">
                  <c:v>-42.667385119542374</c:v>
                </c:pt>
                <c:pt idx="459">
                  <c:v>-42.891210068472418</c:v>
                </c:pt>
                <c:pt idx="460">
                  <c:v>-43.11507077805927</c:v>
                </c:pt>
                <c:pt idx="461">
                  <c:v>-43.33900912724161</c:v>
                </c:pt>
                <c:pt idx="462">
                  <c:v>-43.563067048805031</c:v>
                </c:pt>
                <c:pt idx="463">
                  <c:v>-43.787286557780291</c:v>
                </c:pt>
                <c:pt idx="464">
                  <c:v>-44.011709779180265</c:v>
                </c:pt>
                <c:pt idx="465">
                  <c:v>-44.23637897484199</c:v>
                </c:pt>
                <c:pt idx="466">
                  <c:v>-44.461336569138169</c:v>
                </c:pt>
                <c:pt idx="467">
                  <c:v>-44.686625173322625</c:v>
                </c:pt>
                <c:pt idx="468">
                  <c:v>-44.912287608272308</c:v>
                </c:pt>
                <c:pt idx="469">
                  <c:v>-45.138366925386919</c:v>
                </c:pt>
                <c:pt idx="470">
                  <c:v>-45.364906425406623</c:v>
                </c:pt>
                <c:pt idx="471">
                  <c:v>-45.591949674907042</c:v>
                </c:pt>
                <c:pt idx="472">
                  <c:v>-45.819540520230682</c:v>
                </c:pt>
                <c:pt idx="473">
                  <c:v>-46.047723098612835</c:v>
                </c:pt>
                <c:pt idx="474">
                  <c:v>-46.276541846264777</c:v>
                </c:pt>
                <c:pt idx="475">
                  <c:v>-46.50604150317271</c:v>
                </c:pt>
                <c:pt idx="476">
                  <c:v>-46.73626711438223</c:v>
                </c:pt>
                <c:pt idx="477">
                  <c:v>-46.967264027534355</c:v>
                </c:pt>
                <c:pt idx="478">
                  <c:v>-47.199077886433244</c:v>
                </c:pt>
                <c:pt idx="479">
                  <c:v>-47.43175462042818</c:v>
                </c:pt>
                <c:pt idx="480">
                  <c:v>-47.665340429405525</c:v>
                </c:pt>
                <c:pt idx="481">
                  <c:v>-47.89988176419903</c:v>
                </c:pt>
                <c:pt idx="482">
                  <c:v>-48.135425302240911</c:v>
                </c:pt>
                <c:pt idx="483">
                  <c:v>-48.37201791829537</c:v>
                </c:pt>
                <c:pt idx="484">
                  <c:v>-48.609706650135692</c:v>
                </c:pt>
                <c:pt idx="485">
                  <c:v>-48.848538659051542</c:v>
                </c:pt>
                <c:pt idx="486">
                  <c:v>-49.088561185099103</c:v>
                </c:pt>
                <c:pt idx="487">
                  <c:v>-49.329821497038083</c:v>
                </c:pt>
                <c:pt idx="488">
                  <c:v>-49.572366836930762</c:v>
                </c:pt>
                <c:pt idx="489">
                  <c:v>-49.816244359420203</c:v>
                </c:pt>
                <c:pt idx="490">
                  <c:v>-50.061501065737701</c:v>
                </c:pt>
                <c:pt idx="491">
                  <c:v>-50.308183732540741</c:v>
                </c:pt>
                <c:pt idx="492">
                  <c:v>-50.55633883572041</c:v>
                </c:pt>
                <c:pt idx="493">
                  <c:v>-50.806012469371602</c:v>
                </c:pt>
                <c:pt idx="494">
                  <c:v>-51.057250260167436</c:v>
                </c:pt>
                <c:pt idx="495">
                  <c:v>-51.310097277429982</c:v>
                </c:pt>
                <c:pt idx="496">
                  <c:v>-51.564597939245083</c:v>
                </c:pt>
                <c:pt idx="497">
                  <c:v>-51.820795915019815</c:v>
                </c:pt>
                <c:pt idx="498">
                  <c:v>-52.078734024936352</c:v>
                </c:pt>
                <c:pt idx="499">
                  <c:v>-52.338454136806433</c:v>
                </c:pt>
                <c:pt idx="500">
                  <c:v>-52.599997060882693</c:v>
                </c:pt>
                <c:pt idx="501">
                  <c:v>-52.863402443227415</c:v>
                </c:pt>
                <c:pt idx="502">
                  <c:v>-53.128708658287771</c:v>
                </c:pt>
                <c:pt idx="503">
                  <c:v>-53.395952701360429</c:v>
                </c:pt>
                <c:pt idx="504">
                  <c:v>-53.665170081667398</c:v>
                </c:pt>
                <c:pt idx="505">
                  <c:v>-53.936394716789152</c:v>
                </c:pt>
                <c:pt idx="506">
                  <c:v>-54.20965882922183</c:v>
                </c:pt>
                <c:pt idx="507">
                  <c:v>-54.484992845840168</c:v>
                </c:pt>
                <c:pt idx="508">
                  <c:v>-54.762425301050179</c:v>
                </c:pt>
                <c:pt idx="509">
                  <c:v>-55.041982744409594</c:v>
                </c:pt>
                <c:pt idx="510">
                  <c:v>-55.323689653483719</c:v>
                </c:pt>
                <c:pt idx="511">
                  <c:v>-55.607568352675798</c:v>
                </c:pt>
                <c:pt idx="512">
                  <c:v>-55.893638938743024</c:v>
                </c:pt>
                <c:pt idx="513">
                  <c:v>-56.18191921366008</c:v>
                </c:pt>
                <c:pt idx="514">
                  <c:v>-56.472424625447701</c:v>
                </c:pt>
                <c:pt idx="515">
                  <c:v>-56.76516821751504</c:v>
                </c:pt>
                <c:pt idx="516">
                  <c:v>-57.06016058700402</c:v>
                </c:pt>
                <c:pt idx="517">
                  <c:v>-57.357409852541601</c:v>
                </c:pt>
                <c:pt idx="518">
                  <c:v>-57.656921631729155</c:v>
                </c:pt>
                <c:pt idx="519">
                  <c:v>-57.958699028608606</c:v>
                </c:pt>
                <c:pt idx="520">
                  <c:v>-58.262742631257353</c:v>
                </c:pt>
                <c:pt idx="521">
                  <c:v>-58.569050519569558</c:v>
                </c:pt>
                <c:pt idx="522">
                  <c:v>-58.877618283189776</c:v>
                </c:pt>
                <c:pt idx="523">
                  <c:v>-59.188439049471818</c:v>
                </c:pt>
                <c:pt idx="524">
                  <c:v>-59.501503521247379</c:v>
                </c:pt>
                <c:pt idx="525">
                  <c:v>-59.816800024096722</c:v>
                </c:pt>
                <c:pt idx="526">
                  <c:v>-60.134314562738417</c:v>
                </c:pt>
                <c:pt idx="527">
                  <c:v>-60.454030886073269</c:v>
                </c:pt>
                <c:pt idx="528">
                  <c:v>-60.7759305603497</c:v>
                </c:pt>
                <c:pt idx="529">
                  <c:v>-61.099993049859862</c:v>
                </c:pt>
                <c:pt idx="530">
                  <c:v>-61.426195804512389</c:v>
                </c:pt>
                <c:pt idx="531">
                  <c:v>-61.754514353599177</c:v>
                </c:pt>
                <c:pt idx="532">
                  <c:v>-62.084922405021643</c:v>
                </c:pt>
                <c:pt idx="533">
                  <c:v>-62.417391949232702</c:v>
                </c:pt>
                <c:pt idx="534">
                  <c:v>-62.751893367121987</c:v>
                </c:pt>
                <c:pt idx="535">
                  <c:v>-63.088395541076636</c:v>
                </c:pt>
                <c:pt idx="536">
                  <c:v>-63.426865968442819</c:v>
                </c:pt>
                <c:pt idx="537">
                  <c:v>-63.767270876635081</c:v>
                </c:pt>
                <c:pt idx="538">
                  <c:v>-64.10957533915051</c:v>
                </c:pt>
                <c:pt idx="539">
                  <c:v>-64.453743391776825</c:v>
                </c:pt>
                <c:pt idx="540">
                  <c:v>-64.799738148314717</c:v>
                </c:pt>
                <c:pt idx="541">
                  <c:v>-65.147521915174224</c:v>
                </c:pt>
              </c:numCache>
            </c:numRef>
          </c:yVal>
          <c:smooth val="1"/>
          <c:extLst>
            <c:ext xmlns:c16="http://schemas.microsoft.com/office/drawing/2014/chart" uri="{C3380CC4-5D6E-409C-BE32-E72D297353CC}">
              <c16:uniqueId val="{00000000-1B3F-4802-9751-4D21F96C72BF}"/>
            </c:ext>
          </c:extLst>
        </c:ser>
        <c:dLbls>
          <c:showLegendKey val="0"/>
          <c:showVal val="0"/>
          <c:showCatName val="0"/>
          <c:showSerName val="0"/>
          <c:showPercent val="0"/>
          <c:showBubbleSize val="0"/>
        </c:dLbls>
        <c:axId val="385819776"/>
        <c:axId val="385821696"/>
      </c:scatterChart>
      <c:scatterChart>
        <c:scatterStyle val="smoothMarker"/>
        <c:varyColors val="0"/>
        <c:ser>
          <c:idx val="1"/>
          <c:order val="1"/>
          <c:tx>
            <c:v>Phase (deg)</c:v>
          </c:tx>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CCM_Loop_Modeling_non_isolated!$AE$19:$AE$560</c:f>
              <c:numCache>
                <c:formatCode>General</c:formatCode>
                <c:ptCount val="542"/>
                <c:pt idx="0">
                  <c:v>-71.961360491409962</c:v>
                </c:pt>
                <c:pt idx="1">
                  <c:v>-72.361651680152036</c:v>
                </c:pt>
                <c:pt idx="2">
                  <c:v>-72.75491850468697</c:v>
                </c:pt>
                <c:pt idx="3">
                  <c:v>-73.141230963498671</c:v>
                </c:pt>
                <c:pt idx="4">
                  <c:v>-73.520662962403975</c:v>
                </c:pt>
                <c:pt idx="5">
                  <c:v>-73.893292001721989</c:v>
                </c:pt>
                <c:pt idx="6">
                  <c:v>-74.25919887522808</c:v>
                </c:pt>
                <c:pt idx="7">
                  <c:v>-74.618467381146658</c:v>
                </c:pt>
                <c:pt idx="8">
                  <c:v>-74.97118404534389</c:v>
                </c:pt>
                <c:pt idx="9">
                  <c:v>-75.317437856807373</c:v>
                </c:pt>
                <c:pt idx="10">
                  <c:v>-75.657320015421618</c:v>
                </c:pt>
                <c:pt idx="11">
                  <c:v>-75.990923691987874</c:v>
                </c:pt>
                <c:pt idx="12">
                  <c:v>-76.318343800377519</c:v>
                </c:pt>
                <c:pt idx="13">
                  <c:v>-76.639676781659716</c:v>
                </c:pt>
                <c:pt idx="14">
                  <c:v>-76.955020399997579</c:v>
                </c:pt>
                <c:pt idx="15">
                  <c:v>-77.264473550073802</c:v>
                </c:pt>
                <c:pt idx="16">
                  <c:v>-77.568136075770525</c:v>
                </c:pt>
                <c:pt idx="17">
                  <c:v>-77.866108599804278</c:v>
                </c:pt>
                <c:pt idx="18">
                  <c:v>-78.158492363994426</c:v>
                </c:pt>
                <c:pt idx="19">
                  <c:v>-78.445389079826441</c:v>
                </c:pt>
                <c:pt idx="20">
                  <c:v>-78.72690078895603</c:v>
                </c:pt>
                <c:pt idx="21">
                  <c:v>-79.003129733293775</c:v>
                </c:pt>
                <c:pt idx="22">
                  <c:v>-79.274178234299299</c:v>
                </c:pt>
                <c:pt idx="23">
                  <c:v>-79.540148581115446</c:v>
                </c:pt>
                <c:pt idx="24">
                  <c:v>-79.801142927164847</c:v>
                </c:pt>
                <c:pt idx="25">
                  <c:v>-80.057263194840758</c:v>
                </c:pt>
                <c:pt idx="26">
                  <c:v>-80.3086109879182</c:v>
                </c:pt>
                <c:pt idx="27">
                  <c:v>-80.555287511325389</c:v>
                </c:pt>
                <c:pt idx="28">
                  <c:v>-80.797393497912793</c:v>
                </c:pt>
                <c:pt idx="29">
                  <c:v>-81.035029141872428</c:v>
                </c:pt>
                <c:pt idx="30">
                  <c:v>-81.268294038462201</c:v>
                </c:pt>
                <c:pt idx="31">
                  <c:v>-81.49728712970483</c:v>
                </c:pt>
                <c:pt idx="32">
                  <c:v>-81.722106655735587</c:v>
                </c:pt>
                <c:pt idx="33">
                  <c:v>-81.942850111489378</c:v>
                </c:pt>
                <c:pt idx="34">
                  <c:v>-82.159614208423349</c:v>
                </c:pt>
                <c:pt idx="35">
                  <c:v>-82.372494840985851</c:v>
                </c:pt>
                <c:pt idx="36">
                  <c:v>-82.581587057553577</c:v>
                </c:pt>
                <c:pt idx="37">
                  <c:v>-82.786985035568406</c:v>
                </c:pt>
                <c:pt idx="38">
                  <c:v>-82.988782060619371</c:v>
                </c:pt>
                <c:pt idx="39">
                  <c:v>-83.187070509225023</c:v>
                </c:pt>
                <c:pt idx="40">
                  <c:v>-83.381941835083254</c:v>
                </c:pt>
                <c:pt idx="41">
                  <c:v>-83.573486558567637</c:v>
                </c:pt>
                <c:pt idx="42">
                  <c:v>-83.761794259258778</c:v>
                </c:pt>
                <c:pt idx="43">
                  <c:v>-83.946953571310814</c:v>
                </c:pt>
                <c:pt idx="44">
                  <c:v>-84.129052181464232</c:v>
                </c:pt>
                <c:pt idx="45">
                  <c:v>-84.308176829524655</c:v>
                </c:pt>
                <c:pt idx="46">
                  <c:v>-84.484413311138411</c:v>
                </c:pt>
                <c:pt idx="47">
                  <c:v>-84.657846482705096</c:v>
                </c:pt>
                <c:pt idx="48">
                  <c:v>-84.82856026827514</c:v>
                </c:pt>
                <c:pt idx="49">
                  <c:v>-84.996637668291271</c:v>
                </c:pt>
                <c:pt idx="50">
                  <c:v>-85.162160770039335</c:v>
                </c:pt>
                <c:pt idx="51">
                  <c:v>-85.325210759682832</c:v>
                </c:pt>
                <c:pt idx="52">
                  <c:v>-85.485867935763295</c:v>
                </c:pt>
                <c:pt idx="53">
                  <c:v>-85.644211724056021</c:v>
                </c:pt>
                <c:pt idx="54">
                  <c:v>-85.800320693676767</c:v>
                </c:pt>
                <c:pt idx="55">
                  <c:v>-85.954272574343122</c:v>
                </c:pt>
                <c:pt idx="56">
                  <c:v>-86.106144274699801</c:v>
                </c:pt>
                <c:pt idx="57">
                  <c:v>-86.256011901623069</c:v>
                </c:pt>
                <c:pt idx="58">
                  <c:v>-86.40395078042522</c:v>
                </c:pt>
                <c:pt idx="59">
                  <c:v>-86.550035475886119</c:v>
                </c:pt>
                <c:pt idx="60">
                  <c:v>-86.694339814043062</c:v>
                </c:pt>
                <c:pt idx="61">
                  <c:v>-86.836936904675099</c:v>
                </c:pt>
                <c:pt idx="62">
                  <c:v>-86.977899164423576</c:v>
                </c:pt>
                <c:pt idx="63">
                  <c:v>-87.117298340493306</c:v>
                </c:pt>
                <c:pt idx="64">
                  <c:v>-87.255205534884098</c:v>
                </c:pt>
                <c:pt idx="65">
                  <c:v>-87.391691229105703</c:v>
                </c:pt>
                <c:pt idx="66">
                  <c:v>-87.526825309332551</c:v>
                </c:pt>
                <c:pt idx="67">
                  <c:v>-87.660677091958405</c:v>
                </c:pt>
                <c:pt idx="68">
                  <c:v>-87.793315349513989</c:v>
                </c:pt>
                <c:pt idx="69">
                  <c:v>-87.924808336913159</c:v>
                </c:pt>
                <c:pt idx="70">
                  <c:v>-88.05522381799733</c:v>
                </c:pt>
                <c:pt idx="71">
                  <c:v>-88.184629092347549</c:v>
                </c:pt>
                <c:pt idx="72">
                  <c:v>-88.31309102233989</c:v>
                </c:pt>
                <c:pt idx="73">
                  <c:v>-88.440676060418056</c:v>
                </c:pt>
                <c:pt idx="74">
                  <c:v>-88.567450276561743</c:v>
                </c:pt>
                <c:pt idx="75">
                  <c:v>-88.693479385930459</c:v>
                </c:pt>
                <c:pt idx="76">
                  <c:v>-88.818828776663509</c:v>
                </c:pt>
                <c:pt idx="77">
                  <c:v>-88.943563537819188</c:v>
                </c:pt>
                <c:pt idx="78">
                  <c:v>-89.067748487437527</c:v>
                </c:pt>
                <c:pt idx="79">
                  <c:v>-89.191448200711861</c:v>
                </c:pt>
                <c:pt idx="80">
                  <c:v>-89.314727038255668</c:v>
                </c:pt>
                <c:pt idx="81">
                  <c:v>-89.437649174452844</c:v>
                </c:pt>
                <c:pt idx="82">
                  <c:v>-89.56027862587932</c:v>
                </c:pt>
                <c:pt idx="83">
                  <c:v>-89.682679279785901</c:v>
                </c:pt>
                <c:pt idx="84">
                  <c:v>-89.80491492263171</c:v>
                </c:pt>
                <c:pt idx="85">
                  <c:v>-89.927049268659047</c:v>
                </c:pt>
                <c:pt idx="86">
                  <c:v>-90.04914598850084</c:v>
                </c:pt>
                <c:pt idx="87">
                  <c:v>-90.171268737811261</c:v>
                </c:pt>
                <c:pt idx="88">
                  <c:v>-90.29348118591173</c:v>
                </c:pt>
                <c:pt idx="89">
                  <c:v>-90.415847044443325</c:v>
                </c:pt>
                <c:pt idx="90">
                  <c:v>-90.53843009601745</c:v>
                </c:pt>
                <c:pt idx="91">
                  <c:v>-90.66129422285637</c:v>
                </c:pt>
                <c:pt idx="92">
                  <c:v>-90.784503435414436</c:v>
                </c:pt>
                <c:pt idx="93">
                  <c:v>-90.908121900971196</c:v>
                </c:pt>
                <c:pt idx="94">
                  <c:v>-91.032213972187307</c:v>
                </c:pt>
                <c:pt idx="95">
                  <c:v>-91.156844215612196</c:v>
                </c:pt>
                <c:pt idx="96">
                  <c:v>-91.282077440133904</c:v>
                </c:pt>
                <c:pt idx="97">
                  <c:v>-91.407978725358731</c:v>
                </c:pt>
                <c:pt idx="98">
                  <c:v>-91.534613449909102</c:v>
                </c:pt>
                <c:pt idx="99">
                  <c:v>-91.662047319625557</c:v>
                </c:pt>
                <c:pt idx="100">
                  <c:v>-91.790346395658787</c:v>
                </c:pt>
                <c:pt idx="101">
                  <c:v>-91.919577122435982</c:v>
                </c:pt>
                <c:pt idx="102">
                  <c:v>-92.049806355483838</c:v>
                </c:pt>
                <c:pt idx="103">
                  <c:v>-92.181101389090003</c:v>
                </c:pt>
                <c:pt idx="104">
                  <c:v>-92.31352998378226</c:v>
                </c:pt>
                <c:pt idx="105">
                  <c:v>-92.44716039360307</c:v>
                </c:pt>
                <c:pt idx="106">
                  <c:v>-92.582061393155371</c:v>
                </c:pt>
                <c:pt idx="107">
                  <c:v>-92.718302304393191</c:v>
                </c:pt>
                <c:pt idx="108">
                  <c:v>-92.855953023128023</c:v>
                </c:pt>
                <c:pt idx="109">
                  <c:v>-92.995084045219969</c:v>
                </c:pt>
                <c:pt idx="110">
                  <c:v>-93.135766492419293</c:v>
                </c:pt>
                <c:pt idx="111">
                  <c:v>-93.278072137821624</c:v>
                </c:pt>
                <c:pt idx="112">
                  <c:v>-93.422073430896745</c:v>
                </c:pt>
                <c:pt idx="113">
                  <c:v>-93.567843522047539</c:v>
                </c:pt>
                <c:pt idx="114">
                  <c:v>-93.715456286652085</c:v>
                </c:pt>
                <c:pt idx="115">
                  <c:v>-93.864986348538238</c:v>
                </c:pt>
                <c:pt idx="116">
                  <c:v>-94.016509102835926</c:v>
                </c:pt>
                <c:pt idx="117">
                  <c:v>-94.170100738148022</c:v>
                </c:pt>
                <c:pt idx="118">
                  <c:v>-94.325838257976528</c:v>
                </c:pt>
                <c:pt idx="119">
                  <c:v>-94.483799501334886</c:v>
                </c:pt>
                <c:pt idx="120">
                  <c:v>-94.644063162473671</c:v>
                </c:pt>
                <c:pt idx="121">
                  <c:v>-94.806708809640483</c:v>
                </c:pt>
                <c:pt idx="122">
                  <c:v>-94.971816902789001</c:v>
                </c:pt>
                <c:pt idx="123">
                  <c:v>-95.139468810146639</c:v>
                </c:pt>
                <c:pt idx="124">
                  <c:v>-95.309746823544657</c:v>
                </c:pt>
                <c:pt idx="125">
                  <c:v>-95.482734172405046</c:v>
                </c:pt>
                <c:pt idx="126">
                  <c:v>-95.658515036275844</c:v>
                </c:pt>
                <c:pt idx="127">
                  <c:v>-95.837174555794604</c:v>
                </c:pt>
                <c:pt idx="128">
                  <c:v>-96.018798841955203</c:v>
                </c:pt>
                <c:pt idx="129">
                  <c:v>-96.203474983544751</c:v>
                </c:pt>
                <c:pt idx="130">
                  <c:v>-96.391291052606277</c:v>
                </c:pt>
                <c:pt idx="131">
                  <c:v>-96.582336107778318</c:v>
                </c:pt>
                <c:pt idx="132">
                  <c:v>-96.776700195348852</c:v>
                </c:pt>
                <c:pt idx="133">
                  <c:v>-96.974474347856557</c:v>
                </c:pt>
                <c:pt idx="134">
                  <c:v>-97.17575058005697</c:v>
                </c:pt>
                <c:pt idx="135">
                  <c:v>-97.380621882065782</c:v>
                </c:pt>
                <c:pt idx="136">
                  <c:v>-97.589182209478395</c:v>
                </c:pt>
                <c:pt idx="137">
                  <c:v>-97.801526470255467</c:v>
                </c:pt>
                <c:pt idx="138">
                  <c:v>-98.017750508151352</c:v>
                </c:pt>
                <c:pt idx="139">
                  <c:v>-98.237951082453989</c:v>
                </c:pt>
                <c:pt idx="140">
                  <c:v>-98.462225843790989</c:v>
                </c:pt>
                <c:pt idx="141">
                  <c:v>-98.690673305746387</c:v>
                </c:pt>
                <c:pt idx="142">
                  <c:v>-98.923392812020651</c:v>
                </c:pt>
                <c:pt idx="143">
                  <c:v>-99.16048449885507</c:v>
                </c:pt>
                <c:pt idx="144">
                  <c:v>-99.402049252430331</c:v>
                </c:pt>
                <c:pt idx="145">
                  <c:v>-99.64818866093826</c:v>
                </c:pt>
                <c:pt idx="146">
                  <c:v>-99.899004961013219</c:v>
                </c:pt>
                <c:pt idx="147">
                  <c:v>-100.15460097820088</c:v>
                </c:pt>
                <c:pt idx="148">
                  <c:v>-100.41508006113217</c:v>
                </c:pt>
                <c:pt idx="149">
                  <c:v>-100.68054600905791</c:v>
                </c:pt>
                <c:pt idx="150">
                  <c:v>-100.95110299239545</c:v>
                </c:pt>
                <c:pt idx="151">
                  <c:v>-101.22685546592894</c:v>
                </c:pt>
                <c:pt idx="152">
                  <c:v>-101.50790807429759</c:v>
                </c:pt>
                <c:pt idx="153">
                  <c:v>-101.79436554940452</c:v>
                </c:pt>
                <c:pt idx="154">
                  <c:v>-102.08633259937285</c:v>
                </c:pt>
                <c:pt idx="155">
                  <c:v>-102.38391378867726</c:v>
                </c:pt>
                <c:pt idx="156">
                  <c:v>-102.68721340907854</c:v>
                </c:pt>
                <c:pt idx="157">
                  <c:v>-102.99633534099377</c:v>
                </c:pt>
                <c:pt idx="158">
                  <c:v>-103.31138290494039</c:v>
                </c:pt>
                <c:pt idx="159">
                  <c:v>-103.63245870270403</c:v>
                </c:pt>
                <c:pt idx="160">
                  <c:v>-103.95966444789059</c:v>
                </c:pt>
                <c:pt idx="161">
                  <c:v>-104.29310078554596</c:v>
                </c:pt>
                <c:pt idx="162">
                  <c:v>-104.63286710054216</c:v>
                </c:pt>
                <c:pt idx="163">
                  <c:v>-104.97906131446172</c:v>
                </c:pt>
                <c:pt idx="164">
                  <c:v>-105.3317796707386</c:v>
                </c:pt>
                <c:pt idx="165">
                  <c:v>-105.69111650785828</c:v>
                </c:pt>
                <c:pt idx="166">
                  <c:v>-106.05716402045732</c:v>
                </c:pt>
                <c:pt idx="167">
                  <c:v>-106.43001200821666</c:v>
                </c:pt>
                <c:pt idx="168">
                  <c:v>-106.80974761250124</c:v>
                </c:pt>
                <c:pt idx="169">
                  <c:v>-107.19645504075959</c:v>
                </c:pt>
                <c:pt idx="170">
                  <c:v>-107.59021527877469</c:v>
                </c:pt>
                <c:pt idx="171">
                  <c:v>-107.99110579093308</c:v>
                </c:pt>
                <c:pt idx="172">
                  <c:v>-108.39920020877254</c:v>
                </c:pt>
                <c:pt idx="173">
                  <c:v>-108.81456800816333</c:v>
                </c:pt>
                <c:pt idx="174">
                  <c:v>-109.23727417558482</c:v>
                </c:pt>
                <c:pt idx="175">
                  <c:v>-109.66737886407498</c:v>
                </c:pt>
                <c:pt idx="176">
                  <c:v>-110.10493703955169</c:v>
                </c:pt>
                <c:pt idx="177">
                  <c:v>-110.54999811833837</c:v>
                </c:pt>
                <c:pt idx="178">
                  <c:v>-111.00260559686487</c:v>
                </c:pt>
                <c:pt idx="179">
                  <c:v>-111.46279667466004</c:v>
                </c:pt>
                <c:pt idx="180">
                  <c:v>-111.93060187190858</c:v>
                </c:pt>
                <c:pt idx="181">
                  <c:v>-112.40604464300192</c:v>
                </c:pt>
                <c:pt idx="182">
                  <c:v>-112.88914098767519</c:v>
                </c:pt>
                <c:pt idx="183">
                  <c:v>-113.37989906149301</c:v>
                </c:pt>
                <c:pt idx="184">
                  <c:v>-113.87831878761001</c:v>
                </c:pt>
                <c:pt idx="185">
                  <c:v>-114.38439147190229</c:v>
                </c:pt>
                <c:pt idx="186">
                  <c:v>-114.89809942373275</c:v>
                </c:pt>
                <c:pt idx="187">
                  <c:v>-115.41941558476759</c:v>
                </c:pt>
                <c:pt idx="188">
                  <c:v>-115.94830316842192</c:v>
                </c:pt>
                <c:pt idx="189">
                  <c:v>-116.48471531264835</c:v>
                </c:pt>
                <c:pt idx="190">
                  <c:v>-117.02859474891339</c:v>
                </c:pt>
                <c:pt idx="191">
                  <c:v>-117.57987349032265</c:v>
                </c:pt>
                <c:pt idx="192">
                  <c:v>-118.1384725419442</c:v>
                </c:pt>
                <c:pt idx="193">
                  <c:v>-118.70430163645027</c:v>
                </c:pt>
                <c:pt idx="194">
                  <c:v>-119.27725899824416</c:v>
                </c:pt>
                <c:pt idx="195">
                  <c:v>-119.85723113925066</c:v>
                </c:pt>
                <c:pt idx="196">
                  <c:v>-120.44409268952951</c:v>
                </c:pt>
                <c:pt idx="197">
                  <c:v>-121.03770626581917</c:v>
                </c:pt>
                <c:pt idx="198">
                  <c:v>-121.63792238102064</c:v>
                </c:pt>
                <c:pt idx="199">
                  <c:v>-122.24457939750978</c:v>
                </c:pt>
                <c:pt idx="200">
                  <c:v>-122.85750352697437</c:v>
                </c:pt>
                <c:pt idx="201">
                  <c:v>-123.47650887927145</c:v>
                </c:pt>
                <c:pt idx="202">
                  <c:v>-124.10139756252865</c:v>
                </c:pt>
                <c:pt idx="203">
                  <c:v>-124.73195983641287</c:v>
                </c:pt>
                <c:pt idx="204">
                  <c:v>-125.36797432014366</c:v>
                </c:pt>
                <c:pt idx="205">
                  <c:v>-126.00920825643934</c:v>
                </c:pt>
                <c:pt idx="206">
                  <c:v>-126.65541783216595</c:v>
                </c:pt>
                <c:pt idx="207">
                  <c:v>-127.30634855600353</c:v>
                </c:pt>
                <c:pt idx="208">
                  <c:v>-127.96173569294983</c:v>
                </c:pt>
                <c:pt idx="209">
                  <c:v>-128.62130475499256</c:v>
                </c:pt>
                <c:pt idx="210">
                  <c:v>-129.28477204674223</c:v>
                </c:pt>
                <c:pt idx="211">
                  <c:v>-129.95184526429566</c:v>
                </c:pt>
                <c:pt idx="212">
                  <c:v>-130.62222414506311</c:v>
                </c:pt>
                <c:pt idx="213">
                  <c:v>-131.29560116576684</c:v>
                </c:pt>
                <c:pt idx="214">
                  <c:v>-131.97166228530492</c:v>
                </c:pt>
                <c:pt idx="215">
                  <c:v>-132.65008772869109</c:v>
                </c:pt>
                <c:pt idx="216">
                  <c:v>-133.33055280781866</c:v>
                </c:pt>
                <c:pt idx="217">
                  <c:v>-134.01272877438504</c:v>
                </c:pt>
                <c:pt idx="218">
                  <c:v>-134.69628369994192</c:v>
                </c:pt>
                <c:pt idx="219">
                  <c:v>-135.38088337772101</c:v>
                </c:pt>
                <c:pt idx="220">
                  <c:v>-136.06619224062902</c:v>
                </c:pt>
                <c:pt idx="221">
                  <c:v>-136.75187428961712</c:v>
                </c:pt>
                <c:pt idx="222">
                  <c:v>-137.43759402650485</c:v>
                </c:pt>
                <c:pt idx="223">
                  <c:v>-138.12301738528632</c:v>
                </c:pt>
                <c:pt idx="224">
                  <c:v>-138.80781265597093</c:v>
                </c:pt>
                <c:pt idx="225">
                  <c:v>-139.49165139509404</c:v>
                </c:pt>
                <c:pt idx="226">
                  <c:v>-140.1742093172023</c:v>
                </c:pt>
                <c:pt idx="227">
                  <c:v>-140.85516716183531</c:v>
                </c:pt>
                <c:pt idx="228">
                  <c:v>-141.53421153082442</c:v>
                </c:pt>
                <c:pt idx="229">
                  <c:v>-142.21103569106953</c:v>
                </c:pt>
                <c:pt idx="230">
                  <c:v>-142.88534033834853</c:v>
                </c:pt>
                <c:pt idx="231">
                  <c:v>-143.55683431816368</c:v>
                </c:pt>
                <c:pt idx="232">
                  <c:v>-144.22523530008738</c:v>
                </c:pt>
                <c:pt idx="233">
                  <c:v>-144.89027040259333</c:v>
                </c:pt>
                <c:pt idx="234">
                  <c:v>-145.55167676585774</c:v>
                </c:pt>
                <c:pt idx="235">
                  <c:v>-146.20920207056355</c:v>
                </c:pt>
                <c:pt idx="236">
                  <c:v>-146.8626050012638</c:v>
                </c:pt>
                <c:pt idx="237">
                  <c:v>-147.51165565339494</c:v>
                </c:pt>
                <c:pt idx="238">
                  <c:v>-148.15613588354105</c:v>
                </c:pt>
                <c:pt idx="239">
                  <c:v>-148.79583960304299</c:v>
                </c:pt>
                <c:pt idx="240">
                  <c:v>-149.43057301552545</c:v>
                </c:pt>
                <c:pt idx="241">
                  <c:v>-150.06015479934132</c:v>
                </c:pt>
                <c:pt idx="242">
                  <c:v>-150.68441623634325</c:v>
                </c:pt>
                <c:pt idx="243">
                  <c:v>-151.3032012887528</c:v>
                </c:pt>
                <c:pt idx="244">
                  <c:v>-151.91636662622528</c:v>
                </c:pt>
                <c:pt idx="245">
                  <c:v>-152.52378160548176</c:v>
                </c:pt>
                <c:pt idx="246">
                  <c:v>-153.12532820512843</c:v>
                </c:pt>
                <c:pt idx="247">
                  <c:v>-153.72090091846246</c:v>
                </c:pt>
                <c:pt idx="248">
                  <c:v>-154.3104066072315</c:v>
                </c:pt>
                <c:pt idx="249">
                  <c:v>-154.89376431940931</c:v>
                </c:pt>
                <c:pt idx="250">
                  <c:v>-155.47090507413134</c:v>
                </c:pt>
                <c:pt idx="251">
                  <c:v>-156.0417716169662</c:v>
                </c:pt>
                <c:pt idx="252">
                  <c:v>-156.60631814869359</c:v>
                </c:pt>
                <c:pt idx="253">
                  <c:v>-157.16451003073684</c:v>
                </c:pt>
                <c:pt idx="254">
                  <c:v>-157.71632347033304</c:v>
                </c:pt>
                <c:pt idx="255">
                  <c:v>-158.26174518844473</c:v>
                </c:pt>
                <c:pt idx="256">
                  <c:v>-158.80077207330848</c:v>
                </c:pt>
                <c:pt idx="257">
                  <c:v>-159.33341082239852</c:v>
                </c:pt>
                <c:pt idx="258">
                  <c:v>-159.85967757544168</c:v>
                </c:pt>
                <c:pt idx="259">
                  <c:v>-160.37959754097429</c:v>
                </c:pt>
                <c:pt idx="260">
                  <c:v>-160.89320461877145</c:v>
                </c:pt>
                <c:pt idx="261">
                  <c:v>-161.40054102031999</c:v>
                </c:pt>
                <c:pt idx="262">
                  <c:v>-161.90165688933291</c:v>
                </c:pt>
                <c:pt idx="263">
                  <c:v>-162.39660992414207</c:v>
                </c:pt>
                <c:pt idx="264">
                  <c:v>-162.88546500362983</c:v>
                </c:pt>
                <c:pt idx="265">
                  <c:v>-163.36829381820195</c:v>
                </c:pt>
                <c:pt idx="266">
                  <c:v>-163.84517450713832</c:v>
                </c:pt>
                <c:pt idx="267">
                  <c:v>-164.31619130350305</c:v>
                </c:pt>
                <c:pt idx="268">
                  <c:v>-164.78143418764202</c:v>
                </c:pt>
                <c:pt idx="269">
                  <c:v>-165.24099855015913</c:v>
                </c:pt>
                <c:pt idx="270">
                  <c:v>-165.69498486511719</c:v>
                </c:pt>
                <c:pt idx="271">
                  <c:v>-166.14349837409222</c:v>
                </c:pt>
                <c:pt idx="272">
                  <c:v>-166.58664878157811</c:v>
                </c:pt>
                <c:pt idx="273">
                  <c:v>-167.02454996214192</c:v>
                </c:pt>
                <c:pt idx="274">
                  <c:v>-167.45731967961319</c:v>
                </c:pt>
                <c:pt idx="275">
                  <c:v>-167.88507931850833</c:v>
                </c:pt>
                <c:pt idx="276">
                  <c:v>-168.30795362779895</c:v>
                </c:pt>
                <c:pt idx="277">
                  <c:v>-168.72607047705756</c:v>
                </c:pt>
                <c:pt idx="278">
                  <c:v>-169.13956062494333</c:v>
                </c:pt>
                <c:pt idx="279">
                  <c:v>-169.54855749993186</c:v>
                </c:pt>
                <c:pt idx="280">
                  <c:v>-169.95319699313117</c:v>
                </c:pt>
                <c:pt idx="281">
                  <c:v>-170.35361726298413</c:v>
                </c:pt>
                <c:pt idx="282">
                  <c:v>-170.7499585516108</c:v>
                </c:pt>
                <c:pt idx="283">
                  <c:v>-171.14236301250941</c:v>
                </c:pt>
                <c:pt idx="284">
                  <c:v>-171.53097454930318</c:v>
                </c:pt>
                <c:pt idx="285">
                  <c:v>-171.9159386651929</c:v>
                </c:pt>
                <c:pt idx="286">
                  <c:v>-172.29740232275392</c:v>
                </c:pt>
                <c:pt idx="287">
                  <c:v>-172.67551381369964</c:v>
                </c:pt>
                <c:pt idx="288">
                  <c:v>-173.05042263821446</c:v>
                </c:pt>
                <c:pt idx="289">
                  <c:v>-173.42227939345574</c:v>
                </c:pt>
                <c:pt idx="290">
                  <c:v>-173.79123567080805</c:v>
                </c:pt>
                <c:pt idx="291">
                  <c:v>-174.15744396147306</c:v>
                </c:pt>
                <c:pt idx="292">
                  <c:v>-174.52105756997273</c:v>
                </c:pt>
                <c:pt idx="293">
                  <c:v>-174.88223053514082</c:v>
                </c:pt>
                <c:pt idx="294">
                  <c:v>-175.24111755818049</c:v>
                </c:pt>
                <c:pt idx="295">
                  <c:v>-175.59787393736462</c:v>
                </c:pt>
                <c:pt idx="296">
                  <c:v>-175.95265550895914</c:v>
                </c:pt>
                <c:pt idx="297">
                  <c:v>-176.30561859395164</c:v>
                </c:pt>
                <c:pt idx="298">
                  <c:v>-176.65691995017457</c:v>
                </c:pt>
                <c:pt idx="299">
                  <c:v>-177.00671672941181</c:v>
                </c:pt>
                <c:pt idx="300">
                  <c:v>-177.35516643908826</c:v>
                </c:pt>
                <c:pt idx="301">
                  <c:v>-177.70242690813942</c:v>
                </c:pt>
                <c:pt idx="302">
                  <c:v>-178.04865625667233</c:v>
                </c:pt>
                <c:pt idx="303">
                  <c:v>-178.39401286902384</c:v>
                </c:pt>
                <c:pt idx="304">
                  <c:v>-178.73865536983564</c:v>
                </c:pt>
                <c:pt idx="305">
                  <c:v>-179.08274260276363</c:v>
                </c:pt>
                <c:pt idx="306">
                  <c:v>-179.42643361144695</c:v>
                </c:pt>
                <c:pt idx="307">
                  <c:v>-179.76988762236346</c:v>
                </c:pt>
                <c:pt idx="308">
                  <c:v>179.88673597079756</c:v>
                </c:pt>
                <c:pt idx="309">
                  <c:v>179.54327762161279</c:v>
                </c:pt>
                <c:pt idx="310">
                  <c:v>179.19957764461688</c:v>
                </c:pt>
                <c:pt idx="311">
                  <c:v>178.85547622857399</c:v>
                </c:pt>
                <c:pt idx="312">
                  <c:v>178.51081344969052</c:v>
                </c:pt>
                <c:pt idx="313">
                  <c:v>178.16542928513402</c:v>
                </c:pt>
                <c:pt idx="314">
                  <c:v>177.81916362722055</c:v>
                </c:pt>
                <c:pt idx="315">
                  <c:v>177.47185629863623</c:v>
                </c:pt>
                <c:pt idx="316">
                  <c:v>177.12334706906003</c:v>
                </c:pt>
                <c:pt idx="317">
                  <c:v>176.77347567355665</c:v>
                </c:pt>
                <c:pt idx="318">
                  <c:v>176.42208183311257</c:v>
                </c:pt>
                <c:pt idx="319">
                  <c:v>176.06900527768997</c:v>
                </c:pt>
                <c:pt idx="320">
                  <c:v>175.7140857721796</c:v>
                </c:pt>
                <c:pt idx="321">
                  <c:v>175.35716314563541</c:v>
                </c:pt>
                <c:pt idx="322">
                  <c:v>174.99807732418088</c:v>
                </c:pt>
                <c:pt idx="323">
                  <c:v>174.63666836797927</c:v>
                </c:pt>
                <c:pt idx="324">
                  <c:v>174.27277651266587</c:v>
                </c:pt>
                <c:pt idx="325">
                  <c:v>173.90624221564747</c:v>
                </c:pt>
                <c:pt idx="326">
                  <c:v>173.53690620767475</c:v>
                </c:pt>
                <c:pt idx="327">
                  <c:v>173.16460955009961</c:v>
                </c:pt>
                <c:pt idx="328">
                  <c:v>172.78919369823575</c:v>
                </c:pt>
                <c:pt idx="329">
                  <c:v>172.41050057123846</c:v>
                </c:pt>
                <c:pt idx="330">
                  <c:v>172.02837262892803</c:v>
                </c:pt>
                <c:pt idx="331">
                  <c:v>171.64265295597778</c:v>
                </c:pt>
                <c:pt idx="332">
                  <c:v>171.25318535389053</c:v>
                </c:pt>
                <c:pt idx="333">
                  <c:v>170.8598144411821</c:v>
                </c:pt>
                <c:pt idx="334">
                  <c:v>170.46238576219173</c:v>
                </c:pt>
                <c:pt idx="335">
                  <c:v>170.06074590492992</c:v>
                </c:pt>
                <c:pt idx="336">
                  <c:v>169.65474262836565</c:v>
                </c:pt>
                <c:pt idx="337">
                  <c:v>169.24422499954528</c:v>
                </c:pt>
                <c:pt idx="338">
                  <c:v>168.82904354092085</c:v>
                </c:pt>
                <c:pt idx="339">
                  <c:v>168.40905038824647</c:v>
                </c:pt>
                <c:pt idx="340">
                  <c:v>167.98409945937971</c:v>
                </c:pt>
                <c:pt idx="341">
                  <c:v>167.55404663429704</c:v>
                </c:pt>
                <c:pt idx="342">
                  <c:v>167.11874994660377</c:v>
                </c:pt>
                <c:pt idx="343">
                  <c:v>166.67806978677925</c:v>
                </c:pt>
                <c:pt idx="344">
                  <c:v>166.23186911735468</c:v>
                </c:pt>
                <c:pt idx="345">
                  <c:v>165.78001370017734</c:v>
                </c:pt>
                <c:pt idx="346">
                  <c:v>165.32237233585039</c:v>
                </c:pt>
                <c:pt idx="347">
                  <c:v>164.85881711538562</c:v>
                </c:pt>
                <c:pt idx="348">
                  <c:v>164.38922368402544</c:v>
                </c:pt>
                <c:pt idx="349">
                  <c:v>163.91347151712236</c:v>
                </c:pt>
                <c:pt idx="350">
                  <c:v>163.43144420787024</c:v>
                </c:pt>
                <c:pt idx="351">
                  <c:v>162.94302976659225</c:v>
                </c:pt>
                <c:pt idx="352">
                  <c:v>162.44812093118699</c:v>
                </c:pt>
                <c:pt idx="353">
                  <c:v>161.94661548821978</c:v>
                </c:pt>
                <c:pt idx="354">
                  <c:v>161.43841660402936</c:v>
                </c:pt>
                <c:pt idx="355">
                  <c:v>160.92343316509326</c:v>
                </c:pt>
                <c:pt idx="356">
                  <c:v>160.40158012675269</c:v>
                </c:pt>
                <c:pt idx="357">
                  <c:v>159.87277886926071</c:v>
                </c:pt>
                <c:pt idx="358">
                  <c:v>159.33695755996393</c:v>
                </c:pt>
                <c:pt idx="359">
                  <c:v>158.79405152026976</c:v>
                </c:pt>
                <c:pt idx="360">
                  <c:v>158.24400359589117</c:v>
                </c:pt>
                <c:pt idx="361">
                  <c:v>157.68676452869562</c:v>
                </c:pt>
                <c:pt idx="362">
                  <c:v>157.1222933283145</c:v>
                </c:pt>
                <c:pt idx="363">
                  <c:v>156.55055764150376</c:v>
                </c:pt>
                <c:pt idx="364">
                  <c:v>155.97153411707731</c:v>
                </c:pt>
                <c:pt idx="365">
                  <c:v>155.38520876407259</c:v>
                </c:pt>
                <c:pt idx="366">
                  <c:v>154.79157730064949</c:v>
                </c:pt>
                <c:pt idx="367">
                  <c:v>154.19064549107878</c:v>
                </c:pt>
                <c:pt idx="368">
                  <c:v>153.58242946803335</c:v>
                </c:pt>
                <c:pt idx="369">
                  <c:v>152.96695603728253</c:v>
                </c:pt>
                <c:pt idx="370">
                  <c:v>152.34426296177813</c:v>
                </c:pt>
                <c:pt idx="371">
                  <c:v>151.71439922204473</c:v>
                </c:pt>
                <c:pt idx="372">
                  <c:v>151.07742524972616</c:v>
                </c:pt>
                <c:pt idx="373">
                  <c:v>150.43341313111208</c:v>
                </c:pt>
                <c:pt idx="374">
                  <c:v>149.782446777469</c:v>
                </c:pt>
                <c:pt idx="375">
                  <c:v>149.12462205903881</c:v>
                </c:pt>
                <c:pt idx="376">
                  <c:v>148.46004689963792</c:v>
                </c:pt>
                <c:pt idx="377">
                  <c:v>147.78884132890389</c:v>
                </c:pt>
                <c:pt idx="378">
                  <c:v>147.1111374893915</c:v>
                </c:pt>
                <c:pt idx="379">
                  <c:v>146.42707959591183</c:v>
                </c:pt>
                <c:pt idx="380">
                  <c:v>145.73682384475362</c:v>
                </c:pt>
                <c:pt idx="381">
                  <c:v>145.0405382707053</c:v>
                </c:pt>
                <c:pt idx="382">
                  <c:v>144.33840255012055</c:v>
                </c:pt>
                <c:pt idx="383">
                  <c:v>143.63060774864073</c:v>
                </c:pt>
                <c:pt idx="384">
                  <c:v>142.9173560125902</c:v>
                </c:pt>
                <c:pt idx="385">
                  <c:v>142.19886020350143</c:v>
                </c:pt>
                <c:pt idx="386">
                  <c:v>141.47534347569578</c:v>
                </c:pt>
                <c:pt idx="387">
                  <c:v>140.74703879734611</c:v>
                </c:pt>
                <c:pt idx="388">
                  <c:v>140.01418841595964</c:v>
                </c:pt>
                <c:pt idx="389">
                  <c:v>139.27704326975214</c:v>
                </c:pt>
                <c:pt idx="390">
                  <c:v>138.5358623469142</c:v>
                </c:pt>
                <c:pt idx="391">
                  <c:v>137.79091199530785</c:v>
                </c:pt>
                <c:pt idx="392">
                  <c:v>137.04246518564642</c:v>
                </c:pt>
                <c:pt idx="393">
                  <c:v>136.29080073171937</c:v>
                </c:pt>
                <c:pt idx="394">
                  <c:v>135.53620247169295</c:v>
                </c:pt>
                <c:pt idx="395">
                  <c:v>134.77895841495811</c:v>
                </c:pt>
                <c:pt idx="396">
                  <c:v>134.01935985939377</c:v>
                </c:pt>
                <c:pt idx="397">
                  <c:v>133.25770048425605</c:v>
                </c:pt>
                <c:pt idx="398">
                  <c:v>132.49427542419468</c:v>
                </c:pt>
                <c:pt idx="399">
                  <c:v>131.729380330118</c:v>
                </c:pt>
                <c:pt idx="400">
                  <c:v>130.96331042279601</c:v>
                </c:pt>
                <c:pt idx="401">
                  <c:v>130.19635954517142</c:v>
                </c:pt>
                <c:pt idx="402">
                  <c:v>129.42881921937226</c:v>
                </c:pt>
                <c:pt idx="403">
                  <c:v>128.66097771436392</c:v>
                </c:pt>
                <c:pt idx="404">
                  <c:v>127.89311913005952</c:v>
                </c:pt>
                <c:pt idx="405">
                  <c:v>127.12552250350966</c:v>
                </c:pt>
                <c:pt idx="406">
                  <c:v>126.35846094254094</c:v>
                </c:pt>
                <c:pt idx="407">
                  <c:v>125.59220079189684</c:v>
                </c:pt>
                <c:pt idx="408">
                  <c:v>124.82700083656333</c:v>
                </c:pt>
                <c:pt idx="409">
                  <c:v>124.06311154655265</c:v>
                </c:pt>
                <c:pt idx="410">
                  <c:v>123.30077436695301</c:v>
                </c:pt>
                <c:pt idx="411">
                  <c:v>122.54022105657758</c:v>
                </c:pt>
                <c:pt idx="412">
                  <c:v>121.78167307802809</c:v>
                </c:pt>
                <c:pt idx="413">
                  <c:v>121.02534104147369</c:v>
                </c:pt>
                <c:pt idx="414">
                  <c:v>120.27142420390724</c:v>
                </c:pt>
                <c:pt idx="415">
                  <c:v>119.52011002512008</c:v>
                </c:pt>
                <c:pt idx="416">
                  <c:v>118.77157378111856</c:v>
                </c:pt>
                <c:pt idx="417">
                  <c:v>118.02597823520023</c:v>
                </c:pt>
                <c:pt idx="418">
                  <c:v>117.28347336643695</c:v>
                </c:pt>
                <c:pt idx="419">
                  <c:v>116.54419615485156</c:v>
                </c:pt>
                <c:pt idx="420">
                  <c:v>115.80827042217614</c:v>
                </c:pt>
                <c:pt idx="421">
                  <c:v>115.07580672668277</c:v>
                </c:pt>
                <c:pt idx="422">
                  <c:v>114.34690231025581</c:v>
                </c:pt>
                <c:pt idx="423">
                  <c:v>113.62164109556454</c:v>
                </c:pt>
                <c:pt idx="424">
                  <c:v>112.90009373096004</c:v>
                </c:pt>
                <c:pt idx="425">
                  <c:v>112.18231768048933</c:v>
                </c:pt>
                <c:pt idx="426">
                  <c:v>111.46835735627502</c:v>
                </c:pt>
                <c:pt idx="427">
                  <c:v>110.75824429037597</c:v>
                </c:pt>
                <c:pt idx="428">
                  <c:v>110.05199734316128</c:v>
                </c:pt>
                <c:pt idx="429">
                  <c:v>109.34962294518581</c:v>
                </c:pt>
                <c:pt idx="430">
                  <c:v>108.65111536955658</c:v>
                </c:pt>
                <c:pt idx="431">
                  <c:v>107.95645703179051</c:v>
                </c:pt>
                <c:pt idx="432">
                  <c:v>107.26561881422782</c:v>
                </c:pt>
                <c:pt idx="433">
                  <c:v>106.57856041214116</c:v>
                </c:pt>
                <c:pt idx="434">
                  <c:v>105.89523069879085</c:v>
                </c:pt>
                <c:pt idx="435">
                  <c:v>105.21556810679684</c:v>
                </c:pt>
                <c:pt idx="436">
                  <c:v>104.53950102333285</c:v>
                </c:pt>
                <c:pt idx="437">
                  <c:v>103.86694819681864</c:v>
                </c:pt>
                <c:pt idx="438">
                  <c:v>103.19781915293171</c:v>
                </c:pt>
                <c:pt idx="439">
                  <c:v>102.53201461794424</c:v>
                </c:pt>
                <c:pt idx="440">
                  <c:v>101.86942694756587</c:v>
                </c:pt>
                <c:pt idx="441">
                  <c:v>101.20994055964405</c:v>
                </c:pt>
                <c:pt idx="442">
                  <c:v>100.55343236926802</c:v>
                </c:pt>
                <c:pt idx="443">
                  <c:v>99.899772224983991</c:v>
                </c:pt>
                <c:pt idx="444">
                  <c:v>99.248823345014827</c:v>
                </c:pt>
                <c:pt idx="445">
                  <c:v>98.600442752544851</c:v>
                </c:pt>
                <c:pt idx="446">
                  <c:v>97.954481709287265</c:v>
                </c:pt>
                <c:pt idx="447">
                  <c:v>97.310786146716836</c:v>
                </c:pt>
                <c:pt idx="448">
                  <c:v>96.669197094493356</c:v>
                </c:pt>
                <c:pt idx="449">
                  <c:v>96.02955110573923</c:v>
                </c:pt>
                <c:pt idx="450">
                  <c:v>95.391680678967305</c:v>
                </c:pt>
                <c:pt idx="451">
                  <c:v>94.75541467657338</c:v>
                </c:pt>
                <c:pt idx="452">
                  <c:v>94.12057873991715</c:v>
                </c:pt>
                <c:pt idx="453">
                  <c:v>93.486995701111923</c:v>
                </c:pt>
                <c:pt idx="454">
                  <c:v>92.854485991737448</c:v>
                </c:pt>
                <c:pt idx="455">
                  <c:v>92.222868048759238</c:v>
                </c:pt>
                <c:pt idx="456">
                  <c:v>91.591958718015846</c:v>
                </c:pt>
                <c:pt idx="457">
                  <c:v>90.961573655675267</c:v>
                </c:pt>
                <c:pt idx="458">
                  <c:v>90.331527728125025</c:v>
                </c:pt>
                <c:pt idx="459">
                  <c:v>89.701635410778522</c:v>
                </c:pt>
                <c:pt idx="460">
                  <c:v>89.071711186313621</c:v>
                </c:pt>
                <c:pt idx="461">
                  <c:v>88.441569942868242</c:v>
                </c:pt>
                <c:pt idx="462">
                  <c:v>87.811027372718229</c:v>
                </c:pt>
                <c:pt idx="463">
                  <c:v>87.179900371956052</c:v>
                </c:pt>
                <c:pt idx="464">
                  <c:v>86.548007441667295</c:v>
                </c:pt>
                <c:pt idx="465">
                  <c:v>85.915169091072855</c:v>
                </c:pt>
                <c:pt idx="466">
                  <c:v>85.281208243060192</c:v>
                </c:pt>
                <c:pt idx="467">
                  <c:v>84.645950642476734</c:v>
                </c:pt>
                <c:pt idx="468">
                  <c:v>84.009225267497129</c:v>
                </c:pt>
                <c:pt idx="469">
                  <c:v>83.370864744294792</c:v>
                </c:pt>
                <c:pt idx="470">
                  <c:v>82.730705765173127</c:v>
                </c:pt>
                <c:pt idx="471">
                  <c:v>82.088589510206305</c:v>
                </c:pt>
                <c:pt idx="472">
                  <c:v>81.444362072342869</c:v>
                </c:pt>
                <c:pt idx="473">
                  <c:v>80.797874885799573</c:v>
                </c:pt>
                <c:pt idx="474">
                  <c:v>80.148985157452913</c:v>
                </c:pt>
                <c:pt idx="475">
                  <c:v>79.497556300798863</c:v>
                </c:pt>
                <c:pt idx="476">
                  <c:v>78.843458371901292</c:v>
                </c:pt>
                <c:pt idx="477">
                  <c:v>78.18656850660274</c:v>
                </c:pt>
                <c:pt idx="478">
                  <c:v>77.526771358105393</c:v>
                </c:pt>
                <c:pt idx="479">
                  <c:v>76.863959533862825</c:v>
                </c:pt>
                <c:pt idx="480">
                  <c:v>76.198034030552748</c:v>
                </c:pt>
                <c:pt idx="481">
                  <c:v>75.528904665721043</c:v>
                </c:pt>
                <c:pt idx="482">
                  <c:v>74.85649050450985</c:v>
                </c:pt>
                <c:pt idx="483">
                  <c:v>74.180720279703166</c:v>
                </c:pt>
                <c:pt idx="484">
                  <c:v>73.501532803143732</c:v>
                </c:pt>
                <c:pt idx="485">
                  <c:v>72.818877366405417</c:v>
                </c:pt>
                <c:pt idx="486">
                  <c:v>72.132714128433349</c:v>
                </c:pt>
                <c:pt idx="487">
                  <c:v>71.443014487709547</c:v>
                </c:pt>
                <c:pt idx="488">
                  <c:v>70.749761436359577</c:v>
                </c:pt>
                <c:pt idx="489">
                  <c:v>70.052949893477319</c:v>
                </c:pt>
                <c:pt idx="490">
                  <c:v>69.352587014846364</c:v>
                </c:pt>
                <c:pt idx="491">
                  <c:v>68.648692476139516</c:v>
                </c:pt>
                <c:pt idx="492">
                  <c:v>67.941298726615898</c:v>
                </c:pt>
                <c:pt idx="493">
                  <c:v>67.230451210307152</c:v>
                </c:pt>
                <c:pt idx="494">
                  <c:v>66.516208551675106</c:v>
                </c:pt>
                <c:pt idx="495">
                  <c:v>65.798642702761484</c:v>
                </c:pt>
                <c:pt idx="496">
                  <c:v>65.077839048916843</c:v>
                </c:pt>
                <c:pt idx="497">
                  <c:v>64.353896470310289</c:v>
                </c:pt>
                <c:pt idx="498">
                  <c:v>63.626927356572253</c:v>
                </c:pt>
                <c:pt idx="499">
                  <c:v>62.897057572119799</c:v>
                </c:pt>
                <c:pt idx="500">
                  <c:v>62.164426369947208</c:v>
                </c:pt>
                <c:pt idx="501">
                  <c:v>61.42918625196036</c:v>
                </c:pt>
                <c:pt idx="502">
                  <c:v>60.691502774245556</c:v>
                </c:pt>
                <c:pt idx="503">
                  <c:v>59.951554296032796</c:v>
                </c:pt>
                <c:pt idx="504">
                  <c:v>59.209531671532417</c:v>
                </c:pt>
                <c:pt idx="505">
                  <c:v>58.465637884240763</c:v>
                </c:pt>
                <c:pt idx="506">
                  <c:v>57.720087623796829</c:v>
                </c:pt>
                <c:pt idx="507">
                  <c:v>56.973106805965116</c:v>
                </c:pt>
                <c:pt idx="508">
                  <c:v>56.224932036822118</c:v>
                </c:pt>
                <c:pt idx="509">
                  <c:v>55.475810022763625</c:v>
                </c:pt>
                <c:pt idx="510">
                  <c:v>54.725996928470693</c:v>
                </c:pt>
                <c:pt idx="511">
                  <c:v>53.975757685500035</c:v>
                </c:pt>
                <c:pt idx="512">
                  <c:v>53.225365254678771</c:v>
                </c:pt>
                <c:pt idx="513">
                  <c:v>52.47509984597901</c:v>
                </c:pt>
                <c:pt idx="514">
                  <c:v>51.725248100008677</c:v>
                </c:pt>
                <c:pt idx="515">
                  <c:v>50.976102235688984</c:v>
                </c:pt>
                <c:pt idx="516">
                  <c:v>50.227959169064484</c:v>
                </c:pt>
                <c:pt idx="517">
                  <c:v>49.481119608532431</c:v>
                </c:pt>
                <c:pt idx="518">
                  <c:v>48.735887132044788</c:v>
                </c:pt>
                <c:pt idx="519">
                  <c:v>47.992567252053306</c:v>
                </c:pt>
                <c:pt idx="520">
                  <c:v>47.25146647410736</c:v>
                </c:pt>
                <c:pt idx="521">
                  <c:v>46.512891355090311</c:v>
                </c:pt>
                <c:pt idx="522">
                  <c:v>45.777147567090033</c:v>
                </c:pt>
                <c:pt idx="523">
                  <c:v>45.044538972812632</c:v>
                </c:pt>
                <c:pt idx="524">
                  <c:v>44.315366718333522</c:v>
                </c:pt>
                <c:pt idx="525">
                  <c:v>43.58992834875518</c:v>
                </c:pt>
                <c:pt idx="526">
                  <c:v>42.868516952079155</c:v>
                </c:pt>
                <c:pt idx="527">
                  <c:v>42.151420336272274</c:v>
                </c:pt>
                <c:pt idx="528">
                  <c:v>41.438920244123842</c:v>
                </c:pt>
                <c:pt idx="529">
                  <c:v>40.731291610057824</c:v>
                </c:pt>
                <c:pt idx="530">
                  <c:v>40.028801862620867</c:v>
                </c:pt>
                <c:pt idx="531">
                  <c:v>39.33171027584045</c:v>
                </c:pt>
                <c:pt idx="532">
                  <c:v>38.640267372160515</c:v>
                </c:pt>
                <c:pt idx="533">
                  <c:v>37.954714379113099</c:v>
                </c:pt>
                <c:pt idx="534">
                  <c:v>37.275282741361302</c:v>
                </c:pt>
                <c:pt idx="535">
                  <c:v>36.602193689210488</c:v>
                </c:pt>
                <c:pt idx="536">
                  <c:v>35.93565786417058</c:v>
                </c:pt>
                <c:pt idx="537">
                  <c:v>35.275875001638859</c:v>
                </c:pt>
                <c:pt idx="538">
                  <c:v>34.623033670309354</c:v>
                </c:pt>
                <c:pt idx="539">
                  <c:v>33.977311067445811</c:v>
                </c:pt>
                <c:pt idx="540">
                  <c:v>33.338872868759324</c:v>
                </c:pt>
                <c:pt idx="541">
                  <c:v>32.707873131232908</c:v>
                </c:pt>
              </c:numCache>
            </c:numRef>
          </c:yVal>
          <c:smooth val="1"/>
          <c:extLst>
            <c:ext xmlns:c16="http://schemas.microsoft.com/office/drawing/2014/chart" uri="{C3380CC4-5D6E-409C-BE32-E72D297353CC}">
              <c16:uniqueId val="{00000001-1B3F-4802-9751-4D21F96C72BF}"/>
            </c:ext>
          </c:extLst>
        </c:ser>
        <c:dLbls>
          <c:showLegendKey val="0"/>
          <c:showVal val="0"/>
          <c:showCatName val="0"/>
          <c:showSerName val="0"/>
          <c:showPercent val="0"/>
          <c:showBubbleSize val="0"/>
        </c:dLbls>
        <c:axId val="385829504"/>
        <c:axId val="385827968"/>
      </c:scatterChart>
      <c:valAx>
        <c:axId val="385819776"/>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85821696"/>
        <c:crosses val="autoZero"/>
        <c:crossBetween val="midCat"/>
      </c:valAx>
      <c:valAx>
        <c:axId val="385821696"/>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85819776"/>
        <c:crosses val="autoZero"/>
        <c:crossBetween val="midCat"/>
        <c:majorUnit val="20"/>
        <c:minorUnit val="10"/>
      </c:valAx>
      <c:valAx>
        <c:axId val="385827968"/>
        <c:scaling>
          <c:orientation val="minMax"/>
          <c:max val="180"/>
          <c:min val="-180"/>
        </c:scaling>
        <c:delete val="0"/>
        <c:axPos val="r"/>
        <c:numFmt formatCode="General" sourceLinked="1"/>
        <c:majorTickMark val="out"/>
        <c:minorTickMark val="none"/>
        <c:tickLblPos val="nextTo"/>
        <c:crossAx val="385829504"/>
        <c:crosses val="max"/>
        <c:crossBetween val="midCat"/>
        <c:majorUnit val="90"/>
        <c:minorUnit val="45"/>
      </c:valAx>
      <c:valAx>
        <c:axId val="385829504"/>
        <c:scaling>
          <c:logBase val="10"/>
          <c:orientation val="minMax"/>
        </c:scaling>
        <c:delete val="1"/>
        <c:axPos val="b"/>
        <c:numFmt formatCode="0.00" sourceLinked="1"/>
        <c:majorTickMark val="out"/>
        <c:minorTickMark val="none"/>
        <c:tickLblPos val="nextTo"/>
        <c:crossAx val="385827968"/>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CCM_Loop_Modeling_non_isolated!$AQ$19:$AQ$560</c:f>
              <c:numCache>
                <c:formatCode>General</c:formatCode>
                <c:ptCount val="542"/>
                <c:pt idx="0">
                  <c:v>-33.48901267450325</c:v>
                </c:pt>
                <c:pt idx="1">
                  <c:v>-33.680508283553102</c:v>
                </c:pt>
                <c:pt idx="2">
                  <c:v>-33.871620906208712</c:v>
                </c:pt>
                <c:pt idx="3">
                  <c:v>-34.062334131636646</c:v>
                </c:pt>
                <c:pt idx="4">
                  <c:v>-34.252630922436744</c:v>
                </c:pt>
                <c:pt idx="5">
                  <c:v>-34.442493597724251</c:v>
                </c:pt>
                <c:pt idx="6">
                  <c:v>-34.63190381642098</c:v>
                </c:pt>
                <c:pt idx="7">
                  <c:v>-34.820842560836674</c:v>
                </c:pt>
                <c:pt idx="8">
                  <c:v>-35.0092901206257</c:v>
                </c:pt>
                <c:pt idx="9">
                  <c:v>-35.197226077215703</c:v>
                </c:pt>
                <c:pt idx="10">
                  <c:v>-35.384629288808092</c:v>
                </c:pt>
                <c:pt idx="11">
                  <c:v>-35.571477876062694</c:v>
                </c:pt>
                <c:pt idx="12">
                  <c:v>-35.757749208583228</c:v>
                </c:pt>
                <c:pt idx="13">
                  <c:v>-35.943419892331065</c:v>
                </c:pt>
                <c:pt idx="14">
                  <c:v>-36.128465758102806</c:v>
                </c:pt>
                <c:pt idx="15">
                  <c:v>-36.31286185121381</c:v>
                </c:pt>
                <c:pt idx="16">
                  <c:v>-36.496582422540655</c:v>
                </c:pt>
                <c:pt idx="17">
                  <c:v>-36.679600921083562</c:v>
                </c:pt>
                <c:pt idx="18">
                  <c:v>-36.861889988214223</c:v>
                </c:pt>
                <c:pt idx="19">
                  <c:v>-37.04342145378785</c:v>
                </c:pt>
                <c:pt idx="20">
                  <c:v>-37.224166334300477</c:v>
                </c:pt>
                <c:pt idx="21">
                  <c:v>-37.404094833281903</c:v>
                </c:pt>
                <c:pt idx="22">
                  <c:v>-37.583176344119259</c:v>
                </c:pt>
                <c:pt idx="23">
                  <c:v>-37.761379455511339</c:v>
                </c:pt>
                <c:pt idx="24">
                  <c:v>-37.938671959756853</c:v>
                </c:pt>
                <c:pt idx="25">
                  <c:v>-38.115020864084045</c:v>
                </c:pt>
                <c:pt idx="26">
                  <c:v>-38.29039240522696</c:v>
                </c:pt>
                <c:pt idx="27">
                  <c:v>-38.464752067455343</c:v>
                </c:pt>
                <c:pt idx="28">
                  <c:v>-38.638064604261317</c:v>
                </c:pt>
                <c:pt idx="29">
                  <c:v>-38.810294063900869</c:v>
                </c:pt>
                <c:pt idx="30">
                  <c:v>-38.981403818980958</c:v>
                </c:pt>
                <c:pt idx="31">
                  <c:v>-39.151356600273985</c:v>
                </c:pt>
                <c:pt idx="32">
                  <c:v>-39.320114534926958</c:v>
                </c:pt>
                <c:pt idx="33">
                  <c:v>-39.487639189219202</c:v>
                </c:pt>
                <c:pt idx="34">
                  <c:v>-39.653891616002134</c:v>
                </c:pt>
                <c:pt idx="35">
                  <c:v>-39.818832406933119</c:v>
                </c:pt>
                <c:pt idx="36">
                  <c:v>-39.98242174959077</c:v>
                </c:pt>
                <c:pt idx="37">
                  <c:v>-40.144619489529262</c:v>
                </c:pt>
                <c:pt idx="38">
                  <c:v>-40.305385197297895</c:v>
                </c:pt>
                <c:pt idx="39">
                  <c:v>-40.464678240415893</c:v>
                </c:pt>
                <c:pt idx="40">
                  <c:v>-40.622457860255196</c:v>
                </c:pt>
                <c:pt idx="41">
                  <c:v>-40.77868325373862</c:v>
                </c:pt>
                <c:pt idx="42">
                  <c:v>-40.933313659720483</c:v>
                </c:pt>
                <c:pt idx="43">
                  <c:v>-41.0863084498652</c:v>
                </c:pt>
                <c:pt idx="44">
                  <c:v>-41.237627223792607</c:v>
                </c:pt>
                <c:pt idx="45">
                  <c:v>-41.38722990820537</c:v>
                </c:pt>
                <c:pt idx="46">
                  <c:v>-41.535076859663249</c:v>
                </c:pt>
                <c:pt idx="47">
                  <c:v>-41.681128970613472</c:v>
                </c:pt>
                <c:pt idx="48">
                  <c:v>-41.825347778237116</c:v>
                </c:pt>
                <c:pt idx="49">
                  <c:v>-41.967695575615323</c:v>
                </c:pt>
                <c:pt idx="50">
                  <c:v>-42.108135524672498</c:v>
                </c:pt>
                <c:pt idx="51">
                  <c:v>-42.246631770304177</c:v>
                </c:pt>
                <c:pt idx="52">
                  <c:v>-42.38314955505394</c:v>
                </c:pt>
                <c:pt idx="53">
                  <c:v>-42.517655333664244</c:v>
                </c:pt>
                <c:pt idx="54">
                  <c:v>-42.650116886791494</c:v>
                </c:pt>
                <c:pt idx="55">
                  <c:v>-42.780503433147786</c:v>
                </c:pt>
                <c:pt idx="56">
                  <c:v>-42.908785739311824</c:v>
                </c:pt>
                <c:pt idx="57">
                  <c:v>-43.034936226436159</c:v>
                </c:pt>
                <c:pt idx="58">
                  <c:v>-43.158929073075278</c:v>
                </c:pt>
                <c:pt idx="59">
                  <c:v>-43.280740313362536</c:v>
                </c:pt>
                <c:pt idx="60">
                  <c:v>-43.400347929776153</c:v>
                </c:pt>
                <c:pt idx="61">
                  <c:v>-43.517731939760331</c:v>
                </c:pt>
                <c:pt idx="62">
                  <c:v>-43.632874475496742</c:v>
                </c:pt>
                <c:pt idx="63">
                  <c:v>-43.745759856166799</c:v>
                </c:pt>
                <c:pt idx="64">
                  <c:v>-43.856374652094068</c:v>
                </c:pt>
                <c:pt idx="65">
                  <c:v>-43.964707740218358</c:v>
                </c:pt>
                <c:pt idx="66">
                  <c:v>-44.070750350417683</c:v>
                </c:pt>
                <c:pt idx="67">
                  <c:v>-44.174496102273366</c:v>
                </c:pt>
                <c:pt idx="68">
                  <c:v>-44.275941031950666</c:v>
                </c:pt>
                <c:pt idx="69">
                  <c:v>-44.375083608956203</c:v>
                </c:pt>
                <c:pt idx="70">
                  <c:v>-44.471924742621376</c:v>
                </c:pt>
                <c:pt idx="71">
                  <c:v>-44.566467778253653</c:v>
                </c:pt>
                <c:pt idx="72">
                  <c:v>-44.65871848299075</c:v>
                </c:pt>
                <c:pt idx="73">
                  <c:v>-44.748685021483851</c:v>
                </c:pt>
                <c:pt idx="74">
                  <c:v>-44.8363779216279</c:v>
                </c:pt>
                <c:pt idx="75">
                  <c:v>-44.921810030642703</c:v>
                </c:pt>
                <c:pt idx="76">
                  <c:v>-45.004996461892176</c:v>
                </c:pt>
                <c:pt idx="77">
                  <c:v>-45.085954532904566</c:v>
                </c:pt>
                <c:pt idx="78">
                  <c:v>-45.164703695127351</c:v>
                </c:pt>
                <c:pt idx="79">
                  <c:v>-45.24126545601159</c:v>
                </c:pt>
                <c:pt idx="80">
                  <c:v>-45.31566329407439</c:v>
                </c:pt>
                <c:pt idx="81">
                  <c:v>-45.387922567633453</c:v>
                </c:pt>
                <c:pt idx="82">
                  <c:v>-45.458070417940505</c:v>
                </c:pt>
                <c:pt idx="83">
                  <c:v>-45.526135667468751</c:v>
                </c:pt>
                <c:pt idx="84">
                  <c:v>-45.59214871412307</c:v>
                </c:pt>
                <c:pt idx="85">
                  <c:v>-45.656141422149339</c:v>
                </c:pt>
                <c:pt idx="86">
                  <c:v>-45.718147010516709</c:v>
                </c:pt>
                <c:pt idx="87">
                  <c:v>-45.778199939534844</c:v>
                </c:pt>
                <c:pt idx="88">
                  <c:v>-45.836335796450392</c:v>
                </c:pt>
                <c:pt idx="89">
                  <c:v>-45.892591180738727</c:v>
                </c:pt>
                <c:pt idx="90">
                  <c:v>-45.947003589776756</c:v>
                </c:pt>
                <c:pt idx="91">
                  <c:v>-45.999611305542373</c:v>
                </c:pt>
                <c:pt idx="92">
                  <c:v>-46.0504532829437</c:v>
                </c:pt>
                <c:pt idx="93">
                  <c:v>-46.099569040335496</c:v>
                </c:pt>
                <c:pt idx="94">
                  <c:v>-46.146998552729187</c:v>
                </c:pt>
                <c:pt idx="95">
                  <c:v>-46.192782148152183</c:v>
                </c:pt>
                <c:pt idx="96">
                  <c:v>-46.236960407559678</c:v>
                </c:pt>
                <c:pt idx="97">
                  <c:v>-46.279574068647918</c:v>
                </c:pt>
                <c:pt idx="98">
                  <c:v>-46.320663933867024</c:v>
                </c:pt>
                <c:pt idx="99">
                  <c:v>-46.360270782877336</c:v>
                </c:pt>
                <c:pt idx="100">
                  <c:v>-46.398435289646251</c:v>
                </c:pt>
                <c:pt idx="101">
                  <c:v>-46.435197944330739</c:v>
                </c:pt>
                <c:pt idx="102">
                  <c:v>-46.470598980048976</c:v>
                </c:pt>
                <c:pt idx="103">
                  <c:v>-46.504678304598698</c:v>
                </c:pt>
                <c:pt idx="104">
                  <c:v>-46.537475437142071</c:v>
                </c:pt>
                <c:pt idx="105">
                  <c:v>-46.569029449839789</c:v>
                </c:pt>
                <c:pt idx="106">
                  <c:v>-46.599378914384182</c:v>
                </c:pt>
                <c:pt idx="107">
                  <c:v>-46.628561853351471</c:v>
                </c:pt>
                <c:pt idx="108">
                  <c:v>-46.656615696267274</c:v>
                </c:pt>
                <c:pt idx="109">
                  <c:v>-46.683577240256398</c:v>
                </c:pt>
                <c:pt idx="110">
                  <c:v>-46.709482615129076</c:v>
                </c:pt>
                <c:pt idx="111">
                  <c:v>-46.734367252738089</c:v>
                </c:pt>
                <c:pt idx="112">
                  <c:v>-46.758265860429766</c:v>
                </c:pt>
                <c:pt idx="113">
                  <c:v>-46.781212398399049</c:v>
                </c:pt>
                <c:pt idx="114">
                  <c:v>-46.803240060753183</c:v>
                </c:pt>
                <c:pt idx="115">
                  <c:v>-46.824381260080763</c:v>
                </c:pt>
                <c:pt idx="116">
                  <c:v>-46.844667615321811</c:v>
                </c:pt>
                <c:pt idx="117">
                  <c:v>-46.864129942730663</c:v>
                </c:pt>
                <c:pt idx="118">
                  <c:v>-46.882798249726783</c:v>
                </c:pt>
                <c:pt idx="119">
                  <c:v>-46.900701731427709</c:v>
                </c:pt>
                <c:pt idx="120">
                  <c:v>-46.917868769663954</c:v>
                </c:pt>
                <c:pt idx="121">
                  <c:v>-46.934326934278836</c:v>
                </c:pt>
                <c:pt idx="122">
                  <c:v>-46.950102986522573</c:v>
                </c:pt>
                <c:pt idx="123">
                  <c:v>-46.965222884355398</c:v>
                </c:pt>
                <c:pt idx="124">
                  <c:v>-46.979711789482806</c:v>
                </c:pt>
                <c:pt idx="125">
                  <c:v>-46.993594075952004</c:v>
                </c:pt>
                <c:pt idx="126">
                  <c:v>-47.006893340147762</c:v>
                </c:pt>
                <c:pt idx="127">
                  <c:v>-47.01963241203363</c:v>
                </c:pt>
                <c:pt idx="128">
                  <c:v>-47.031833367492865</c:v>
                </c:pt>
                <c:pt idx="129">
                  <c:v>-47.043517541631388</c:v>
                </c:pt>
                <c:pt idx="130">
                  <c:v>-47.054705542914952</c:v>
                </c:pt>
                <c:pt idx="131">
                  <c:v>-47.065417268018891</c:v>
                </c:pt>
                <c:pt idx="132">
                  <c:v>-47.075671917279578</c:v>
                </c:pt>
                <c:pt idx="133">
                  <c:v>-47.085488010641711</c:v>
                </c:pt>
                <c:pt idx="134">
                  <c:v>-47.094883404007234</c:v>
                </c:pt>
                <c:pt idx="135">
                  <c:v>-47.103875305895016</c:v>
                </c:pt>
                <c:pt idx="136">
                  <c:v>-47.112480294331007</c:v>
                </c:pt>
                <c:pt idx="137">
                  <c:v>-47.120714333893538</c:v>
                </c:pt>
                <c:pt idx="138">
                  <c:v>-47.128592792846653</c:v>
                </c:pt>
                <c:pt idx="139">
                  <c:v>-47.136130460298418</c:v>
                </c:pt>
                <c:pt idx="140">
                  <c:v>-47.143341563329983</c:v>
                </c:pt>
                <c:pt idx="141">
                  <c:v>-47.150239784043492</c:v>
                </c:pt>
                <c:pt idx="142">
                  <c:v>-47.156838276485679</c:v>
                </c:pt>
                <c:pt idx="143">
                  <c:v>-47.163149683406012</c:v>
                </c:pt>
                <c:pt idx="144">
                  <c:v>-47.169186152814369</c:v>
                </c:pt>
                <c:pt idx="145">
                  <c:v>-47.174959354307219</c:v>
                </c:pt>
                <c:pt idx="146">
                  <c:v>-47.180480495135136</c:v>
                </c:pt>
                <c:pt idx="147">
                  <c:v>-47.185760335988014</c:v>
                </c:pt>
                <c:pt idx="148">
                  <c:v>-47.190809206478612</c:v>
                </c:pt>
                <c:pt idx="149">
                  <c:v>-47.195637020306627</c:v>
                </c:pt>
                <c:pt idx="150">
                  <c:v>-47.200253290089847</c:v>
                </c:pt>
                <c:pt idx="151">
                  <c:v>-47.204667141850798</c:v>
                </c:pt>
                <c:pt idx="152">
                  <c:v>-47.20888732914996</c:v>
                </c:pt>
                <c:pt idx="153">
                  <c:v>-47.212922246858227</c:v>
                </c:pt>
                <c:pt idx="154">
                  <c:v>-47.216779944564607</c:v>
                </c:pt>
                <c:pt idx="155">
                  <c:v>-47.220468139615015</c:v>
                </c:pt>
                <c:pt idx="156">
                  <c:v>-47.223994229781511</c:v>
                </c:pt>
                <c:pt idx="157">
                  <c:v>-47.227365305561321</c:v>
                </c:pt>
                <c:pt idx="158">
                  <c:v>-47.230588162106919</c:v>
                </c:pt>
                <c:pt idx="159">
                  <c:v>-47.233669310790376</c:v>
                </c:pt>
                <c:pt idx="160">
                  <c:v>-47.236614990403382</c:v>
                </c:pt>
                <c:pt idx="161">
                  <c:v>-47.239431177999677</c:v>
                </c:pt>
                <c:pt idx="162">
                  <c:v>-47.242123599382509</c:v>
                </c:pt>
                <c:pt idx="163">
                  <c:v>-47.244697739244643</c:v>
                </c:pt>
                <c:pt idx="164">
                  <c:v>-47.247158850965931</c:v>
                </c:pt>
                <c:pt idx="165">
                  <c:v>-47.249511966076042</c:v>
                </c:pt>
                <c:pt idx="166">
                  <c:v>-47.251761903388648</c:v>
                </c:pt>
                <c:pt idx="167">
                  <c:v>-47.253913277815741</c:v>
                </c:pt>
                <c:pt idx="168">
                  <c:v>-47.255970508868536</c:v>
                </c:pt>
                <c:pt idx="169">
                  <c:v>-47.257937828853969</c:v>
                </c:pt>
                <c:pt idx="170">
                  <c:v>-47.259819290774686</c:v>
                </c:pt>
                <c:pt idx="171">
                  <c:v>-47.261618775940299</c:v>
                </c:pt>
                <c:pt idx="172">
                  <c:v>-47.263340001299497</c:v>
                </c:pt>
                <c:pt idx="173">
                  <c:v>-47.264986526500053</c:v>
                </c:pt>
                <c:pt idx="174">
                  <c:v>-47.266561760686166</c:v>
                </c:pt>
                <c:pt idx="175">
                  <c:v>-47.26806896904111</c:v>
                </c:pt>
                <c:pt idx="176">
                  <c:v>-47.269511279083787</c:v>
                </c:pt>
                <c:pt idx="177">
                  <c:v>-47.270891686727325</c:v>
                </c:pt>
                <c:pt idx="178">
                  <c:v>-47.272213062107944</c:v>
                </c:pt>
                <c:pt idx="179">
                  <c:v>-47.273478155192841</c:v>
                </c:pt>
                <c:pt idx="180">
                  <c:v>-47.274689601173847</c:v>
                </c:pt>
                <c:pt idx="181">
                  <c:v>-47.27584992565609</c:v>
                </c:pt>
                <c:pt idx="182">
                  <c:v>-47.276961549648611</c:v>
                </c:pt>
                <c:pt idx="183">
                  <c:v>-47.278026794364784</c:v>
                </c:pt>
                <c:pt idx="184">
                  <c:v>-47.279047885840136</c:v>
                </c:pt>
                <c:pt idx="185">
                  <c:v>-47.280026959374553</c:v>
                </c:pt>
                <c:pt idx="186">
                  <c:v>-47.280966063806048</c:v>
                </c:pt>
                <c:pt idx="187">
                  <c:v>-47.281867165623659</c:v>
                </c:pt>
                <c:pt idx="188">
                  <c:v>-47.282732152925533</c:v>
                </c:pt>
                <c:pt idx="189">
                  <c:v>-47.283562839229035</c:v>
                </c:pt>
                <c:pt idx="190">
                  <c:v>-47.284360967139676</c:v>
                </c:pt>
                <c:pt idx="191">
                  <c:v>-47.28512821188513</c:v>
                </c:pt>
                <c:pt idx="192">
                  <c:v>-47.285866184719787</c:v>
                </c:pt>
                <c:pt idx="193">
                  <c:v>-47.286576436207135</c:v>
                </c:pt>
                <c:pt idx="194">
                  <c:v>-47.287260459384335</c:v>
                </c:pt>
                <c:pt idx="195">
                  <c:v>-47.287919692816004</c:v>
                </c:pt>
                <c:pt idx="196">
                  <c:v>-47.288555523541845</c:v>
                </c:pt>
                <c:pt idx="197">
                  <c:v>-47.289169289923912</c:v>
                </c:pt>
                <c:pt idx="198">
                  <c:v>-47.289762284398655</c:v>
                </c:pt>
                <c:pt idx="199">
                  <c:v>-47.290335756138873</c:v>
                </c:pt>
                <c:pt idx="200">
                  <c:v>-47.290890913630577</c:v>
                </c:pt>
                <c:pt idx="201">
                  <c:v>-47.291428927169704</c:v>
                </c:pt>
                <c:pt idx="202">
                  <c:v>-47.291950931283047</c:v>
                </c:pt>
                <c:pt idx="203">
                  <c:v>-47.292458027078858</c:v>
                </c:pt>
                <c:pt idx="204">
                  <c:v>-47.292951284530325</c:v>
                </c:pt>
                <c:pt idx="205">
                  <c:v>-47.29343174469787</c:v>
                </c:pt>
                <c:pt idx="206">
                  <c:v>-47.293900421893355</c:v>
                </c:pt>
                <c:pt idx="207">
                  <c:v>-47.294358305790844</c:v>
                </c:pt>
                <c:pt idx="208">
                  <c:v>-47.294806363488497</c:v>
                </c:pt>
                <c:pt idx="209">
                  <c:v>-47.295245541524821</c:v>
                </c:pt>
                <c:pt idx="210">
                  <c:v>-47.295676767853898</c:v>
                </c:pt>
                <c:pt idx="211">
                  <c:v>-47.296100953783331</c:v>
                </c:pt>
                <c:pt idx="212">
                  <c:v>-47.296518995878728</c:v>
                </c:pt>
                <c:pt idx="213">
                  <c:v>-47.296931777838232</c:v>
                </c:pt>
                <c:pt idx="214">
                  <c:v>-47.297340172341656</c:v>
                </c:pt>
                <c:pt idx="215">
                  <c:v>-47.297745042877004</c:v>
                </c:pt>
                <c:pt idx="216">
                  <c:v>-47.29814724554867</c:v>
                </c:pt>
                <c:pt idx="217">
                  <c:v>-47.298547630870601</c:v>
                </c:pt>
                <c:pt idx="218">
                  <c:v>-47.298947045548303</c:v>
                </c:pt>
                <c:pt idx="219">
                  <c:v>-47.299346334253187</c:v>
                </c:pt>
                <c:pt idx="220">
                  <c:v>-47.299746341392613</c:v>
                </c:pt>
                <c:pt idx="221">
                  <c:v>-47.300147912879503</c:v>
                </c:pt>
                <c:pt idx="222">
                  <c:v>-47.300551897905159</c:v>
                </c:pt>
                <c:pt idx="223">
                  <c:v>-47.300959150718462</c:v>
                </c:pt>
                <c:pt idx="224">
                  <c:v>-47.301370532415362</c:v>
                </c:pt>
                <c:pt idx="225">
                  <c:v>-47.301786912742266</c:v>
                </c:pt>
                <c:pt idx="226">
                  <c:v>-47.302209171916601</c:v>
                </c:pt>
                <c:pt idx="227">
                  <c:v>-47.302638202468835</c:v>
                </c:pt>
                <c:pt idx="228">
                  <c:v>-47.303074911109221</c:v>
                </c:pt>
                <c:pt idx="229">
                  <c:v>-47.303520220622666</c:v>
                </c:pt>
                <c:pt idx="230">
                  <c:v>-47.303975071796543</c:v>
                </c:pt>
                <c:pt idx="231">
                  <c:v>-47.304440425384094</c:v>
                </c:pt>
                <c:pt idx="232">
                  <c:v>-47.304917264108475</c:v>
                </c:pt>
                <c:pt idx="233">
                  <c:v>-47.305406594710064</c:v>
                </c:pt>
                <c:pt idx="234">
                  <c:v>-47.305909450042556</c:v>
                </c:pt>
                <c:pt idx="235">
                  <c:v>-47.306426891220774</c:v>
                </c:pt>
                <c:pt idx="236">
                  <c:v>-47.306960009825062</c:v>
                </c:pt>
                <c:pt idx="237">
                  <c:v>-47.307509930166205</c:v>
                </c:pt>
                <c:pt idx="238">
                  <c:v>-47.308077811615171</c:v>
                </c:pt>
                <c:pt idx="239">
                  <c:v>-47.308664851002987</c:v>
                </c:pt>
                <c:pt idx="240">
                  <c:v>-47.309272285094352</c:v>
                </c:pt>
                <c:pt idx="241">
                  <c:v>-47.309901393139569</c:v>
                </c:pt>
                <c:pt idx="242">
                  <c:v>-47.310553499511187</c:v>
                </c:pt>
                <c:pt idx="243">
                  <c:v>-47.311229976428208</c:v>
                </c:pt>
                <c:pt idx="244">
                  <c:v>-47.31193224677466</c:v>
                </c:pt>
                <c:pt idx="245">
                  <c:v>-47.312661787016701</c:v>
                </c:pt>
                <c:pt idx="246">
                  <c:v>-47.313420130223811</c:v>
                </c:pt>
                <c:pt idx="247">
                  <c:v>-47.314208869200208</c:v>
                </c:pt>
                <c:pt idx="248">
                  <c:v>-47.315029659731053</c:v>
                </c:pt>
                <c:pt idx="249">
                  <c:v>-47.315884223950214</c:v>
                </c:pt>
                <c:pt idx="250">
                  <c:v>-47.316774353834887</c:v>
                </c:pt>
                <c:pt idx="251">
                  <c:v>-47.317701914833478</c:v>
                </c:pt>
                <c:pt idx="252">
                  <c:v>-47.318668849633163</c:v>
                </c:pt>
                <c:pt idx="253">
                  <c:v>-47.319677182073072</c:v>
                </c:pt>
                <c:pt idx="254">
                  <c:v>-47.320729021210099</c:v>
                </c:pt>
                <c:pt idx="255">
                  <c:v>-47.321826565543958</c:v>
                </c:pt>
                <c:pt idx="256">
                  <c:v>-47.322972107408631</c:v>
                </c:pt>
                <c:pt idx="257">
                  <c:v>-47.32416803753695</c:v>
                </c:pt>
                <c:pt idx="258">
                  <c:v>-47.325416849805393</c:v>
                </c:pt>
                <c:pt idx="259">
                  <c:v>-47.326721146167621</c:v>
                </c:pt>
                <c:pt idx="260">
                  <c:v>-47.328083641782982</c:v>
                </c:pt>
                <c:pt idx="261">
                  <c:v>-47.329507170348123</c:v>
                </c:pt>
                <c:pt idx="262">
                  <c:v>-47.330994689640477</c:v>
                </c:pt>
                <c:pt idx="263">
                  <c:v>-47.332549287279718</c:v>
                </c:pt>
                <c:pt idx="264">
                  <c:v>-47.334174186717455</c:v>
                </c:pt>
                <c:pt idx="265">
                  <c:v>-47.335872753461857</c:v>
                </c:pt>
                <c:pt idx="266">
                  <c:v>-47.337648501545573</c:v>
                </c:pt>
                <c:pt idx="267">
                  <c:v>-47.339505100246711</c:v>
                </c:pt>
                <c:pt idx="268">
                  <c:v>-47.341446381069247</c:v>
                </c:pt>
                <c:pt idx="269">
                  <c:v>-47.343476344993192</c:v>
                </c:pt>
                <c:pt idx="270">
                  <c:v>-47.345599170001577</c:v>
                </c:pt>
                <c:pt idx="271">
                  <c:v>-47.347819218893306</c:v>
                </c:pt>
                <c:pt idx="272">
                  <c:v>-47.350141047390593</c:v>
                </c:pt>
                <c:pt idx="273">
                  <c:v>-47.352569412547979</c:v>
                </c:pt>
                <c:pt idx="274">
                  <c:v>-47.355109281472238</c:v>
                </c:pt>
                <c:pt idx="275">
                  <c:v>-47.35776584036045</c:v>
                </c:pt>
                <c:pt idx="276">
                  <c:v>-47.360544503863863</c:v>
                </c:pt>
                <c:pt idx="277">
                  <c:v>-47.363450924784836</c:v>
                </c:pt>
                <c:pt idx="278">
                  <c:v>-47.366491004113712</c:v>
                </c:pt>
                <c:pt idx="279">
                  <c:v>-47.369670901412526</c:v>
                </c:pt>
                <c:pt idx="280">
                  <c:v>-47.372997045550306</c:v>
                </c:pt>
                <c:pt idx="281">
                  <c:v>-47.376476145796396</c:v>
                </c:pt>
                <c:pt idx="282">
                  <c:v>-47.380115203275402</c:v>
                </c:pt>
                <c:pt idx="283">
                  <c:v>-47.383921522787901</c:v>
                </c:pt>
                <c:pt idx="284">
                  <c:v>-47.387902724999378</c:v>
                </c:pt>
                <c:pt idx="285">
                  <c:v>-47.392066758998368</c:v>
                </c:pt>
                <c:pt idx="286">
                  <c:v>-47.396421915225929</c:v>
                </c:pt>
                <c:pt idx="287">
                  <c:v>-47.4009768387726</c:v>
                </c:pt>
                <c:pt idx="288">
                  <c:v>-47.405740543043066</c:v>
                </c:pt>
                <c:pt idx="289">
                  <c:v>-47.410722423782005</c:v>
                </c:pt>
                <c:pt idx="290">
                  <c:v>-47.415932273456221</c:v>
                </c:pt>
                <c:pt idx="291">
                  <c:v>-47.421380295984036</c:v>
                </c:pt>
                <c:pt idx="292">
                  <c:v>-47.427077121801496</c:v>
                </c:pt>
                <c:pt idx="293">
                  <c:v>-47.433033823251975</c:v>
                </c:pt>
                <c:pt idx="294">
                  <c:v>-47.439261930283394</c:v>
                </c:pt>
                <c:pt idx="295">
                  <c:v>-47.445773446433897</c:v>
                </c:pt>
                <c:pt idx="296">
                  <c:v>-47.452580865083362</c:v>
                </c:pt>
                <c:pt idx="297">
                  <c:v>-47.459697185945174</c:v>
                </c:pt>
                <c:pt idx="298">
                  <c:v>-47.467135931768034</c:v>
                </c:pt>
                <c:pt idx="299">
                  <c:v>-47.474911165213896</c:v>
                </c:pt>
                <c:pt idx="300">
                  <c:v>-47.483037505873668</c:v>
                </c:pt>
                <c:pt idx="301">
                  <c:v>-47.49153014737675</c:v>
                </c:pt>
                <c:pt idx="302">
                  <c:v>-47.500404874546298</c:v>
                </c:pt>
                <c:pt idx="303">
                  <c:v>-47.509678080546323</c:v>
                </c:pt>
                <c:pt idx="304">
                  <c:v>-47.519366783959768</c:v>
                </c:pt>
                <c:pt idx="305">
                  <c:v>-47.529488645732656</c:v>
                </c:pt>
                <c:pt idx="306">
                  <c:v>-47.540061985911038</c:v>
                </c:pt>
                <c:pt idx="307">
                  <c:v>-47.551105800091037</c:v>
                </c:pt>
                <c:pt idx="308">
                  <c:v>-47.56263977549623</c:v>
                </c:pt>
                <c:pt idx="309">
                  <c:v>-47.574684306587415</c:v>
                </c:pt>
                <c:pt idx="310">
                  <c:v>-47.58726051010332</c:v>
                </c:pt>
                <c:pt idx="311">
                  <c:v>-47.600390239422701</c:v>
                </c:pt>
                <c:pt idx="312">
                  <c:v>-47.614096098129295</c:v>
                </c:pt>
                <c:pt idx="313">
                  <c:v>-47.628401452653918</c:v>
                </c:pt>
                <c:pt idx="314">
                  <c:v>-47.64333044385863</c:v>
                </c:pt>
                <c:pt idx="315">
                  <c:v>-47.658907997420059</c:v>
                </c:pt>
                <c:pt idx="316">
                  <c:v>-47.675159832860103</c:v>
                </c:pt>
                <c:pt idx="317">
                  <c:v>-47.692112471064533</c:v>
                </c:pt>
                <c:pt idx="318">
                  <c:v>-47.709793240121236</c:v>
                </c:pt>
                <c:pt idx="319">
                  <c:v>-47.728230279303183</c:v>
                </c:pt>
                <c:pt idx="320">
                  <c:v>-47.747452541012841</c:v>
                </c:pt>
                <c:pt idx="321">
                  <c:v>-47.767489790499404</c:v>
                </c:pt>
                <c:pt idx="322">
                  <c:v>-47.788372603153242</c:v>
                </c:pt>
                <c:pt idx="323">
                  <c:v>-47.810132359178596</c:v>
                </c:pt>
                <c:pt idx="324">
                  <c:v>-47.832801235439575</c:v>
                </c:pt>
                <c:pt idx="325">
                  <c:v>-47.85641219427491</c:v>
                </c:pt>
                <c:pt idx="326">
                  <c:v>-47.880998969074199</c:v>
                </c:pt>
                <c:pt idx="327">
                  <c:v>-47.906596046408509</c:v>
                </c:pt>
                <c:pt idx="328">
                  <c:v>-47.933238644513366</c:v>
                </c:pt>
                <c:pt idx="329">
                  <c:v>-47.960962687924962</c:v>
                </c:pt>
                <c:pt idx="330">
                  <c:v>-47.989804778078231</c:v>
                </c:pt>
                <c:pt idx="331">
                  <c:v>-48.019802159685426</c:v>
                </c:pt>
                <c:pt idx="332">
                  <c:v>-48.050992682726523</c:v>
                </c:pt>
                <c:pt idx="333">
                  <c:v>-48.083414759896705</c:v>
                </c:pt>
                <c:pt idx="334">
                  <c:v>-48.117107319378093</c:v>
                </c:pt>
                <c:pt idx="335">
                  <c:v>-48.152109752819982</c:v>
                </c:pt>
                <c:pt idx="336">
                  <c:v>-48.18846185844216</c:v>
                </c:pt>
                <c:pt idx="337">
                  <c:v>-48.226203779199956</c:v>
                </c:pt>
                <c:pt idx="338">
                  <c:v>-48.265375935984125</c:v>
                </c:pt>
                <c:pt idx="339">
                  <c:v>-48.306018955864971</c:v>
                </c:pt>
                <c:pt idx="340">
                  <c:v>-48.348173595424988</c:v>
                </c:pt>
                <c:pt idx="341">
                  <c:v>-48.391880659270832</c:v>
                </c:pt>
                <c:pt idx="342">
                  <c:v>-48.437180913855769</c:v>
                </c:pt>
                <c:pt idx="343">
                  <c:v>-48.48411499679608</c:v>
                </c:pt>
                <c:pt idx="344">
                  <c:v>-48.532723321908051</c:v>
                </c:pt>
                <c:pt idx="345">
                  <c:v>-48.583045980250439</c:v>
                </c:pt>
                <c:pt idx="346">
                  <c:v>-48.635122637503898</c:v>
                </c:pt>
                <c:pt idx="347">
                  <c:v>-48.688992428075657</c:v>
                </c:pt>
                <c:pt idx="348">
                  <c:v>-48.744693846369032</c:v>
                </c:pt>
                <c:pt idx="349">
                  <c:v>-48.802264635709264</c:v>
                </c:pt>
                <c:pt idx="350">
                  <c:v>-48.861741675468302</c:v>
                </c:pt>
                <c:pt idx="351">
                  <c:v>-48.923160866978023</c:v>
                </c:pt>
                <c:pt idx="352">
                  <c:v>-48.986557018865952</c:v>
                </c:pt>
                <c:pt idx="353">
                  <c:v>-49.05196373248701</c:v>
                </c:pt>
                <c:pt idx="354">
                  <c:v>-49.119413288158931</c:v>
                </c:pt>
                <c:pt idx="355">
                  <c:v>-49.188936532939451</c:v>
                </c:pt>
                <c:pt idx="356">
                  <c:v>-49.260562770700112</c:v>
                </c:pt>
                <c:pt idx="357">
                  <c:v>-49.334319655270384</c:v>
                </c:pt>
                <c:pt idx="358">
                  <c:v>-49.410233087427457</c:v>
                </c:pt>
                <c:pt idx="359">
                  <c:v>-49.488327116503363</c:v>
                </c:pt>
                <c:pt idx="360">
                  <c:v>-49.568623847370517</c:v>
                </c:pt>
                <c:pt idx="361">
                  <c:v>-49.651143353541407</c:v>
                </c:pt>
                <c:pt idx="362">
                  <c:v>-49.735903597087301</c:v>
                </c:pt>
                <c:pt idx="363">
                  <c:v>-49.822920356039155</c:v>
                </c:pt>
                <c:pt idx="364">
                  <c:v>-49.9122071598822</c:v>
                </c:pt>
                <c:pt idx="365">
                  <c:v>-50.003775233697624</c:v>
                </c:pt>
                <c:pt idx="366">
                  <c:v>-50.09763345143562</c:v>
                </c:pt>
                <c:pt idx="367">
                  <c:v>-50.193788298730325</c:v>
                </c:pt>
                <c:pt idx="368">
                  <c:v>-50.292243845585801</c:v>
                </c:pt>
                <c:pt idx="369">
                  <c:v>-50.393001729177769</c:v>
                </c:pt>
                <c:pt idx="370">
                  <c:v>-50.496061146923793</c:v>
                </c:pt>
                <c:pt idx="371">
                  <c:v>-50.601418859885435</c:v>
                </c:pt>
                <c:pt idx="372">
                  <c:v>-50.709069206470616</c:v>
                </c:pt>
                <c:pt idx="373">
                  <c:v>-50.819004126315249</c:v>
                </c:pt>
                <c:pt idx="374">
                  <c:v>-50.931213194127729</c:v>
                </c:pt>
                <c:pt idx="375">
                  <c:v>-51.045683663198467</c:v>
                </c:pt>
                <c:pt idx="376">
                  <c:v>-51.162400518189919</c:v>
                </c:pt>
                <c:pt idx="377">
                  <c:v>-51.281346536746483</c:v>
                </c:pt>
                <c:pt idx="378">
                  <c:v>-51.402502359394489</c:v>
                </c:pt>
                <c:pt idx="379">
                  <c:v>-51.525846567140647</c:v>
                </c:pt>
                <c:pt idx="380">
                  <c:v>-51.651355766119991</c:v>
                </c:pt>
                <c:pt idx="381">
                  <c:v>-51.779004678604167</c:v>
                </c:pt>
                <c:pt idx="382">
                  <c:v>-51.908766239642304</c:v>
                </c:pt>
                <c:pt idx="383">
                  <c:v>-52.040611698580797</c:v>
                </c:pt>
                <c:pt idx="384">
                  <c:v>-52.174510724695146</c:v>
                </c:pt>
                <c:pt idx="385">
                  <c:v>-52.310431516154772</c:v>
                </c:pt>
                <c:pt idx="386">
                  <c:v>-52.448340911549693</c:v>
                </c:pt>
                <c:pt idx="387">
                  <c:v>-52.588204503214968</c:v>
                </c:pt>
                <c:pt idx="388">
                  <c:v>-52.729986751606646</c:v>
                </c:pt>
                <c:pt idx="389">
                  <c:v>-52.873651100014314</c:v>
                </c:pt>
                <c:pt idx="390">
                  <c:v>-53.019160088920742</c:v>
                </c:pt>
                <c:pt idx="391">
                  <c:v>-53.166475469362922</c:v>
                </c:pt>
                <c:pt idx="392">
                  <c:v>-53.315558314687635</c:v>
                </c:pt>
                <c:pt idx="393">
                  <c:v>-53.46636913014423</c:v>
                </c:pt>
                <c:pt idx="394">
                  <c:v>-53.618867959804206</c:v>
                </c:pt>
                <c:pt idx="395">
                  <c:v>-53.773014490349745</c:v>
                </c:pt>
                <c:pt idx="396">
                  <c:v>-53.928768151327986</c:v>
                </c:pt>
                <c:pt idx="397">
                  <c:v>-54.086088211516163</c:v>
                </c:pt>
                <c:pt idx="398">
                  <c:v>-54.244933871100287</c:v>
                </c:pt>
                <c:pt idx="399">
                  <c:v>-54.405264349419298</c:v>
                </c:pt>
                <c:pt idx="400">
                  <c:v>-54.567038968077497</c:v>
                </c:pt>
                <c:pt idx="401">
                  <c:v>-54.730217229274949</c:v>
                </c:pt>
                <c:pt idx="402">
                  <c:v>-54.894758889254717</c:v>
                </c:pt>
                <c:pt idx="403">
                  <c:v>-55.06062402680341</c:v>
                </c:pt>
                <c:pt idx="404">
                  <c:v>-55.227773106786103</c:v>
                </c:pt>
                <c:pt idx="405">
                  <c:v>-55.396167038731448</c:v>
                </c:pt>
                <c:pt idx="406">
                  <c:v>-55.565767230513863</c:v>
                </c:pt>
                <c:pt idx="407">
                  <c:v>-55.736535637213763</c:v>
                </c:pt>
                <c:pt idx="408">
                  <c:v>-55.90843480525902</c:v>
                </c:pt>
                <c:pt idx="409">
                  <c:v>-56.081427911976789</c:v>
                </c:pt>
                <c:pt idx="410">
                  <c:v>-56.255478800702221</c:v>
                </c:pt>
                <c:pt idx="411">
                  <c:v>-56.430552011608981</c:v>
                </c:pt>
                <c:pt idx="412">
                  <c:v>-56.606612808438079</c:v>
                </c:pt>
                <c:pt idx="413">
                  <c:v>-56.783627201314914</c:v>
                </c:pt>
                <c:pt idx="414">
                  <c:v>-56.961561965849015</c:v>
                </c:pt>
                <c:pt idx="415">
                  <c:v>-57.140384658719896</c:v>
                </c:pt>
                <c:pt idx="416">
                  <c:v>-57.320063629953509</c:v>
                </c:pt>
                <c:pt idx="417">
                  <c:v>-57.500568032096801</c:v>
                </c:pt>
                <c:pt idx="418">
                  <c:v>-57.681867826496159</c:v>
                </c:pt>
                <c:pt idx="419">
                  <c:v>-57.863933786884971</c:v>
                </c:pt>
                <c:pt idx="420">
                  <c:v>-58.046737500481285</c:v>
                </c:pt>
                <c:pt idx="421">
                  <c:v>-58.230251366792359</c:v>
                </c:pt>
                <c:pt idx="422">
                  <c:v>-58.414448594317122</c:v>
                </c:pt>
                <c:pt idx="423">
                  <c:v>-58.599303195332304</c:v>
                </c:pt>
                <c:pt idx="424">
                  <c:v>-58.784789978939287</c:v>
                </c:pt>
                <c:pt idx="425">
                  <c:v>-58.970884542543239</c:v>
                </c:pt>
                <c:pt idx="426">
                  <c:v>-59.157563261925922</c:v>
                </c:pt>
                <c:pt idx="427">
                  <c:v>-59.344803280067893</c:v>
                </c:pt>
                <c:pt idx="428">
                  <c:v>-59.532582494864869</c:v>
                </c:pt>
                <c:pt idx="429">
                  <c:v>-59.720879545877111</c:v>
                </c:pt>
                <c:pt idx="430">
                  <c:v>-59.909673800239545</c:v>
                </c:pt>
                <c:pt idx="431">
                  <c:v>-60.098945337855476</c:v>
                </c:pt>
                <c:pt idx="432">
                  <c:v>-60.288674935983934</c:v>
                </c:pt>
                <c:pt idx="433">
                  <c:v>-60.478844053327556</c:v>
                </c:pt>
                <c:pt idx="434">
                  <c:v>-60.669434813716371</c:v>
                </c:pt>
                <c:pt idx="435">
                  <c:v>-60.860429989476827</c:v>
                </c:pt>
                <c:pt idx="436">
                  <c:v>-61.051812984568443</c:v>
                </c:pt>
                <c:pt idx="437">
                  <c:v>-61.243567817562656</c:v>
                </c:pt>
                <c:pt idx="438">
                  <c:v>-61.435679104532703</c:v>
                </c:pt>
                <c:pt idx="439">
                  <c:v>-61.628132041914874</c:v>
                </c:pt>
                <c:pt idx="440">
                  <c:v>-61.820912389400405</c:v>
                </c:pt>
                <c:pt idx="441">
                  <c:v>-62.014006452904773</c:v>
                </c:pt>
                <c:pt idx="442">
                  <c:v>-62.207401067662531</c:v>
                </c:pt>
                <c:pt idx="443">
                  <c:v>-62.401083581486347</c:v>
                </c:pt>
                <c:pt idx="444">
                  <c:v>-62.59504183822601</c:v>
                </c:pt>
                <c:pt idx="445">
                  <c:v>-62.789264161459201</c:v>
                </c:pt>
                <c:pt idx="446">
                  <c:v>-62.983739338441282</c:v>
                </c:pt>
                <c:pt idx="447">
                  <c:v>-63.178456604337434</c:v>
                </c:pt>
                <c:pt idx="448">
                  <c:v>-63.373405626757211</c:v>
                </c:pt>
                <c:pt idx="449">
                  <c:v>-63.568576490609701</c:v>
                </c:pt>
                <c:pt idx="450">
                  <c:v>-63.763959683291908</c:v>
                </c:pt>
                <c:pt idx="451">
                  <c:v>-63.959546080223511</c:v>
                </c:pt>
                <c:pt idx="452">
                  <c:v>-64.155326930736308</c:v>
                </c:pt>
                <c:pt idx="453">
                  <c:v>-64.351293844325227</c:v>
                </c:pt>
                <c:pt idx="454">
                  <c:v>-64.547438777267018</c:v>
                </c:pt>
                <c:pt idx="455">
                  <c:v>-64.743754019608645</c:v>
                </c:pt>
                <c:pt idx="456">
                  <c:v>-64.940232182527794</c:v>
                </c:pt>
                <c:pt idx="457">
                  <c:v>-65.136866186065731</c:v>
                </c:pt>
                <c:pt idx="458">
                  <c:v>-65.333649247230866</c:v>
                </c:pt>
                <c:pt idx="459">
                  <c:v>-65.530574868471817</c:v>
                </c:pt>
                <c:pt idx="460">
                  <c:v>-65.727636826515749</c:v>
                </c:pt>
                <c:pt idx="461">
                  <c:v>-65.924829161568596</c:v>
                </c:pt>
                <c:pt idx="462">
                  <c:v>-66.122146166872184</c:v>
                </c:pt>
                <c:pt idx="463">
                  <c:v>-66.319582378612395</c:v>
                </c:pt>
                <c:pt idx="464">
                  <c:v>-66.517132566172791</c:v>
                </c:pt>
                <c:pt idx="465">
                  <c:v>-66.714791722726915</c:v>
                </c:pt>
                <c:pt idx="466">
                  <c:v>-66.912555056161651</c:v>
                </c:pt>
                <c:pt idx="467">
                  <c:v>-67.110417980325749</c:v>
                </c:pt>
                <c:pt idx="468">
                  <c:v>-67.308376106594224</c:v>
                </c:pt>
                <c:pt idx="469">
                  <c:v>-67.506425235742213</c:v>
                </c:pt>
                <c:pt idx="470">
                  <c:v>-67.70456135011878</c:v>
                </c:pt>
                <c:pt idx="471">
                  <c:v>-67.902780606114916</c:v>
                </c:pt>
                <c:pt idx="472">
                  <c:v>-68.101079326914402</c:v>
                </c:pt>
                <c:pt idx="473">
                  <c:v>-68.299453995522285</c:v>
                </c:pt>
                <c:pt idx="474">
                  <c:v>-68.49790124806033</c:v>
                </c:pt>
                <c:pt idx="475">
                  <c:v>-68.69641786732349</c:v>
                </c:pt>
                <c:pt idx="476">
                  <c:v>-68.895000776587224</c:v>
                </c:pt>
                <c:pt idx="477">
                  <c:v>-69.09364703365847</c:v>
                </c:pt>
                <c:pt idx="478">
                  <c:v>-69.292353825162536</c:v>
                </c:pt>
                <c:pt idx="479">
                  <c:v>-69.491118461057809</c:v>
                </c:pt>
                <c:pt idx="480">
                  <c:v>-69.68993836937014</c:v>
                </c:pt>
                <c:pt idx="481">
                  <c:v>-69.888811091139686</c:v>
                </c:pt>
                <c:pt idx="482">
                  <c:v>-70.087734275573041</c:v>
                </c:pt>
                <c:pt idx="483">
                  <c:v>-70.286705675392341</c:v>
                </c:pt>
                <c:pt idx="484">
                  <c:v>-70.485723142375562</c:v>
                </c:pt>
                <c:pt idx="485">
                  <c:v>-70.684784623079722</c:v>
                </c:pt>
                <c:pt idx="486">
                  <c:v>-70.883888154741243</c:v>
                </c:pt>
                <c:pt idx="487">
                  <c:v>-71.083031861346342</c:v>
                </c:pt>
                <c:pt idx="488">
                  <c:v>-71.282213949865081</c:v>
                </c:pt>
                <c:pt idx="489">
                  <c:v>-71.481432706643034</c:v>
                </c:pt>
                <c:pt idx="490">
                  <c:v>-71.680686493944151</c:v>
                </c:pt>
                <c:pt idx="491">
                  <c:v>-71.87997374663945</c:v>
                </c:pt>
                <c:pt idx="492">
                  <c:v>-72.079292969035293</c:v>
                </c:pt>
                <c:pt idx="493">
                  <c:v>-72.278642731836442</c:v>
                </c:pt>
                <c:pt idx="494">
                  <c:v>-72.478021669237819</c:v>
                </c:pt>
                <c:pt idx="495">
                  <c:v>-72.677428476139994</c:v>
                </c:pt>
                <c:pt idx="496">
                  <c:v>-72.876861905484219</c:v>
                </c:pt>
                <c:pt idx="497">
                  <c:v>-73.076320765701212</c:v>
                </c:pt>
                <c:pt idx="498">
                  <c:v>-73.275803918269389</c:v>
                </c:pt>
                <c:pt idx="499">
                  <c:v>-73.475310275378249</c:v>
                </c:pt>
                <c:pt idx="500">
                  <c:v>-73.674838797692288</c:v>
                </c:pt>
                <c:pt idx="501">
                  <c:v>-73.874388492211722</c:v>
                </c:pt>
                <c:pt idx="502">
                  <c:v>-74.073958410226084</c:v>
                </c:pt>
                <c:pt idx="503">
                  <c:v>-74.273547645355677</c:v>
                </c:pt>
                <c:pt idx="504">
                  <c:v>-74.473155331678996</c:v>
                </c:pt>
                <c:pt idx="505">
                  <c:v>-74.672780641940932</c:v>
                </c:pt>
                <c:pt idx="506">
                  <c:v>-74.872422785839603</c:v>
                </c:pt>
                <c:pt idx="507">
                  <c:v>-75.0720810083874</c:v>
                </c:pt>
                <c:pt idx="508">
                  <c:v>-75.271754588344123</c:v>
                </c:pt>
                <c:pt idx="509">
                  <c:v>-75.471442836718623</c:v>
                </c:pt>
                <c:pt idx="510">
                  <c:v>-75.671145095335646</c:v>
                </c:pt>
                <c:pt idx="511">
                  <c:v>-75.870860735465996</c:v>
                </c:pt>
                <c:pt idx="512">
                  <c:v>-76.07058915651686</c:v>
                </c:pt>
                <c:pt idx="513">
                  <c:v>-76.270329784779577</c:v>
                </c:pt>
                <c:pt idx="514">
                  <c:v>-76.470082072232245</c:v>
                </c:pt>
                <c:pt idx="515">
                  <c:v>-76.66984549539589</c:v>
                </c:pt>
                <c:pt idx="516">
                  <c:v>-76.869619554240174</c:v>
                </c:pt>
                <c:pt idx="517">
                  <c:v>-77.069403771138155</c:v>
                </c:pt>
                <c:pt idx="518">
                  <c:v>-77.269197689866687</c:v>
                </c:pt>
                <c:pt idx="519">
                  <c:v>-77.469000874651144</c:v>
                </c:pt>
                <c:pt idx="520">
                  <c:v>-77.668812909252864</c:v>
                </c:pt>
                <c:pt idx="521">
                  <c:v>-77.86863339609647</c:v>
                </c:pt>
                <c:pt idx="522">
                  <c:v>-78.068461955436049</c:v>
                </c:pt>
                <c:pt idx="523">
                  <c:v>-78.268298224558549</c:v>
                </c:pt>
                <c:pt idx="524">
                  <c:v>-78.468141857021834</c:v>
                </c:pt>
                <c:pt idx="525">
                  <c:v>-78.6679925219278</c:v>
                </c:pt>
                <c:pt idx="526">
                  <c:v>-78.867849903226485</c:v>
                </c:pt>
                <c:pt idx="527">
                  <c:v>-79.067713699052021</c:v>
                </c:pt>
                <c:pt idx="528">
                  <c:v>-79.267583621087368</c:v>
                </c:pt>
                <c:pt idx="529">
                  <c:v>-79.467459393958478</c:v>
                </c:pt>
                <c:pt idx="530">
                  <c:v>-79.667340754654148</c:v>
                </c:pt>
                <c:pt idx="531">
                  <c:v>-79.867227451972667</c:v>
                </c:pt>
                <c:pt idx="532">
                  <c:v>-80.06711924599233</c:v>
                </c:pt>
                <c:pt idx="533">
                  <c:v>-80.267015907566588</c:v>
                </c:pt>
                <c:pt idx="534">
                  <c:v>-80.466917217840731</c:v>
                </c:pt>
                <c:pt idx="535">
                  <c:v>-80.666822967790651</c:v>
                </c:pt>
                <c:pt idx="536">
                  <c:v>-80.866732957782176</c:v>
                </c:pt>
                <c:pt idx="537">
                  <c:v>-81.066646997149945</c:v>
                </c:pt>
                <c:pt idx="538">
                  <c:v>-81.266564903795114</c:v>
                </c:pt>
                <c:pt idx="539">
                  <c:v>-81.466486503801264</c:v>
                </c:pt>
                <c:pt idx="540">
                  <c:v>-81.666411631067149</c:v>
                </c:pt>
                <c:pt idx="541">
                  <c:v>-81.86634012695626</c:v>
                </c:pt>
              </c:numCache>
            </c:numRef>
          </c:yVal>
          <c:smooth val="1"/>
          <c:extLst>
            <c:ext xmlns:c16="http://schemas.microsoft.com/office/drawing/2014/chart" uri="{C3380CC4-5D6E-409C-BE32-E72D297353CC}">
              <c16:uniqueId val="{00000000-4F4B-43C9-BE46-3F56EC7D1C25}"/>
            </c:ext>
          </c:extLst>
        </c:ser>
        <c:dLbls>
          <c:showLegendKey val="0"/>
          <c:showVal val="0"/>
          <c:showCatName val="0"/>
          <c:showSerName val="0"/>
          <c:showPercent val="0"/>
          <c:showBubbleSize val="0"/>
        </c:dLbls>
        <c:axId val="384242816"/>
        <c:axId val="384244736"/>
      </c:scatterChart>
      <c:scatterChart>
        <c:scatterStyle val="smoothMarker"/>
        <c:varyColors val="0"/>
        <c:ser>
          <c:idx val="1"/>
          <c:order val="1"/>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CCM_Loop_Modeling_non_isolated!$AR$19:$AR$560</c:f>
              <c:numCache>
                <c:formatCode>General</c:formatCode>
                <c:ptCount val="542"/>
                <c:pt idx="0">
                  <c:v>101.75547263202043</c:v>
                </c:pt>
                <c:pt idx="1">
                  <c:v>102.02138993631736</c:v>
                </c:pt>
                <c:pt idx="2">
                  <c:v>102.2929564195267</c:v>
                </c:pt>
                <c:pt idx="3">
                  <c:v>102.57026708778416</c:v>
                </c:pt>
                <c:pt idx="4">
                  <c:v>102.8534168183598</c:v>
                </c:pt>
                <c:pt idx="5">
                  <c:v>103.14250021988076</c:v>
                </c:pt>
                <c:pt idx="6">
                  <c:v>103.43761148281503</c:v>
                </c:pt>
                <c:pt idx="7">
                  <c:v>103.73884421986126</c:v>
                </c:pt>
                <c:pt idx="8">
                  <c:v>104.04629129589522</c:v>
                </c:pt>
                <c:pt idx="9">
                  <c:v>104.36004464714571</c:v>
                </c:pt>
                <c:pt idx="10">
                  <c:v>104.68019508928839</c:v>
                </c:pt>
                <c:pt idx="11">
                  <c:v>105.00683211417403</c:v>
                </c:pt>
                <c:pt idx="12">
                  <c:v>105.34004367493532</c:v>
                </c:pt>
                <c:pt idx="13">
                  <c:v>105.67991595925291</c:v>
                </c:pt>
                <c:pt idx="14">
                  <c:v>106.02653315060513</c:v>
                </c:pt>
                <c:pt idx="15">
                  <c:v>106.37997717736721</c:v>
                </c:pt>
                <c:pt idx="16">
                  <c:v>106.74032744968862</c:v>
                </c:pt>
                <c:pt idx="17">
                  <c:v>107.10766058413461</c:v>
                </c:pt>
                <c:pt idx="18">
                  <c:v>107.48205011614527</c:v>
                </c:pt>
                <c:pt idx="19">
                  <c:v>107.86356620044981</c:v>
                </c:pt>
                <c:pt idx="20">
                  <c:v>108.25227529965153</c:v>
                </c:pt>
                <c:pt idx="21">
                  <c:v>108.64823986130008</c:v>
                </c:pt>
                <c:pt idx="22">
                  <c:v>109.05151798386392</c:v>
                </c:pt>
                <c:pt idx="23">
                  <c:v>109.46216307213319</c:v>
                </c:pt>
                <c:pt idx="24">
                  <c:v>109.88022348269614</c:v>
                </c:pt>
                <c:pt idx="25">
                  <c:v>110.30574216027024</c:v>
                </c:pt>
                <c:pt idx="26">
                  <c:v>110.73875626579267</c:v>
                </c:pt>
                <c:pt idx="27">
                  <c:v>111.17929679733157</c:v>
                </c:pt>
                <c:pt idx="28">
                  <c:v>111.62738820502132</c:v>
                </c:pt>
                <c:pt idx="29">
                  <c:v>112.08304800138501</c:v>
                </c:pt>
                <c:pt idx="30">
                  <c:v>112.5462863685711</c:v>
                </c:pt>
                <c:pt idx="31">
                  <c:v>113.01710576419291</c:v>
                </c:pt>
                <c:pt idx="32">
                  <c:v>113.49550052762896</c:v>
                </c:pt>
                <c:pt idx="33">
                  <c:v>113.98145648881268</c:v>
                </c:pt>
                <c:pt idx="34">
                  <c:v>114.47495058170118</c:v>
                </c:pt>
                <c:pt idx="35">
                  <c:v>114.97595046477966</c:v>
                </c:pt>
                <c:pt idx="36">
                  <c:v>115.48441415111358</c:v>
                </c:pt>
                <c:pt idx="37">
                  <c:v>116.00028965060302</c:v>
                </c:pt>
                <c:pt idx="38">
                  <c:v>116.52351462723709</c:v>
                </c:pt>
                <c:pt idx="39">
                  <c:v>117.05401607425669</c:v>
                </c:pt>
                <c:pt idx="40">
                  <c:v>117.59171001024121</c:v>
                </c:pt>
                <c:pt idx="41">
                  <c:v>118.13650119921357</c:v>
                </c:pt>
                <c:pt idx="42">
                  <c:v>118.68828289791013</c:v>
                </c:pt>
                <c:pt idx="43">
                  <c:v>119.24693663339005</c:v>
                </c:pt>
                <c:pt idx="44">
                  <c:v>119.81233201415503</c:v>
                </c:pt>
                <c:pt idx="45">
                  <c:v>120.38432657790703</c:v>
                </c:pt>
                <c:pt idx="46">
                  <c:v>120.96276567899746</c:v>
                </c:pt>
                <c:pt idx="47">
                  <c:v>121.54748241850399</c:v>
                </c:pt>
                <c:pt idx="48">
                  <c:v>122.13829761971454</c:v>
                </c:pt>
                <c:pt idx="49">
                  <c:v>122.7350198515942</c:v>
                </c:pt>
                <c:pt idx="50">
                  <c:v>123.33744550257315</c:v>
                </c:pt>
                <c:pt idx="51">
                  <c:v>123.94535890669857</c:v>
                </c:pt>
                <c:pt idx="52">
                  <c:v>124.55853252387088</c:v>
                </c:pt>
                <c:pt idx="53">
                  <c:v>125.17672717551351</c:v>
                </c:pt>
                <c:pt idx="54">
                  <c:v>125.79969233660896</c:v>
                </c:pt>
                <c:pt idx="55">
                  <c:v>126.42716648460419</c:v>
                </c:pt>
                <c:pt idx="56">
                  <c:v>127.05887750520363</c:v>
                </c:pt>
                <c:pt idx="57">
                  <c:v>127.69454315457574</c:v>
                </c:pt>
                <c:pt idx="58">
                  <c:v>128.33387157698047</c:v>
                </c:pt>
                <c:pt idx="59">
                  <c:v>128.97656187629485</c:v>
                </c:pt>
                <c:pt idx="60">
                  <c:v>129.62230473938322</c:v>
                </c:pt>
                <c:pt idx="61">
                  <c:v>130.2707831087242</c:v>
                </c:pt>
                <c:pt idx="62">
                  <c:v>130.92167290119184</c:v>
                </c:pt>
                <c:pt idx="63">
                  <c:v>131.57464376938754</c:v>
                </c:pt>
                <c:pt idx="64">
                  <c:v>132.22935990144981</c:v>
                </c:pt>
                <c:pt idx="65">
                  <c:v>132.8854808548341</c:v>
                </c:pt>
                <c:pt idx="66">
                  <c:v>133.54266241917051</c:v>
                </c:pt>
                <c:pt idx="67">
                  <c:v>134.2005575029616</c:v>
                </c:pt>
                <c:pt idx="68">
                  <c:v>134.8588170386104</c:v>
                </c:pt>
                <c:pt idx="69">
                  <c:v>135.51709090004431</c:v>
                </c:pt>
                <c:pt idx="70">
                  <c:v>136.1750288270562</c:v>
                </c:pt>
                <c:pt idx="71">
                  <c:v>136.83228135039892</c:v>
                </c:pt>
                <c:pt idx="72">
                  <c:v>137.48850071166186</c:v>
                </c:pt>
                <c:pt idx="73">
                  <c:v>138.14334177202207</c:v>
                </c:pt>
                <c:pt idx="74">
                  <c:v>138.79646290409352</c:v>
                </c:pt>
                <c:pt idx="75">
                  <c:v>139.44752686129823</c:v>
                </c:pt>
                <c:pt idx="76">
                  <c:v>140.09620161944983</c:v>
                </c:pt>
                <c:pt idx="77">
                  <c:v>140.74216118556151</c:v>
                </c:pt>
                <c:pt idx="78">
                  <c:v>141.38508636926989</c:v>
                </c:pt>
                <c:pt idx="79">
                  <c:v>142.0246655126837</c:v>
                </c:pt>
                <c:pt idx="80">
                  <c:v>142.66059517493753</c:v>
                </c:pt>
                <c:pt idx="81">
                  <c:v>143.29258076820932</c:v>
                </c:pt>
                <c:pt idx="82">
                  <c:v>143.92033714248939</c:v>
                </c:pt>
                <c:pt idx="83">
                  <c:v>144.54358911690466</c:v>
                </c:pt>
                <c:pt idx="84">
                  <c:v>145.16207195594149</c:v>
                </c:pt>
                <c:pt idx="85">
                  <c:v>145.77553178944282</c:v>
                </c:pt>
                <c:pt idx="86">
                  <c:v>146.38372597576924</c:v>
                </c:pt>
                <c:pt idx="87">
                  <c:v>146.98642340802476</c:v>
                </c:pt>
                <c:pt idx="88">
                  <c:v>147.58340476372371</c:v>
                </c:pt>
                <c:pt idx="89">
                  <c:v>148.17446269872923</c:v>
                </c:pt>
                <c:pt idx="90">
                  <c:v>148.75940198670736</c:v>
                </c:pt>
                <c:pt idx="91">
                  <c:v>149.33803960572644</c:v>
                </c:pt>
                <c:pt idx="92">
                  <c:v>149.91020477396648</c:v>
                </c:pt>
                <c:pt idx="93">
                  <c:v>150.47573893680536</c:v>
                </c:pt>
                <c:pt idx="94">
                  <c:v>151.03449570780049</c:v>
                </c:pt>
                <c:pt idx="95">
                  <c:v>151.58634076629824</c:v>
                </c:pt>
                <c:pt idx="96">
                  <c:v>152.13115171456971</c:v>
                </c:pt>
                <c:pt idx="97">
                  <c:v>152.6688178975013</c:v>
                </c:pt>
                <c:pt idx="98">
                  <c:v>153.19924018795066</c:v>
                </c:pt>
                <c:pt idx="99">
                  <c:v>153.72233074093484</c:v>
                </c:pt>
                <c:pt idx="100">
                  <c:v>154.23801271982023</c:v>
                </c:pt>
                <c:pt idx="101">
                  <c:v>154.74621999767791</c:v>
                </c:pt>
                <c:pt idx="102">
                  <c:v>155.24689683691037</c:v>
                </c:pt>
                <c:pt idx="103">
                  <c:v>155.73999755018482</c:v>
                </c:pt>
                <c:pt idx="104">
                  <c:v>156.22548614561902</c:v>
                </c:pt>
                <c:pt idx="105">
                  <c:v>156.70333595903529</c:v>
                </c:pt>
                <c:pt idx="106">
                  <c:v>157.17352927598384</c:v>
                </c:pt>
                <c:pt idx="107">
                  <c:v>157.63605694608108</c:v>
                </c:pt>
                <c:pt idx="108">
                  <c:v>158.09091799205748</c:v>
                </c:pt>
                <c:pt idx="109">
                  <c:v>158.53811921575218</c:v>
                </c:pt>
                <c:pt idx="110">
                  <c:v>158.97767480311836</c:v>
                </c:pt>
                <c:pt idx="111">
                  <c:v>159.40960593014472</c:v>
                </c:pt>
                <c:pt idx="112">
                  <c:v>159.8339403714227</c:v>
                </c:pt>
                <c:pt idx="113">
                  <c:v>160.25071211292672</c:v>
                </c:pt>
                <c:pt idx="114">
                  <c:v>160.6599609704113</c:v>
                </c:pt>
                <c:pt idx="115">
                  <c:v>161.06173221467085</c:v>
                </c:pt>
                <c:pt idx="116">
                  <c:v>161.45607620475229</c:v>
                </c:pt>
                <c:pt idx="117">
                  <c:v>161.84304803007305</c:v>
                </c:pt>
                <c:pt idx="118">
                  <c:v>162.22270716224696</c:v>
                </c:pt>
                <c:pt idx="119">
                  <c:v>162.5951171173007</c:v>
                </c:pt>
                <c:pt idx="120">
                  <c:v>162.96034512883645</c:v>
                </c:pt>
                <c:pt idx="121">
                  <c:v>163.31846183258307</c:v>
                </c:pt>
                <c:pt idx="122">
                  <c:v>163.66954096267338</c:v>
                </c:pt>
                <c:pt idx="123">
                  <c:v>164.01365905989113</c:v>
                </c:pt>
                <c:pt idx="124">
                  <c:v>164.35089519204027</c:v>
                </c:pt>
                <c:pt idx="125">
                  <c:v>164.68133068651125</c:v>
                </c:pt>
                <c:pt idx="126">
                  <c:v>165.00504887504877</c:v>
                </c:pt>
                <c:pt idx="127">
                  <c:v>165.3221348506577</c:v>
                </c:pt>
                <c:pt idx="128">
                  <c:v>165.63267523653164</c:v>
                </c:pt>
                <c:pt idx="129">
                  <c:v>165.93675796683755</c:v>
                </c:pt>
                <c:pt idx="130">
                  <c:v>166.23447207914492</c:v>
                </c:pt>
                <c:pt idx="131">
                  <c:v>166.52590751825386</c:v>
                </c:pt>
                <c:pt idx="132">
                  <c:v>166.81115495114216</c:v>
                </c:pt>
                <c:pt idx="133">
                  <c:v>167.09030559273</c:v>
                </c:pt>
                <c:pt idx="134">
                  <c:v>167.36345104213103</c:v>
                </c:pt>
                <c:pt idx="135">
                  <c:v>167.63068312905207</c:v>
                </c:pt>
                <c:pt idx="136">
                  <c:v>167.89209376998232</c:v>
                </c:pt>
                <c:pt idx="137">
                  <c:v>168.14777483380698</c:v>
                </c:pt>
                <c:pt idx="138">
                  <c:v>168.39781801647297</c:v>
                </c:pt>
                <c:pt idx="139">
                  <c:v>168.64231472433289</c:v>
                </c:pt>
                <c:pt idx="140">
                  <c:v>168.88135596578815</c:v>
                </c:pt>
                <c:pt idx="141">
                  <c:v>169.11503225085849</c:v>
                </c:pt>
                <c:pt idx="142">
                  <c:v>169.34343349830465</c:v>
                </c:pt>
                <c:pt idx="143">
                  <c:v>169.56664894993662</c:v>
                </c:pt>
                <c:pt idx="144">
                  <c:v>169.78476709174868</c:v>
                </c:pt>
                <c:pt idx="145">
                  <c:v>169.99787558152585</c:v>
                </c:pt>
                <c:pt idx="146">
                  <c:v>170.206061182578</c:v>
                </c:pt>
                <c:pt idx="147">
                  <c:v>170.40940970326636</c:v>
                </c:pt>
                <c:pt idx="148">
                  <c:v>170.60800594199671</c:v>
                </c:pt>
                <c:pt idx="149">
                  <c:v>170.80193363736484</c:v>
                </c:pt>
                <c:pt idx="150">
                  <c:v>170.99127542315031</c:v>
                </c:pt>
                <c:pt idx="151">
                  <c:v>171.17611278786592</c:v>
                </c:pt>
                <c:pt idx="152">
                  <c:v>171.35652603858151</c:v>
                </c:pt>
                <c:pt idx="153">
                  <c:v>171.53259426875326</c:v>
                </c:pt>
                <c:pt idx="154">
                  <c:v>171.7043953297985</c:v>
                </c:pt>
                <c:pt idx="155">
                  <c:v>171.87200580617125</c:v>
                </c:pt>
                <c:pt idx="156">
                  <c:v>172.03550099370085</c:v>
                </c:pt>
                <c:pt idx="157">
                  <c:v>172.19495488097127</c:v>
                </c:pt>
                <c:pt idx="158">
                  <c:v>172.35044013352541</c:v>
                </c:pt>
                <c:pt idx="159">
                  <c:v>172.5020280806929</c:v>
                </c:pt>
                <c:pt idx="160">
                  <c:v>172.64978870484811</c:v>
                </c:pt>
                <c:pt idx="161">
                  <c:v>172.79379063291603</c:v>
                </c:pt>
                <c:pt idx="162">
                  <c:v>172.93410112995247</c:v>
                </c:pt>
                <c:pt idx="163">
                  <c:v>173.07078609463616</c:v>
                </c:pt>
                <c:pt idx="164">
                  <c:v>173.20391005651729</c:v>
                </c:pt>
                <c:pt idx="165">
                  <c:v>173.33353617487705</c:v>
                </c:pt>
                <c:pt idx="166">
                  <c:v>173.45972623906079</c:v>
                </c:pt>
                <c:pt idx="167">
                  <c:v>173.58254067015523</c:v>
                </c:pt>
                <c:pt idx="168">
                  <c:v>173.70203852388769</c:v>
                </c:pt>
                <c:pt idx="169">
                  <c:v>173.81827749463307</c:v>
                </c:pt>
                <c:pt idx="170">
                  <c:v>173.93131392042051</c:v>
                </c:pt>
                <c:pt idx="171">
                  <c:v>174.04120278883934</c:v>
                </c:pt>
                <c:pt idx="172">
                  <c:v>174.14799774374848</c:v>
                </c:pt>
                <c:pt idx="173">
                  <c:v>174.25175109270162</c:v>
                </c:pt>
                <c:pt idx="174">
                  <c:v>174.35251381500433</c:v>
                </c:pt>
                <c:pt idx="175">
                  <c:v>174.45033557032514</c:v>
                </c:pt>
                <c:pt idx="176">
                  <c:v>174.54526470778845</c:v>
                </c:pt>
                <c:pt idx="177">
                  <c:v>174.63734827548069</c:v>
                </c:pt>
                <c:pt idx="178">
                  <c:v>174.72663203030626</c:v>
                </c:pt>
                <c:pt idx="179">
                  <c:v>174.81316044813445</c:v>
                </c:pt>
                <c:pt idx="180">
                  <c:v>174.89697673418178</c:v>
                </c:pt>
                <c:pt idx="181">
                  <c:v>174.97812283357797</c:v>
                </c:pt>
                <c:pt idx="182">
                  <c:v>175.05663944206879</c:v>
                </c:pt>
                <c:pt idx="183">
                  <c:v>175.13256601680942</c:v>
                </c:pt>
                <c:pt idx="184">
                  <c:v>175.20594078720882</c:v>
                </c:pt>
                <c:pt idx="185">
                  <c:v>175.27680076578505</c:v>
                </c:pt>
                <c:pt idx="186">
                  <c:v>175.34518175899692</c:v>
                </c:pt>
                <c:pt idx="187">
                  <c:v>175.41111837801782</c:v>
                </c:pt>
                <c:pt idx="188">
                  <c:v>175.47464404942193</c:v>
                </c:pt>
                <c:pt idx="189">
                  <c:v>175.5357910257537</c:v>
                </c:pt>
                <c:pt idx="190">
                  <c:v>175.59459039595467</c:v>
                </c:pt>
                <c:pt idx="191">
                  <c:v>175.65107209562251</c:v>
                </c:pt>
                <c:pt idx="192">
                  <c:v>175.70526491708119</c:v>
                </c:pt>
                <c:pt idx="193">
                  <c:v>175.75719651923953</c:v>
                </c:pt>
                <c:pt idx="194">
                  <c:v>175.80689343722079</c:v>
                </c:pt>
                <c:pt idx="195">
                  <c:v>175.85438109174444</c:v>
                </c:pt>
                <c:pt idx="196">
                  <c:v>175.89968379824427</c:v>
                </c:pt>
                <c:pt idx="197">
                  <c:v>175.94282477570746</c:v>
                </c:pt>
                <c:pt idx="198">
                  <c:v>175.98382615522178</c:v>
                </c:pt>
                <c:pt idx="199">
                  <c:v>176.02270898821686</c:v>
                </c:pt>
                <c:pt idx="200">
                  <c:v>176.05949325438914</c:v>
                </c:pt>
                <c:pt idx="201">
                  <c:v>176.09419786929917</c:v>
                </c:pt>
                <c:pt idx="202">
                  <c:v>176.12684069163217</c:v>
                </c:pt>
                <c:pt idx="203">
                  <c:v>176.15743853011176</c:v>
                </c:pt>
                <c:pt idx="204">
                  <c:v>176.18600715006056</c:v>
                </c:pt>
                <c:pt idx="205">
                  <c:v>176.21256127959882</c:v>
                </c:pt>
                <c:pt idx="206">
                  <c:v>176.23711461547475</c:v>
                </c:pt>
                <c:pt idx="207">
                  <c:v>176.259679828521</c:v>
                </c:pt>
                <c:pt idx="208">
                  <c:v>176.2802685687314</c:v>
                </c:pt>
                <c:pt idx="209">
                  <c:v>176.29889146995316</c:v>
                </c:pt>
                <c:pt idx="210">
                  <c:v>176.31555815418989</c:v>
                </c:pt>
                <c:pt idx="211">
                  <c:v>176.33027723551228</c:v>
                </c:pt>
                <c:pt idx="212">
                  <c:v>176.34305632357183</c:v>
                </c:pt>
                <c:pt idx="213">
                  <c:v>176.35390202671573</c:v>
                </c:pt>
                <c:pt idx="214">
                  <c:v>176.36281995469969</c:v>
                </c:pt>
                <c:pt idx="215">
                  <c:v>176.36981472099643</c:v>
                </c:pt>
                <c:pt idx="216">
                  <c:v>176.3748899446982</c:v>
                </c:pt>
                <c:pt idx="217">
                  <c:v>176.37804825201164</c:v>
                </c:pt>
                <c:pt idx="218">
                  <c:v>176.37929127734421</c:v>
                </c:pt>
                <c:pt idx="219">
                  <c:v>176.37861966398037</c:v>
                </c:pt>
                <c:pt idx="220">
                  <c:v>176.37603306434821</c:v>
                </c:pt>
                <c:pt idx="221">
                  <c:v>176.3715301398754</c:v>
                </c:pt>
                <c:pt idx="222">
                  <c:v>176.36510856043512</c:v>
                </c:pt>
                <c:pt idx="223">
                  <c:v>176.35676500338201</c:v>
                </c:pt>
                <c:pt idx="224">
                  <c:v>176.34649515217899</c:v>
                </c:pt>
                <c:pt idx="225">
                  <c:v>176.33429369461649</c:v>
                </c:pt>
                <c:pt idx="226">
                  <c:v>176.32015432062468</c:v>
                </c:pt>
                <c:pt idx="227">
                  <c:v>176.30406971968125</c:v>
                </c:pt>
                <c:pt idx="228">
                  <c:v>176.28603157781617</c:v>
                </c:pt>
                <c:pt idx="229">
                  <c:v>176.26603057421684</c:v>
                </c:pt>
                <c:pt idx="230">
                  <c:v>176.24405637743533</c:v>
                </c:pt>
                <c:pt idx="231">
                  <c:v>176.22009764120213</c:v>
                </c:pt>
                <c:pt idx="232">
                  <c:v>176.19414199984976</c:v>
                </c:pt>
                <c:pt idx="233">
                  <c:v>176.16617606335009</c:v>
                </c:pt>
                <c:pt idx="234">
                  <c:v>176.13618541197096</c:v>
                </c:pt>
                <c:pt idx="235">
                  <c:v>176.1041545905565</c:v>
                </c:pt>
                <c:pt idx="236">
                  <c:v>176.07006710243789</c:v>
                </c:pt>
                <c:pt idx="237">
                  <c:v>176.03390540297994</c:v>
                </c:pt>
                <c:pt idx="238">
                  <c:v>175.99565089277215</c:v>
                </c:pt>
                <c:pt idx="239">
                  <c:v>175.95528391047054</c:v>
                </c:pt>
                <c:pt idx="240">
                  <c:v>175.91278372529996</c:v>
                </c:pt>
                <c:pt idx="241">
                  <c:v>175.86812852922588</c:v>
                </c:pt>
                <c:pt idx="242">
                  <c:v>175.82129542880622</c:v>
                </c:pt>
                <c:pt idx="243">
                  <c:v>175.77226043673443</c:v>
                </c:pt>
                <c:pt idx="244">
                  <c:v>175.72099846308575</c:v>
                </c:pt>
                <c:pt idx="245">
                  <c:v>175.66748330628133</c:v>
                </c:pt>
                <c:pt idx="246">
                  <c:v>175.611687643783</c:v>
                </c:pt>
                <c:pt idx="247">
                  <c:v>175.55358302253632</c:v>
                </c:pt>
                <c:pt idx="248">
                  <c:v>175.49313984917802</c:v>
                </c:pt>
                <c:pt idx="249">
                  <c:v>175.43032738002722</c:v>
                </c:pt>
                <c:pt idx="250">
                  <c:v>175.36511371088019</c:v>
                </c:pt>
                <c:pt idx="251">
                  <c:v>175.2974657666314</c:v>
                </c:pt>
                <c:pt idx="252">
                  <c:v>175.2273492907436</c:v>
                </c:pt>
                <c:pt idx="253">
                  <c:v>175.15472883459404</c:v>
                </c:pt>
                <c:pt idx="254">
                  <c:v>175.07956774672323</c:v>
                </c:pt>
                <c:pt idx="255">
                  <c:v>175.0018281620174</c:v>
                </c:pt>
                <c:pt idx="256">
                  <c:v>174.9214709908567</c:v>
                </c:pt>
                <c:pt idx="257">
                  <c:v>174.83845590826337</c:v>
                </c:pt>
                <c:pt idx="258">
                  <c:v>174.75274134308933</c:v>
                </c:pt>
                <c:pt idx="259">
                  <c:v>174.66428446728148</c:v>
                </c:pt>
                <c:pt idx="260">
                  <c:v>174.57304118527017</c:v>
                </c:pt>
                <c:pt idx="261">
                  <c:v>174.47896612352687</c:v>
                </c:pt>
                <c:pt idx="262">
                  <c:v>174.38201262034127</c:v>
                </c:pt>
                <c:pt idx="263">
                  <c:v>174.28213271587262</c:v>
                </c:pt>
                <c:pt idx="264">
                  <c:v>174.17927714253256</c:v>
                </c:pt>
                <c:pt idx="265">
                  <c:v>174.0733953157621</c:v>
                </c:pt>
                <c:pt idx="266">
                  <c:v>173.96443532526945</c:v>
                </c:pt>
                <c:pt idx="267">
                  <c:v>173.85234392679939</c:v>
                </c:pt>
                <c:pt idx="268">
                  <c:v>173.73706653451134</c:v>
                </c:pt>
                <c:pt idx="269">
                  <c:v>173.61854721404703</c:v>
                </c:pt>
                <c:pt idx="270">
                  <c:v>173.49672867637543</c:v>
                </c:pt>
                <c:pt idx="271">
                  <c:v>173.37155227250705</c:v>
                </c:pt>
                <c:pt idx="272">
                  <c:v>173.24295798917814</c:v>
                </c:pt>
                <c:pt idx="273">
                  <c:v>173.11088444560858</c:v>
                </c:pt>
                <c:pt idx="274">
                  <c:v>172.97526889144837</c:v>
                </c:pt>
                <c:pt idx="275">
                  <c:v>172.83604720602932</c:v>
                </c:pt>
                <c:pt idx="276">
                  <c:v>172.69315389905222</c:v>
                </c:pt>
                <c:pt idx="277">
                  <c:v>172.54652211284247</c:v>
                </c:pt>
                <c:pt idx="278">
                  <c:v>172.39608362631813</c:v>
                </c:pt>
                <c:pt idx="279">
                  <c:v>172.2417688608225</c:v>
                </c:pt>
                <c:pt idx="280">
                  <c:v>172.08350688798109</c:v>
                </c:pt>
                <c:pt idx="281">
                  <c:v>171.92122543975483</c:v>
                </c:pt>
                <c:pt idx="282">
                  <c:v>171.75485092086663</c:v>
                </c:pt>
                <c:pt idx="283">
                  <c:v>171.58430842379377</c:v>
                </c:pt>
                <c:pt idx="284">
                  <c:v>171.40952174652341</c:v>
                </c:pt>
                <c:pt idx="285">
                  <c:v>171.23041341328377</c:v>
                </c:pt>
                <c:pt idx="286">
                  <c:v>171.04690469847054</c:v>
                </c:pt>
                <c:pt idx="287">
                  <c:v>170.85891565400169</c:v>
                </c:pt>
                <c:pt idx="288">
                  <c:v>170.66636514034445</c:v>
                </c:pt>
                <c:pt idx="289">
                  <c:v>170.46917086146786</c:v>
                </c:pt>
                <c:pt idx="290">
                  <c:v>170.26724940398921</c:v>
                </c:pt>
                <c:pt idx="291">
                  <c:v>170.06051628079032</c:v>
                </c:pt>
                <c:pt idx="292">
                  <c:v>169.84888597939408</c:v>
                </c:pt>
                <c:pt idx="293">
                  <c:v>169.63227201540116</c:v>
                </c:pt>
                <c:pt idx="294">
                  <c:v>169.41058699129806</c:v>
                </c:pt>
                <c:pt idx="295">
                  <c:v>169.18374266096083</c:v>
                </c:pt>
                <c:pt idx="296">
                  <c:v>168.95165000018255</c:v>
                </c:pt>
                <c:pt idx="297">
                  <c:v>168.71421928357202</c:v>
                </c:pt>
                <c:pt idx="298">
                  <c:v>168.47136016816998</c:v>
                </c:pt>
                <c:pt idx="299">
                  <c:v>168.22298178414366</c:v>
                </c:pt>
                <c:pt idx="300">
                  <c:v>167.96899283292498</c:v>
                </c:pt>
                <c:pt idx="301">
                  <c:v>167.70930169316213</c:v>
                </c:pt>
                <c:pt idx="302">
                  <c:v>167.44381653486025</c:v>
                </c:pt>
                <c:pt idx="303">
                  <c:v>167.17244544208577</c:v>
                </c:pt>
                <c:pt idx="304">
                  <c:v>166.8950965446125</c:v>
                </c:pt>
                <c:pt idx="305">
                  <c:v>166.61167815888109</c:v>
                </c:pt>
                <c:pt idx="306">
                  <c:v>166.32209893864044</c:v>
                </c:pt>
                <c:pt idx="307">
                  <c:v>166.02626803563078</c:v>
                </c:pt>
                <c:pt idx="308">
                  <c:v>165.72409527065489</c:v>
                </c:pt>
                <c:pt idx="309">
                  <c:v>165.41549131536985</c:v>
                </c:pt>
                <c:pt idx="310">
                  <c:v>165.10036788510993</c:v>
                </c:pt>
                <c:pt idx="311">
                  <c:v>164.77863794302851</c:v>
                </c:pt>
                <c:pt idx="312">
                  <c:v>164.45021591581425</c:v>
                </c:pt>
                <c:pt idx="313">
                  <c:v>164.11501792120544</c:v>
                </c:pt>
                <c:pt idx="314">
                  <c:v>163.77296200748077</c:v>
                </c:pt>
                <c:pt idx="315">
                  <c:v>163.42396840505981</c:v>
                </c:pt>
                <c:pt idx="316">
                  <c:v>163.06795979029417</c:v>
                </c:pt>
                <c:pt idx="317">
                  <c:v>162.70486156146089</c:v>
                </c:pt>
                <c:pt idx="318">
                  <c:v>162.3346021269117</c:v>
                </c:pt>
                <c:pt idx="319">
                  <c:v>161.95711320524356</c:v>
                </c:pt>
                <c:pt idx="320">
                  <c:v>161.57233013727958</c:v>
                </c:pt>
                <c:pt idx="321">
                  <c:v>161.18019220954866</c:v>
                </c:pt>
                <c:pt idx="322">
                  <c:v>160.78064298885613</c:v>
                </c:pt>
                <c:pt idx="323">
                  <c:v>160.37363066742142</c:v>
                </c:pt>
                <c:pt idx="324">
                  <c:v>159.95910841794174</c:v>
                </c:pt>
                <c:pt idx="325">
                  <c:v>159.5370347578145</c:v>
                </c:pt>
                <c:pt idx="326">
                  <c:v>159.10737392161283</c:v>
                </c:pt>
                <c:pt idx="327">
                  <c:v>158.67009624076175</c:v>
                </c:pt>
                <c:pt idx="328">
                  <c:v>158.2251785292238</c:v>
                </c:pt>
                <c:pt idx="329">
                  <c:v>157.77260447382841</c:v>
                </c:pt>
                <c:pt idx="330">
                  <c:v>157.31236502773675</c:v>
                </c:pt>
                <c:pt idx="331">
                  <c:v>156.84445880535318</c:v>
                </c:pt>
                <c:pt idx="332">
                  <c:v>156.3688924768359</c:v>
                </c:pt>
                <c:pt idx="333">
                  <c:v>155.88568116018504</c:v>
                </c:pt>
                <c:pt idx="334">
                  <c:v>155.39484880872837</c:v>
                </c:pt>
                <c:pt idx="335">
                  <c:v>154.89642859165056</c:v>
                </c:pt>
                <c:pt idx="336">
                  <c:v>154.39046326506809</c:v>
                </c:pt>
                <c:pt idx="337">
                  <c:v>153.87700553099307</c:v>
                </c:pt>
                <c:pt idx="338">
                  <c:v>153.35611838140261</c:v>
                </c:pt>
                <c:pt idx="339">
                  <c:v>152.82787542450285</c:v>
                </c:pt>
                <c:pt idx="340">
                  <c:v>152.29236119018384</c:v>
                </c:pt>
                <c:pt idx="341">
                  <c:v>151.74967141156716</c:v>
                </c:pt>
                <c:pt idx="342">
                  <c:v>151.19991327950711</c:v>
                </c:pt>
                <c:pt idx="343">
                  <c:v>150.64320566686786</c:v>
                </c:pt>
                <c:pt idx="344">
                  <c:v>150.07967931940925</c:v>
                </c:pt>
                <c:pt idx="345">
                  <c:v>149.50947701014582</c:v>
                </c:pt>
                <c:pt idx="346">
                  <c:v>148.9327536541272</c:v>
                </c:pt>
                <c:pt idx="347">
                  <c:v>148.34967638069458</c:v>
                </c:pt>
                <c:pt idx="348">
                  <c:v>147.76042456042714</c:v>
                </c:pt>
                <c:pt idx="349">
                  <c:v>147.16518978419344</c:v>
                </c:pt>
                <c:pt idx="350">
                  <c:v>146.56417579195951</c:v>
                </c:pt>
                <c:pt idx="351">
                  <c:v>145.95759834929396</c:v>
                </c:pt>
                <c:pt idx="352">
                  <c:v>145.34568506983859</c:v>
                </c:pt>
                <c:pt idx="353">
                  <c:v>144.72867518237962</c:v>
                </c:pt>
                <c:pt idx="354">
                  <c:v>144.10681924156009</c:v>
                </c:pt>
                <c:pt idx="355">
                  <c:v>143.48037878172278</c:v>
                </c:pt>
                <c:pt idx="356">
                  <c:v>142.84962591383371</c:v>
                </c:pt>
                <c:pt idx="357">
                  <c:v>142.21484286594526</c:v>
                </c:pt>
                <c:pt idx="358">
                  <c:v>141.57632146816655</c:v>
                </c:pt>
                <c:pt idx="359">
                  <c:v>140.934362583639</c:v>
                </c:pt>
                <c:pt idx="360">
                  <c:v>140.2892754875509</c:v>
                </c:pt>
                <c:pt idx="361">
                  <c:v>139.64137719675429</c:v>
                </c:pt>
                <c:pt idx="362">
                  <c:v>138.99099175306569</c:v>
                </c:pt>
                <c:pt idx="363">
                  <c:v>138.33844946382933</c:v>
                </c:pt>
                <c:pt idx="364">
                  <c:v>137.68408610380325</c:v>
                </c:pt>
                <c:pt idx="365">
                  <c:v>137.0282420828517</c:v>
                </c:pt>
                <c:pt idx="366">
                  <c:v>136.37126158432193</c:v>
                </c:pt>
                <c:pt idx="367">
                  <c:v>135.71349167933309</c:v>
                </c:pt>
                <c:pt idx="368">
                  <c:v>135.0552814224699</c:v>
                </c:pt>
                <c:pt idx="369">
                  <c:v>134.39698093461436</c:v>
                </c:pt>
                <c:pt idx="370">
                  <c:v>133.73894047878215</c:v>
                </c:pt>
                <c:pt idx="371">
                  <c:v>133.0815095349347</c:v>
                </c:pt>
                <c:pt idx="372">
                  <c:v>132.4250358797261</c:v>
                </c:pt>
                <c:pt idx="373">
                  <c:v>131.76986467711035</c:v>
                </c:pt>
                <c:pt idx="374">
                  <c:v>131.11633758558381</c:v>
                </c:pt>
                <c:pt idx="375">
                  <c:v>130.46479188765164</c:v>
                </c:pt>
                <c:pt idx="376">
                  <c:v>129.81555964684139</c:v>
                </c:pt>
                <c:pt idx="377">
                  <c:v>129.16896689726403</c:v>
                </c:pt>
                <c:pt idx="378">
                  <c:v>128.52533287035416</c:v>
                </c:pt>
                <c:pt idx="379">
                  <c:v>127.88496926298996</c:v>
                </c:pt>
                <c:pt idx="380">
                  <c:v>127.24817955074414</c:v>
                </c:pt>
                <c:pt idx="381">
                  <c:v>126.61525834952091</c:v>
                </c:pt>
                <c:pt idx="382">
                  <c:v>125.9864908283167</c:v>
                </c:pt>
                <c:pt idx="383">
                  <c:v>125.36215217532643</c:v>
                </c:pt>
                <c:pt idx="384">
                  <c:v>124.74250711906843</c:v>
                </c:pt>
                <c:pt idx="385">
                  <c:v>124.12780950568359</c:v>
                </c:pt>
                <c:pt idx="386">
                  <c:v>123.5183019330336</c:v>
                </c:pt>
                <c:pt idx="387">
                  <c:v>122.91421544172265</c:v>
                </c:pt>
                <c:pt idx="388">
                  <c:v>122.31576926268635</c:v>
                </c:pt>
                <c:pt idx="389">
                  <c:v>121.72317062053612</c:v>
                </c:pt>
                <c:pt idx="390">
                  <c:v>121.13661459142806</c:v>
                </c:pt>
                <c:pt idx="391">
                  <c:v>120.55628401385141</c:v>
                </c:pt>
                <c:pt idx="392">
                  <c:v>119.98234945037399</c:v>
                </c:pt>
                <c:pt idx="393">
                  <c:v>119.41496919809927</c:v>
                </c:pt>
                <c:pt idx="394">
                  <c:v>118.85428934532084</c:v>
                </c:pt>
                <c:pt idx="395">
                  <c:v>118.30044387165373</c:v>
                </c:pt>
                <c:pt idx="396">
                  <c:v>117.75355478874511</c:v>
                </c:pt>
                <c:pt idx="397">
                  <c:v>117.21373231854638</c:v>
                </c:pt>
                <c:pt idx="398">
                  <c:v>116.68107510603409</c:v>
                </c:pt>
                <c:pt idx="399">
                  <c:v>116.15567046321739</c:v>
                </c:pt>
                <c:pt idx="400">
                  <c:v>115.63759464125955</c:v>
                </c:pt>
                <c:pt idx="401">
                  <c:v>115.12691312754777</c:v>
                </c:pt>
                <c:pt idx="402">
                  <c:v>114.62368096460676</c:v>
                </c:pt>
                <c:pt idx="403">
                  <c:v>114.12794308781066</c:v>
                </c:pt>
                <c:pt idx="404">
                  <c:v>113.63973467894854</c:v>
                </c:pt>
                <c:pt idx="405">
                  <c:v>113.15908153281657</c:v>
                </c:pt>
                <c:pt idx="406">
                  <c:v>112.68600043413355</c:v>
                </c:pt>
                <c:pt idx="407">
                  <c:v>112.22049954222631</c:v>
                </c:pt>
                <c:pt idx="408">
                  <c:v>111.76257878108065</c:v>
                </c:pt>
                <c:pt idx="409">
                  <c:v>111.31223023251773</c:v>
                </c:pt>
                <c:pt idx="410">
                  <c:v>110.86943853041896</c:v>
                </c:pt>
                <c:pt idx="411">
                  <c:v>110.43418125409134</c:v>
                </c:pt>
                <c:pt idx="412">
                  <c:v>110.00642931903299</c:v>
                </c:pt>
                <c:pt idx="413">
                  <c:v>109.58614736352348</c:v>
                </c:pt>
                <c:pt idx="414">
                  <c:v>109.17329412963061</c:v>
                </c:pt>
                <c:pt idx="415">
                  <c:v>108.7678228373788</c:v>
                </c:pt>
                <c:pt idx="416">
                  <c:v>108.369681550979</c:v>
                </c:pt>
                <c:pt idx="417">
                  <c:v>107.97881353616935</c:v>
                </c:pt>
                <c:pt idx="418">
                  <c:v>107.59515760784775</c:v>
                </c:pt>
                <c:pt idx="419">
                  <c:v>107.21864846731354</c:v>
                </c:pt>
                <c:pt idx="420">
                  <c:v>106.84921702855726</c:v>
                </c:pt>
                <c:pt idx="421">
                  <c:v>106.48679073314786</c:v>
                </c:pt>
                <c:pt idx="422">
                  <c:v>106.13129385337648</c:v>
                </c:pt>
                <c:pt idx="423">
                  <c:v>105.78264778340895</c:v>
                </c:pt>
                <c:pt idx="424">
                  <c:v>105.44077131828914</c:v>
                </c:pt>
                <c:pt idx="425">
                  <c:v>105.10558092071612</c:v>
                </c:pt>
                <c:pt idx="426">
                  <c:v>104.77699097558467</c:v>
                </c:pt>
                <c:pt idx="427">
                  <c:v>104.45491403235239</c:v>
                </c:pt>
                <c:pt idx="428">
                  <c:v>104.13926103534321</c:v>
                </c:pt>
                <c:pt idx="429">
                  <c:v>103.8299415421511</c:v>
                </c:pt>
                <c:pt idx="430">
                  <c:v>103.52686393035692</c:v>
                </c:pt>
                <c:pt idx="431">
                  <c:v>103.22993559279695</c:v>
                </c:pt>
                <c:pt idx="432">
                  <c:v>102.93906312166315</c:v>
                </c:pt>
                <c:pt idx="433">
                  <c:v>102.65415248173676</c:v>
                </c:pt>
                <c:pt idx="434">
                  <c:v>102.37510917308012</c:v>
                </c:pt>
                <c:pt idx="435">
                  <c:v>102.10183838352808</c:v>
                </c:pt>
                <c:pt idx="436">
                  <c:v>101.83424513133325</c:v>
                </c:pt>
                <c:pt idx="437">
                  <c:v>101.57223439833089</c:v>
                </c:pt>
                <c:pt idx="438">
                  <c:v>101.31571125399346</c:v>
                </c:pt>
                <c:pt idx="439">
                  <c:v>101.06458097074938</c:v>
                </c:pt>
                <c:pt idx="440">
                  <c:v>100.8187491309419</c:v>
                </c:pt>
                <c:pt idx="441">
                  <c:v>100.57812172580233</c:v>
                </c:pt>
                <c:pt idx="442">
                  <c:v>100.34260524680877</c:v>
                </c:pt>
                <c:pt idx="443">
                  <c:v>100.11210676979705</c:v>
                </c:pt>
                <c:pt idx="444">
                  <c:v>99.886534032183221</c:v>
                </c:pt>
                <c:pt idx="445">
                  <c:v>99.665795503651012</c:v>
                </c:pt>
                <c:pt idx="446">
                  <c:v>99.449800450648056</c:v>
                </c:pt>
                <c:pt idx="447">
                  <c:v>99.238458995025255</c:v>
                </c:pt>
                <c:pt idx="448">
                  <c:v>99.031682167144893</c:v>
                </c:pt>
                <c:pt idx="449">
                  <c:v>98.829381953770323</c:v>
                </c:pt>
                <c:pt idx="450">
                  <c:v>98.631471341041404</c:v>
                </c:pt>
                <c:pt idx="451">
                  <c:v>98.437864352827219</c:v>
                </c:pt>
                <c:pt idx="452">
                  <c:v>98.248476084736808</c:v>
                </c:pt>
                <c:pt idx="453">
                  <c:v>98.063222734056339</c:v>
                </c:pt>
                <c:pt idx="454">
                  <c:v>97.882021625871147</c:v>
                </c:pt>
                <c:pt idx="455">
                  <c:v>97.704791235617805</c:v>
                </c:pt>
                <c:pt idx="456">
                  <c:v>97.531451208302002</c:v>
                </c:pt>
                <c:pt idx="457">
                  <c:v>97.361922374604717</c:v>
                </c:pt>
                <c:pt idx="458">
                  <c:v>97.196126764090678</c:v>
                </c:pt>
                <c:pt idx="459">
                  <c:v>97.033987615719923</c:v>
                </c:pt>
                <c:pt idx="460">
                  <c:v>96.875429385855284</c:v>
                </c:pt>
                <c:pt idx="461">
                  <c:v>96.720377753946622</c:v>
                </c:pt>
                <c:pt idx="462">
                  <c:v>96.568759626063979</c:v>
                </c:pt>
                <c:pt idx="463">
                  <c:v>96.420503136441994</c:v>
                </c:pt>
                <c:pt idx="464">
                  <c:v>96.27553764718877</c:v>
                </c:pt>
                <c:pt idx="465">
                  <c:v>96.133793746304477</c:v>
                </c:pt>
                <c:pt idx="466">
                  <c:v>95.995203244144435</c:v>
                </c:pt>
                <c:pt idx="467">
                  <c:v>95.859699168456899</c:v>
                </c:pt>
                <c:pt idx="468">
                  <c:v>95.727215758114113</c:v>
                </c:pt>
                <c:pt idx="469">
                  <c:v>95.597688455651195</c:v>
                </c:pt>
                <c:pt idx="470">
                  <c:v>95.471053898718395</c:v>
                </c:pt>
                <c:pt idx="471">
                  <c:v>95.347249910546211</c:v>
                </c:pt>
                <c:pt idx="472">
                  <c:v>95.226215489517429</c:v>
                </c:pt>
                <c:pt idx="473">
                  <c:v>95.107890797932086</c:v>
                </c:pt>
                <c:pt idx="474">
                  <c:v>94.99221715004785</c:v>
                </c:pt>
                <c:pt idx="475">
                  <c:v>94.879136999471541</c:v>
                </c:pt>
                <c:pt idx="476">
                  <c:v>94.768593925973121</c:v>
                </c:pt>
                <c:pt idx="477">
                  <c:v>94.660532621787738</c:v>
                </c:pt>
                <c:pt idx="478">
                  <c:v>94.554898877468375</c:v>
                </c:pt>
                <c:pt idx="479">
                  <c:v>94.451639567345694</c:v>
                </c:pt>
                <c:pt idx="480">
                  <c:v>94.350702634648684</c:v>
                </c:pt>
                <c:pt idx="481">
                  <c:v>94.252037076335625</c:v>
                </c:pt>
                <c:pt idx="482">
                  <c:v>94.155592927681241</c:v>
                </c:pt>
                <c:pt idx="483">
                  <c:v>94.061321246662189</c:v>
                </c:pt>
                <c:pt idx="484">
                  <c:v>93.969174098180801</c:v>
                </c:pt>
                <c:pt idx="485">
                  <c:v>93.879104538162721</c:v>
                </c:pt>
                <c:pt idx="486">
                  <c:v>93.791066597562718</c:v>
                </c:pt>
                <c:pt idx="487">
                  <c:v>93.705015266308735</c:v>
                </c:pt>
                <c:pt idx="488">
                  <c:v>93.62090647721341</c:v>
                </c:pt>
                <c:pt idx="489">
                  <c:v>93.53869708987834</c:v>
                </c:pt>
                <c:pt idx="490">
                  <c:v>93.458344874616131</c:v>
                </c:pt>
                <c:pt idx="491">
                  <c:v>93.379808496411002</c:v>
                </c:pt>
                <c:pt idx="492">
                  <c:v>93.303047498938838</c:v>
                </c:pt>
                <c:pt idx="493">
                  <c:v>93.228022288664789</c:v>
                </c:pt>
                <c:pt idx="494">
                  <c:v>93.154694119034886</c:v>
                </c:pt>
                <c:pt idx="495">
                  <c:v>93.083025074776856</c:v>
                </c:pt>
                <c:pt idx="496">
                  <c:v>93.012978056324016</c:v>
                </c:pt>
                <c:pt idx="497">
                  <c:v>92.944516764374313</c:v>
                </c:pt>
                <c:pt idx="498">
                  <c:v>92.877605684595949</c:v>
                </c:pt>
                <c:pt idx="499">
                  <c:v>92.812210072489236</c:v>
                </c:pt>
                <c:pt idx="500">
                  <c:v>92.74829593841369</c:v>
                </c:pt>
                <c:pt idx="501">
                  <c:v>92.68583003278863</c:v>
                </c:pt>
                <c:pt idx="502">
                  <c:v>92.624779831473248</c:v>
                </c:pt>
                <c:pt idx="503">
                  <c:v>92.565113521333529</c:v>
                </c:pt>
                <c:pt idx="504">
                  <c:v>92.50679998600053</c:v>
                </c:pt>
                <c:pt idx="505">
                  <c:v>92.449808791824708</c:v>
                </c:pt>
                <c:pt idx="506">
                  <c:v>92.394110174030388</c:v>
                </c:pt>
                <c:pt idx="507">
                  <c:v>92.339675023073625</c:v>
                </c:pt>
                <c:pt idx="508">
                  <c:v>92.286474871205826</c:v>
                </c:pt>
                <c:pt idx="509">
                  <c:v>92.234481879245934</c:v>
                </c:pt>
                <c:pt idx="510">
                  <c:v>92.183668823562201</c:v>
                </c:pt>
                <c:pt idx="511">
                  <c:v>92.134009083265042</c:v>
                </c:pt>
                <c:pt idx="512">
                  <c:v>92.085476627611882</c:v>
                </c:pt>
                <c:pt idx="513">
                  <c:v>92.038046003624203</c:v>
                </c:pt>
                <c:pt idx="514">
                  <c:v>91.991692323916766</c:v>
                </c:pt>
                <c:pt idx="515">
                  <c:v>91.946391254739297</c:v>
                </c:pt>
                <c:pt idx="516">
                  <c:v>91.902119004229448</c:v>
                </c:pt>
                <c:pt idx="517">
                  <c:v>91.858852310876429</c:v>
                </c:pt>
                <c:pt idx="518">
                  <c:v>91.816568432194487</c:v>
                </c:pt>
                <c:pt idx="519">
                  <c:v>91.775245133604685</c:v>
                </c:pt>
                <c:pt idx="520">
                  <c:v>91.734860677523585</c:v>
                </c:pt>
                <c:pt idx="521">
                  <c:v>91.695393812657088</c:v>
                </c:pt>
                <c:pt idx="522">
                  <c:v>91.65682376349794</c:v>
                </c:pt>
                <c:pt idx="523">
                  <c:v>91.619130220024473</c:v>
                </c:pt>
                <c:pt idx="524">
                  <c:v>91.582293327598663</c:v>
                </c:pt>
                <c:pt idx="525">
                  <c:v>91.546293677061612</c:v>
                </c:pt>
                <c:pt idx="526">
                  <c:v>91.51111229502358</c:v>
                </c:pt>
                <c:pt idx="527">
                  <c:v>91.476730634346609</c:v>
                </c:pt>
                <c:pt idx="528">
                  <c:v>91.443130564816997</c:v>
                </c:pt>
                <c:pt idx="529">
                  <c:v>91.410294364005097</c:v>
                </c:pt>
                <c:pt idx="530">
                  <c:v>91.378204708310136</c:v>
                </c:pt>
                <c:pt idx="531">
                  <c:v>91.346844664186861</c:v>
                </c:pt>
                <c:pt idx="532">
                  <c:v>91.316197679551664</c:v>
                </c:pt>
                <c:pt idx="533">
                  <c:v>91.28624757536555</c:v>
                </c:pt>
                <c:pt idx="534">
                  <c:v>91.256978537390822</c:v>
                </c:pt>
                <c:pt idx="535">
                  <c:v>91.228375108118883</c:v>
                </c:pt>
                <c:pt idx="536">
                  <c:v>91.200422178866475</c:v>
                </c:pt>
                <c:pt idx="537">
                  <c:v>91.173104982037373</c:v>
                </c:pt>
                <c:pt idx="538">
                  <c:v>91.146409083546828</c:v>
                </c:pt>
                <c:pt idx="539">
                  <c:v>91.120320375405711</c:v>
                </c:pt>
                <c:pt idx="540">
                  <c:v>91.094825068462129</c:v>
                </c:pt>
                <c:pt idx="541">
                  <c:v>91.069909685296906</c:v>
                </c:pt>
              </c:numCache>
            </c:numRef>
          </c:yVal>
          <c:smooth val="1"/>
          <c:extLst>
            <c:ext xmlns:c16="http://schemas.microsoft.com/office/drawing/2014/chart" uri="{C3380CC4-5D6E-409C-BE32-E72D297353CC}">
              <c16:uniqueId val="{00000001-4F4B-43C9-BE46-3F56EC7D1C25}"/>
            </c:ext>
          </c:extLst>
        </c:ser>
        <c:dLbls>
          <c:showLegendKey val="0"/>
          <c:showVal val="0"/>
          <c:showCatName val="0"/>
          <c:showSerName val="0"/>
          <c:showPercent val="0"/>
          <c:showBubbleSize val="0"/>
        </c:dLbls>
        <c:axId val="384260736"/>
        <c:axId val="384259200"/>
      </c:scatterChart>
      <c:valAx>
        <c:axId val="384242816"/>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84244736"/>
        <c:crosses val="autoZero"/>
        <c:crossBetween val="midCat"/>
      </c:valAx>
      <c:valAx>
        <c:axId val="384244736"/>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84242816"/>
        <c:crosses val="autoZero"/>
        <c:crossBetween val="midCat"/>
        <c:majorUnit val="20"/>
        <c:minorUnit val="10"/>
      </c:valAx>
      <c:valAx>
        <c:axId val="384259200"/>
        <c:scaling>
          <c:orientation val="minMax"/>
          <c:max val="180"/>
          <c:min val="-180"/>
        </c:scaling>
        <c:delete val="0"/>
        <c:axPos val="r"/>
        <c:numFmt formatCode="General" sourceLinked="1"/>
        <c:majorTickMark val="out"/>
        <c:minorTickMark val="none"/>
        <c:tickLblPos val="nextTo"/>
        <c:crossAx val="384260736"/>
        <c:crosses val="max"/>
        <c:crossBetween val="midCat"/>
        <c:majorUnit val="90"/>
        <c:minorUnit val="45"/>
      </c:valAx>
      <c:valAx>
        <c:axId val="384260736"/>
        <c:scaling>
          <c:logBase val="10"/>
          <c:orientation val="minMax"/>
        </c:scaling>
        <c:delete val="1"/>
        <c:axPos val="b"/>
        <c:numFmt formatCode="0.00" sourceLinked="1"/>
        <c:majorTickMark val="out"/>
        <c:minorTickMark val="none"/>
        <c:tickLblPos val="nextTo"/>
        <c:crossAx val="384259200"/>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Control Loop Transfer Function</a:t>
            </a:r>
          </a:p>
        </c:rich>
      </c:tx>
      <c:overlay val="0"/>
    </c:title>
    <c:autoTitleDeleted val="0"/>
    <c:plotArea>
      <c:layout/>
      <c:scatterChart>
        <c:scatterStyle val="smoothMarker"/>
        <c:varyColors val="0"/>
        <c:ser>
          <c:idx val="0"/>
          <c:order val="0"/>
          <c:tx>
            <c:v>Gain (dB)</c:v>
          </c:tx>
          <c:spPr>
            <a:ln w="38100">
              <a:solidFill>
                <a:srgbClr val="FF0000"/>
              </a:solidFill>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CCM_Loop_Modeling_non_isolated!$AT$19:$AT$560</c:f>
              <c:numCache>
                <c:formatCode>0.000</c:formatCode>
                <c:ptCount val="542"/>
                <c:pt idx="0">
                  <c:v>50.684628142326332</c:v>
                </c:pt>
                <c:pt idx="1">
                  <c:v>50.31266110447546</c:v>
                </c:pt>
                <c:pt idx="2">
                  <c:v>49.940279764623874</c:v>
                </c:pt>
                <c:pt idx="3">
                  <c:v>49.567529782911393</c:v>
                </c:pt>
                <c:pt idx="4">
                  <c:v>49.194456631693562</c:v>
                </c:pt>
                <c:pt idx="5">
                  <c:v>48.82110561350261</c:v>
                </c:pt>
                <c:pt idx="6">
                  <c:v>48.447521880908688</c:v>
                </c:pt>
                <c:pt idx="7">
                  <c:v>48.073750458015553</c:v>
                </c:pt>
                <c:pt idx="8">
                  <c:v>47.699836263325388</c:v>
                </c:pt>
                <c:pt idx="9">
                  <c:v>47.325824133707322</c:v>
                </c:pt>
                <c:pt idx="10">
                  <c:v>46.951758849205014</c:v>
                </c:pt>
                <c:pt idx="11">
                  <c:v>46.577685158416216</c:v>
                </c:pt>
                <c:pt idx="12">
                  <c:v>46.203647804182133</c:v>
                </c:pt>
                <c:pt idx="13">
                  <c:v>45.82969154932016</c:v>
                </c:pt>
                <c:pt idx="14">
                  <c:v>45.455861202134116</c:v>
                </c:pt>
                <c:pt idx="15">
                  <c:v>45.082201641439887</c:v>
                </c:pt>
                <c:pt idx="16">
                  <c:v>44.708757840839503</c:v>
                </c:pt>
                <c:pt idx="17">
                  <c:v>44.335574891977394</c:v>
                </c:pt>
                <c:pt idx="18">
                  <c:v>43.962698026516733</c:v>
                </c:pt>
                <c:pt idx="19">
                  <c:v>43.590172636566528</c:v>
                </c:pt>
                <c:pt idx="20">
                  <c:v>43.218044293297346</c:v>
                </c:pt>
                <c:pt idx="21">
                  <c:v>42.846358763477603</c:v>
                </c:pt>
                <c:pt idx="22">
                  <c:v>42.475162023669384</c:v>
                </c:pt>
                <c:pt idx="23">
                  <c:v>42.104500271818154</c:v>
                </c:pt>
                <c:pt idx="24">
                  <c:v>41.734419935979794</c:v>
                </c:pt>
                <c:pt idx="25">
                  <c:v>41.36496767992324</c:v>
                </c:pt>
                <c:pt idx="26">
                  <c:v>40.996190405360821</c:v>
                </c:pt>
                <c:pt idx="27">
                  <c:v>40.628135250556696</c:v>
                </c:pt>
                <c:pt idx="28">
                  <c:v>40.260849585074595</c:v>
                </c:pt>
                <c:pt idx="29">
                  <c:v>39.894381000435672</c:v>
                </c:pt>
                <c:pt idx="30">
                  <c:v>39.528777296467062</c:v>
                </c:pt>
                <c:pt idx="31">
                  <c:v>39.164086463135533</c:v>
                </c:pt>
                <c:pt idx="32">
                  <c:v>38.800356657679032</c:v>
                </c:pt>
                <c:pt idx="33">
                  <c:v>38.437636176863002</c:v>
                </c:pt>
                <c:pt idx="34">
                  <c:v>38.075973424215007</c:v>
                </c:pt>
                <c:pt idx="35">
                  <c:v>37.715416872112833</c:v>
                </c:pt>
                <c:pt idx="36">
                  <c:v>37.356015018628483</c:v>
                </c:pt>
                <c:pt idx="37">
                  <c:v>36.997816339064343</c:v>
                </c:pt>
                <c:pt idx="38">
                  <c:v>36.640869232148411</c:v>
                </c:pt>
                <c:pt idx="39">
                  <c:v>36.285221960895782</c:v>
                </c:pt>
                <c:pt idx="40">
                  <c:v>35.930922588181154</c:v>
                </c:pt>
                <c:pt idx="41">
                  <c:v>35.578018907113787</c:v>
                </c:pt>
                <c:pt idx="42">
                  <c:v>35.22655836634933</c:v>
                </c:pt>
                <c:pt idx="43">
                  <c:v>34.876587990523959</c:v>
                </c:pt>
                <c:pt idx="44">
                  <c:v>34.528154296044733</c:v>
                </c:pt>
                <c:pt idx="45">
                  <c:v>34.181303202524688</c:v>
                </c:pt>
                <c:pt idx="46">
                  <c:v>33.836079940202119</c:v>
                </c:pt>
                <c:pt idx="47">
                  <c:v>33.492528953739154</c:v>
                </c:pt>
                <c:pt idx="48">
                  <c:v>33.150693802846178</c:v>
                </c:pt>
                <c:pt idx="49">
                  <c:v>32.810617060233476</c:v>
                </c:pt>
                <c:pt idx="50">
                  <c:v>32.472340207439395</c:v>
                </c:pt>
                <c:pt idx="51">
                  <c:v>32.135903529134346</c:v>
                </c:pt>
                <c:pt idx="52">
                  <c:v>31.801346006542886</c:v>
                </c:pt>
                <c:pt idx="53">
                  <c:v>31.468705210665963</c:v>
                </c:pt>
                <c:pt idx="54">
                  <c:v>31.13801719602067</c:v>
                </c:pt>
                <c:pt idx="55">
                  <c:v>30.809316395642025</c:v>
                </c:pt>
                <c:pt idx="56">
                  <c:v>30.482635518111874</c:v>
                </c:pt>
                <c:pt idx="57">
                  <c:v>30.158005447394473</c:v>
                </c:pt>
                <c:pt idx="58">
                  <c:v>29.835455146262827</c:v>
                </c:pt>
                <c:pt idx="59">
                  <c:v>29.51501156409374</c:v>
                </c:pt>
                <c:pt idx="60">
                  <c:v>29.196699549798844</c:v>
                </c:pt>
                <c:pt idx="61">
                  <c:v>28.880541770633791</c:v>
                </c:pt>
                <c:pt idx="62">
                  <c:v>28.566558637594774</c:v>
                </c:pt>
                <c:pt idx="63">
                  <c:v>28.254768238071776</c:v>
                </c:pt>
                <c:pt idx="64">
                  <c:v>27.94518627637283</c:v>
                </c:pt>
                <c:pt idx="65">
                  <c:v>27.637826022676055</c:v>
                </c:pt>
                <c:pt idx="66">
                  <c:v>27.332698270899019</c:v>
                </c:pt>
                <c:pt idx="67">
                  <c:v>27.029811305895368</c:v>
                </c:pt>
                <c:pt idx="68">
                  <c:v>26.729170880313045</c:v>
                </c:pt>
                <c:pt idx="69">
                  <c:v>26.430780201358061</c:v>
                </c:pt>
                <c:pt idx="70">
                  <c:v>26.134639927618419</c:v>
                </c:pt>
                <c:pt idx="71">
                  <c:v>25.840748176014642</c:v>
                </c:pt>
                <c:pt idx="72">
                  <c:v>25.549100538842154</c:v>
                </c:pt>
                <c:pt idx="73">
                  <c:v>25.259690110788355</c:v>
                </c:pt>
                <c:pt idx="74">
                  <c:v>24.97250752570703</c:v>
                </c:pt>
                <c:pt idx="75">
                  <c:v>24.687541002852221</c:v>
                </c:pt>
                <c:pt idx="76">
                  <c:v>24.404776402187373</c:v>
                </c:pt>
                <c:pt idx="77">
                  <c:v>24.124197288310398</c:v>
                </c:pt>
                <c:pt idx="78">
                  <c:v>23.845785002463927</c:v>
                </c:pt>
                <c:pt idx="79">
                  <c:v>23.569518742038753</c:v>
                </c:pt>
                <c:pt idx="80">
                  <c:v>23.295375646925631</c:v>
                </c:pt>
                <c:pt idx="81">
                  <c:v>23.023330892021264</c:v>
                </c:pt>
                <c:pt idx="82">
                  <c:v>22.753357785166664</c:v>
                </c:pt>
                <c:pt idx="83">
                  <c:v>22.48542786976207</c:v>
                </c:pt>
                <c:pt idx="84">
                  <c:v>22.219511031293031</c:v>
                </c:pt>
                <c:pt idx="85">
                  <c:v>21.955575606991104</c:v>
                </c:pt>
                <c:pt idx="86">
                  <c:v>21.693588497857252</c:v>
                </c:pt>
                <c:pt idx="87">
                  <c:v>21.43351528228624</c:v>
                </c:pt>
                <c:pt idx="88">
                  <c:v>21.175320330548079</c:v>
                </c:pt>
                <c:pt idx="89">
                  <c:v>20.918966919410622</c:v>
                </c:pt>
                <c:pt idx="90">
                  <c:v>20.664417346217899</c:v>
                </c:pt>
                <c:pt idx="91">
                  <c:v>20.411633041777254</c:v>
                </c:pt>
                <c:pt idx="92">
                  <c:v>20.160574681452104</c:v>
                </c:pt>
                <c:pt idx="93">
                  <c:v>19.911202293902548</c:v>
                </c:pt>
                <c:pt idx="94">
                  <c:v>19.663475366963855</c:v>
                </c:pt>
                <c:pt idx="95">
                  <c:v>19.417352950208965</c:v>
                </c:pt>
                <c:pt idx="96">
                  <c:v>19.172793753786863</c:v>
                </c:pt>
                <c:pt idx="97">
                  <c:v>18.929756243188315</c:v>
                </c:pt>
                <c:pt idx="98">
                  <c:v>18.688198729636291</c:v>
                </c:pt>
                <c:pt idx="99">
                  <c:v>18.448079455856572</c:v>
                </c:pt>
                <c:pt idx="100">
                  <c:v>18.209356677027287</c:v>
                </c:pt>
                <c:pt idx="101">
                  <c:v>17.971988736759279</c:v>
                </c:pt>
                <c:pt idx="102">
                  <c:v>17.735934138001202</c:v>
                </c:pt>
                <c:pt idx="103">
                  <c:v>17.501151608807067</c:v>
                </c:pt>
                <c:pt idx="104">
                  <c:v>17.26760016294304</c:v>
                </c:pt>
                <c:pt idx="105">
                  <c:v>17.035239155346162</c:v>
                </c:pt>
                <c:pt idx="106">
                  <c:v>16.804028332481469</c:v>
                </c:pt>
                <c:pt idx="107">
                  <c:v>16.57392787767191</c:v>
                </c:pt>
                <c:pt idx="108">
                  <c:v>16.344898451502022</c:v>
                </c:pt>
                <c:pt idx="109">
                  <c:v>16.116901227419223</c:v>
                </c:pt>
                <c:pt idx="110">
                  <c:v>15.889897922675459</c:v>
                </c:pt>
                <c:pt idx="111">
                  <c:v>15.663850824768419</c:v>
                </c:pt>
                <c:pt idx="112">
                  <c:v>15.43872281355371</c:v>
                </c:pt>
                <c:pt idx="113">
                  <c:v>15.214477379211296</c:v>
                </c:pt>
                <c:pt idx="114">
                  <c:v>14.991078636255729</c:v>
                </c:pt>
                <c:pt idx="115">
                  <c:v>14.768491333786976</c:v>
                </c:pt>
                <c:pt idx="116">
                  <c:v>14.546680862178537</c:v>
                </c:pt>
                <c:pt idx="117">
                  <c:v>14.325613256404949</c:v>
                </c:pt>
                <c:pt idx="118">
                  <c:v>14.105255196206459</c:v>
                </c:pt>
                <c:pt idx="119">
                  <c:v>13.885574003289276</c:v>
                </c:pt>
                <c:pt idx="120">
                  <c:v>13.666537635754711</c:v>
                </c:pt>
                <c:pt idx="121">
                  <c:v>13.448114679945398</c:v>
                </c:pt>
                <c:pt idx="122">
                  <c:v>13.230274339895177</c:v>
                </c:pt>
                <c:pt idx="123">
                  <c:v>13.012986424556487</c:v>
                </c:pt>
                <c:pt idx="124">
                  <c:v>12.796221332977902</c:v>
                </c:pt>
                <c:pt idx="125">
                  <c:v>12.579950037594603</c:v>
                </c:pt>
                <c:pt idx="126">
                  <c:v>12.36414406578556</c:v>
                </c:pt>
                <c:pt idx="127">
                  <c:v>12.148775479846268</c:v>
                </c:pt>
                <c:pt idx="128">
                  <c:v>11.933816855514852</c:v>
                </c:pt>
                <c:pt idx="129">
                  <c:v>11.719241259182811</c:v>
                </c:pt>
                <c:pt idx="130">
                  <c:v>11.505022223913755</c:v>
                </c:pt>
                <c:pt idx="131">
                  <c:v>11.291133724384146</c:v>
                </c:pt>
                <c:pt idx="132">
                  <c:v>11.07755015085427</c:v>
                </c:pt>
                <c:pt idx="133">
                  <c:v>10.864246282268965</c:v>
                </c:pt>
                <c:pt idx="134">
                  <c:v>10.651197258580716</c:v>
                </c:pt>
                <c:pt idx="135">
                  <c:v>10.438378552382119</c:v>
                </c:pt>
                <c:pt idx="136">
                  <c:v>10.225765939926667</c:v>
                </c:pt>
                <c:pt idx="137">
                  <c:v>10.013335471613253</c:v>
                </c:pt>
                <c:pt idx="138">
                  <c:v>9.8010634420018903</c:v>
                </c:pt>
                <c:pt idx="139">
                  <c:v>9.5889263594254306</c:v>
                </c:pt>
                <c:pt idx="140">
                  <c:v>9.3769009152569129</c:v>
                </c:pt>
                <c:pt idx="141">
                  <c:v>9.164963952888062</c:v>
                </c:pt>
                <c:pt idx="142">
                  <c:v>8.9530924364714224</c:v>
                </c:pt>
                <c:pt idx="143">
                  <c:v>8.7412634194761143</c:v>
                </c:pt>
                <c:pt idx="144">
                  <c:v>8.5294540131049388</c:v>
                </c:pt>
                <c:pt idx="145">
                  <c:v>8.317641354617928</c:v>
                </c:pt>
                <c:pt idx="146">
                  <c:v>8.1058025756084735</c:v>
                </c:pt>
                <c:pt idx="147">
                  <c:v>7.8939147702751802</c:v>
                </c:pt>
                <c:pt idx="148">
                  <c:v>7.6819549637343982</c:v>
                </c:pt>
                <c:pt idx="149">
                  <c:v>7.4699000804179807</c:v>
                </c:pt>
                <c:pt idx="150">
                  <c:v>7.2577269126030171</c:v>
                </c:pt>
                <c:pt idx="151">
                  <c:v>7.0454120891202043</c:v>
                </c:pt>
                <c:pt idx="152">
                  <c:v>6.8329320442918426</c:v>
                </c:pt>
                <c:pt idx="153">
                  <c:v>6.6202629871518104</c:v>
                </c:pt>
                <c:pt idx="154">
                  <c:v>6.4073808710036397</c:v>
                </c:pt>
                <c:pt idx="155">
                  <c:v>6.1942613633767145</c:v>
                </c:pt>
                <c:pt idx="156">
                  <c:v>5.9808798164456887</c:v>
                </c:pt>
                <c:pt idx="157">
                  <c:v>5.7672112379803098</c:v>
                </c:pt>
                <c:pt idx="158">
                  <c:v>5.5532302629036598</c:v>
                </c:pt>
                <c:pt idx="159">
                  <c:v>5.3389111255356392</c:v>
                </c:pt>
                <c:pt idx="160">
                  <c:v>5.1242276326113325</c:v>
                </c:pt>
                <c:pt idx="161">
                  <c:v>4.9091531371666566</c:v>
                </c:pt>
                <c:pt idx="162">
                  <c:v>4.6936605133909062</c:v>
                </c:pt>
                <c:pt idx="163">
                  <c:v>4.477722132556007</c:v>
                </c:pt>
                <c:pt idx="164">
                  <c:v>4.2613098401364455</c:v>
                </c:pt>
                <c:pt idx="165">
                  <c:v>4.0443949342445737</c:v>
                </c:pt>
                <c:pt idx="166">
                  <c:v>3.8269481455115137</c:v>
                </c:pt>
                <c:pt idx="167">
                  <c:v>3.6089396185541203</c:v>
                </c:pt>
                <c:pt idx="168">
                  <c:v>3.3903388951757893</c:v>
                </c:pt>
                <c:pt idx="169">
                  <c:v>3.1711148994556524</c:v>
                </c:pt>
                <c:pt idx="170">
                  <c:v>2.951235924890534</c:v>
                </c:pt>
                <c:pt idx="171">
                  <c:v>2.7306696237595682</c:v>
                </c:pt>
                <c:pt idx="172">
                  <c:v>2.5093829988887761</c:v>
                </c:pt>
                <c:pt idx="173">
                  <c:v>2.2873423980007273</c:v>
                </c:pt>
                <c:pt idx="174">
                  <c:v>2.0645135108355266</c:v>
                </c:pt>
                <c:pt idx="175">
                  <c:v>1.840861369239567</c:v>
                </c:pt>
                <c:pt idx="176">
                  <c:v>1.6163503504159569</c:v>
                </c:pt>
                <c:pt idx="177">
                  <c:v>1.3909441835373486</c:v>
                </c:pt>
                <c:pt idx="178">
                  <c:v>1.1646059599175824</c:v>
                </c:pt>
                <c:pt idx="179">
                  <c:v>0.93729814694138502</c:v>
                </c:pt>
                <c:pt idx="180">
                  <c:v>0.70898260594393547</c:v>
                </c:pt>
                <c:pt idx="181">
                  <c:v>0.47962061422985991</c:v>
                </c:pt>
                <c:pt idx="182">
                  <c:v>0.24917289140942817</c:v>
                </c:pt>
                <c:pt idx="183">
                  <c:v>1.7599630222823282E-2</c:v>
                </c:pt>
                <c:pt idx="184">
                  <c:v>-0.21513946799453337</c:v>
                </c:pt>
                <c:pt idx="185">
                  <c:v>-0.4490851530646694</c:v>
                </c:pt>
                <c:pt idx="186">
                  <c:v>-0.68427858082144355</c:v>
                </c:pt>
                <c:pt idx="187">
                  <c:v>-0.9207612629694204</c:v>
                </c:pt>
                <c:pt idx="188">
                  <c:v>-1.1585750118790559</c:v>
                </c:pt>
                <c:pt idx="189">
                  <c:v>-1.3977618802787948</c:v>
                </c:pt>
                <c:pt idx="190">
                  <c:v>-1.6383640958380339</c:v>
                </c:pt>
                <c:pt idx="191">
                  <c:v>-1.880423990673556</c:v>
                </c:pt>
                <c:pt idx="192">
                  <c:v>-2.1239839258474982</c:v>
                </c:pt>
                <c:pt idx="193">
                  <c:v>-2.3690862109735171</c:v>
                </c:pt>
                <c:pt idx="194">
                  <c:v>-2.6157730190898771</c:v>
                </c:pt>
                <c:pt idx="195">
                  <c:v>-2.8640862970065091</c:v>
                </c:pt>
                <c:pt idx="196">
                  <c:v>-3.1140676713862709</c:v>
                </c:pt>
                <c:pt idx="197">
                  <c:v>-3.3657583508681839</c:v>
                </c:pt>
                <c:pt idx="198">
                  <c:v>-3.619199024596806</c:v>
                </c:pt>
                <c:pt idx="199">
                  <c:v>-3.8744297575721869</c:v>
                </c:pt>
                <c:pt idx="200">
                  <c:v>-4.1314898832894524</c:v>
                </c:pt>
                <c:pt idx="201">
                  <c:v>-4.3904178941858945</c:v>
                </c:pt>
                <c:pt idx="202">
                  <c:v>-4.6512513304645866</c:v>
                </c:pt>
                <c:pt idx="203">
                  <c:v>-4.9140266679092512</c:v>
                </c:pt>
                <c:pt idx="204">
                  <c:v>-5.1787792053453874</c:v>
                </c:pt>
                <c:pt idx="205">
                  <c:v>-5.4455429524430619</c:v>
                </c:pt>
                <c:pt idx="206">
                  <c:v>-5.714350518585789</c:v>
                </c:pt>
                <c:pt idx="207">
                  <c:v>-5.9852330035570684</c:v>
                </c:pt>
                <c:pt idx="208">
                  <c:v>-6.25821989081249</c:v>
                </c:pt>
                <c:pt idx="209">
                  <c:v>-6.5333389441159548</c:v>
                </c:pt>
                <c:pt idx="210">
                  <c:v>-6.8106161083193033</c:v>
                </c:pt>
                <c:pt idx="211">
                  <c:v>-7.0900754150572016</c:v>
                </c:pt>
                <c:pt idx="212">
                  <c:v>-7.3717388941108855</c:v>
                </c:pt>
                <c:pt idx="213">
                  <c:v>-7.6556264911682117</c:v>
                </c:pt>
                <c:pt idx="214">
                  <c:v>-7.9417559926707266</c:v>
                </c:pt>
                <c:pt idx="215">
                  <c:v>-8.2301429583923404</c:v>
                </c:pt>
                <c:pt idx="216">
                  <c:v>-8.5208006623394326</c:v>
                </c:pt>
                <c:pt idx="217">
                  <c:v>-8.8137400424990808</c:v>
                </c:pt>
                <c:pt idx="218">
                  <c:v>-9.1089696598915424</c:v>
                </c:pt>
                <c:pt idx="219">
                  <c:v>-9.4064956673046574</c:v>
                </c:pt>
                <c:pt idx="220">
                  <c:v>-9.7063217880049972</c:v>
                </c:pt>
                <c:pt idx="221">
                  <c:v>-10.008449304634265</c:v>
                </c:pt>
                <c:pt idx="222">
                  <c:v>-10.312877058405785</c:v>
                </c:pt>
                <c:pt idx="223">
                  <c:v>-10.61960145862659</c:v>
                </c:pt>
                <c:pt idx="224">
                  <c:v>-10.928616502475432</c:v>
                </c:pt>
                <c:pt idx="225">
                  <c:v>-11.239913804876437</c:v>
                </c:pt>
                <c:pt idx="226">
                  <c:v>-11.553482638219849</c:v>
                </c:pt>
                <c:pt idx="227">
                  <c:v>-11.869309981592197</c:v>
                </c:pt>
                <c:pt idx="228">
                  <c:v>-12.187380579103539</c:v>
                </c:pt>
                <c:pt idx="229">
                  <c:v>-12.507677006821323</c:v>
                </c:pt>
                <c:pt idx="230">
                  <c:v>-12.830179747753805</c:v>
                </c:pt>
                <c:pt idx="231">
                  <c:v>-13.154867274271215</c:v>
                </c:pt>
                <c:pt idx="232">
                  <c:v>-13.481716137296306</c:v>
                </c:pt>
                <c:pt idx="233">
                  <c:v>-13.810701061563528</c:v>
                </c:pt>
                <c:pt idx="234">
                  <c:v>-14.141795046206383</c:v>
                </c:pt>
                <c:pt idx="235">
                  <c:v>-14.474969469917232</c:v>
                </c:pt>
                <c:pt idx="236">
                  <c:v>-14.810194199909372</c:v>
                </c:pt>
                <c:pt idx="237">
                  <c:v>-15.147437703907444</c:v>
                </c:pt>
                <c:pt idx="238">
                  <c:v>-15.486667164401027</c:v>
                </c:pt>
                <c:pt idx="239">
                  <c:v>-15.827848594407058</c:v>
                </c:pt>
                <c:pt idx="240">
                  <c:v>-16.170946954013466</c:v>
                </c:pt>
                <c:pt idx="241">
                  <c:v>-16.515926266999742</c:v>
                </c:pt>
                <c:pt idx="242">
                  <c:v>-16.862749736871553</c:v>
                </c:pt>
                <c:pt idx="243">
                  <c:v>-17.211379861680435</c:v>
                </c:pt>
                <c:pt idx="244">
                  <c:v>-17.561778547050324</c:v>
                </c:pt>
                <c:pt idx="245">
                  <c:v>-17.913907216875181</c:v>
                </c:pt>
                <c:pt idx="246">
                  <c:v>-18.267726921207007</c:v>
                </c:pt>
                <c:pt idx="247">
                  <c:v>-18.623198440903067</c:v>
                </c:pt>
                <c:pt idx="248">
                  <c:v>-18.980282388654672</c:v>
                </c:pt>
                <c:pt idx="249">
                  <c:v>-19.338939306074213</c:v>
                </c:pt>
                <c:pt idx="250">
                  <c:v>-19.699129756567114</c:v>
                </c:pt>
                <c:pt idx="251">
                  <c:v>-20.060814413769748</c:v>
                </c:pt>
                <c:pt idx="252">
                  <c:v>-20.423954145381384</c:v>
                </c:pt>
                <c:pt idx="253">
                  <c:v>-20.788510092265717</c:v>
                </c:pt>
                <c:pt idx="254">
                  <c:v>-21.154443742743346</c:v>
                </c:pt>
                <c:pt idx="255">
                  <c:v>-21.52171700203731</c:v>
                </c:pt>
                <c:pt idx="256">
                  <c:v>-21.890292256870833</c:v>
                </c:pt>
                <c:pt idx="257">
                  <c:v>-22.260132435255993</c:v>
                </c:pt>
                <c:pt idx="258">
                  <c:v>-22.631201061537219</c:v>
                </c:pt>
                <c:pt idx="259">
                  <c:v>-23.003462306788187</c:v>
                </c:pt>
                <c:pt idx="260">
                  <c:v>-23.37688103468129</c:v>
                </c:pt>
                <c:pt idx="261">
                  <c:v>-23.751422842971493</c:v>
                </c:pt>
                <c:pt idx="262">
                  <c:v>-24.127054100757164</c:v>
                </c:pt>
                <c:pt idx="263">
                  <c:v>-24.503741981689913</c:v>
                </c:pt>
                <c:pt idx="264">
                  <c:v>-24.881454493324526</c:v>
                </c:pt>
                <c:pt idx="265">
                  <c:v>-25.260160502804759</c:v>
                </c:pt>
                <c:pt idx="266">
                  <c:v>-25.639829759088862</c:v>
                </c:pt>
                <c:pt idx="267">
                  <c:v>-26.020432911924697</c:v>
                </c:pt>
                <c:pt idx="268">
                  <c:v>-26.401941527784484</c:v>
                </c:pt>
                <c:pt idx="269">
                  <c:v>-26.784328102972218</c:v>
                </c:pt>
                <c:pt idx="270">
                  <c:v>-27.167566074112813</c:v>
                </c:pt>
                <c:pt idx="271">
                  <c:v>-27.551629826231569</c:v>
                </c:pt>
                <c:pt idx="272">
                  <c:v>-27.936494698628099</c:v>
                </c:pt>
                <c:pt idx="273">
                  <c:v>-28.322136988741494</c:v>
                </c:pt>
                <c:pt idx="274">
                  <c:v>-28.708533954200725</c:v>
                </c:pt>
                <c:pt idx="275">
                  <c:v>-29.095663813244808</c:v>
                </c:pt>
                <c:pt idx="276">
                  <c:v>-29.483505743690557</c:v>
                </c:pt>
                <c:pt idx="277">
                  <c:v>-29.872039880616555</c:v>
                </c:pt>
                <c:pt idx="278">
                  <c:v>-30.261247312925619</c:v>
                </c:pt>
                <c:pt idx="279">
                  <c:v>-30.651110078936728</c:v>
                </c:pt>
                <c:pt idx="280">
                  <c:v>-31.041611161148658</c:v>
                </c:pt>
                <c:pt idx="281">
                  <c:v>-31.432734480310074</c:v>
                </c:pt>
                <c:pt idx="282">
                  <c:v>-31.824464888919366</c:v>
                </c:pt>
                <c:pt idx="283">
                  <c:v>-32.216788164269346</c:v>
                </c:pt>
                <c:pt idx="284">
                  <c:v>-32.60969100114216</c:v>
                </c:pt>
                <c:pt idx="285">
                  <c:v>-33.003161004250359</c:v>
                </c:pt>
                <c:pt idx="286">
                  <c:v>-33.397186680512768</c:v>
                </c:pt>
                <c:pt idx="287">
                  <c:v>-33.791757431241074</c:v>
                </c:pt>
                <c:pt idx="288">
                  <c:v>-34.186863544308025</c:v>
                </c:pt>
                <c:pt idx="289">
                  <c:v>-34.582496186358036</c:v>
                </c:pt>
                <c:pt idx="290">
                  <c:v>-34.978647395110222</c:v>
                </c:pt>
                <c:pt idx="291">
                  <c:v>-35.375310071800349</c:v>
                </c:pt>
                <c:pt idx="292">
                  <c:v>-35.772477973794956</c:v>
                </c:pt>
                <c:pt idx="293">
                  <c:v>-36.170145707404934</c:v>
                </c:pt>
                <c:pt idx="294">
                  <c:v>-36.568308720918964</c:v>
                </c:pt>
                <c:pt idx="295">
                  <c:v>-36.966963297866954</c:v>
                </c:pt>
                <c:pt idx="296">
                  <c:v>-37.366106550517337</c:v>
                </c:pt>
                <c:pt idx="297">
                  <c:v>-37.765736413602419</c:v>
                </c:pt>
                <c:pt idx="298">
                  <c:v>-38.165851638261671</c:v>
                </c:pt>
                <c:pt idx="299">
                  <c:v>-38.566451786180579</c:v>
                </c:pt>
                <c:pt idx="300">
                  <c:v>-38.9675372238991</c:v>
                </c:pt>
                <c:pt idx="301">
                  <c:v>-39.369109117251732</c:v>
                </c:pt>
                <c:pt idx="302">
                  <c:v>-39.77116942589813</c:v>
                </c:pt>
                <c:pt idx="303">
                  <c:v>-40.173720897890739</c:v>
                </c:pt>
                <c:pt idx="304">
                  <c:v>-40.576767064220967</c:v>
                </c:pt>
                <c:pt idx="305">
                  <c:v>-40.98031223327591</c:v>
                </c:pt>
                <c:pt idx="306">
                  <c:v>-41.384361485129972</c:v>
                </c:pt>
                <c:pt idx="307">
                  <c:v>-41.788920665587447</c:v>
                </c:pt>
                <c:pt idx="308">
                  <c:v>-42.193996379884105</c:v>
                </c:pt>
                <c:pt idx="309">
                  <c:v>-42.599595985946408</c:v>
                </c:pt>
                <c:pt idx="310">
                  <c:v>-43.005727587099784</c:v>
                </c:pt>
                <c:pt idx="311">
                  <c:v>-43.412400024108592</c:v>
                </c:pt>
                <c:pt idx="312">
                  <c:v>-43.819622866422122</c:v>
                </c:pt>
                <c:pt idx="313">
                  <c:v>-44.227406402491489</c:v>
                </c:pt>
                <c:pt idx="314">
                  <c:v>-44.635761629016379</c:v>
                </c:pt>
                <c:pt idx="315">
                  <c:v>-45.044700238970449</c:v>
                </c:pt>
                <c:pt idx="316">
                  <c:v>-45.454234608247631</c:v>
                </c:pt>
                <c:pt idx="317">
                  <c:v>-45.864377780764414</c:v>
                </c:pt>
                <c:pt idx="318">
                  <c:v>-46.275143451844784</c:v>
                </c:pt>
                <c:pt idx="319">
                  <c:v>-46.686545949710556</c:v>
                </c:pt>
                <c:pt idx="320">
                  <c:v>-47.098600214892855</c:v>
                </c:pt>
                <c:pt idx="321">
                  <c:v>-47.511321777375237</c:v>
                </c:pt>
                <c:pt idx="322">
                  <c:v>-47.924726731277318</c:v>
                </c:pt>
                <c:pt idx="323">
                  <c:v>-48.338831706883276</c:v>
                </c:pt>
                <c:pt idx="324">
                  <c:v>-48.753653839821453</c:v>
                </c:pt>
                <c:pt idx="325">
                  <c:v>-49.169210737196721</c:v>
                </c:pt>
                <c:pt idx="326">
                  <c:v>-49.585520440486263</c:v>
                </c:pt>
                <c:pt idx="327">
                  <c:v>-50.002601385009122</c:v>
                </c:pt>
                <c:pt idx="328">
                  <c:v>-50.420472355786821</c:v>
                </c:pt>
                <c:pt idx="329">
                  <c:v>-50.839152439626353</c:v>
                </c:pt>
                <c:pt idx="330">
                  <c:v>-51.258660973259026</c:v>
                </c:pt>
                <c:pt idx="331">
                  <c:v>-51.679017487396017</c:v>
                </c:pt>
                <c:pt idx="332">
                  <c:v>-52.100241646566317</c:v>
                </c:pt>
                <c:pt idx="333">
                  <c:v>-52.522353184635179</c:v>
                </c:pt>
                <c:pt idx="334">
                  <c:v>-52.945371835917207</c:v>
                </c:pt>
                <c:pt idx="335">
                  <c:v>-53.369317261831227</c:v>
                </c:pt>
                <c:pt idx="336">
                  <c:v>-53.794208973074184</c:v>
                </c:pt>
                <c:pt idx="337">
                  <c:v>-54.22006624732812</c:v>
                </c:pt>
                <c:pt idx="338">
                  <c:v>-54.646908042551388</c:v>
                </c:pt>
                <c:pt idx="339">
                  <c:v>-55.074752905950376</c:v>
                </c:pt>
                <c:pt idx="340">
                  <c:v>-55.503618878773999</c:v>
                </c:pt>
                <c:pt idx="341">
                  <c:v>-55.933523397123224</c:v>
                </c:pt>
                <c:pt idx="342">
                  <c:v>-56.364483189020163</c:v>
                </c:pt>
                <c:pt idx="343">
                  <c:v>-56.796514168039266</c:v>
                </c:pt>
                <c:pt idx="344">
                  <c:v>-57.229631323858101</c:v>
                </c:pt>
                <c:pt idx="345">
                  <c:v>-57.663848610149259</c:v>
                </c:pt>
                <c:pt idx="346">
                  <c:v>-58.099178830291649</c:v>
                </c:pt>
                <c:pt idx="347">
                  <c:v>-58.535633521443728</c:v>
                </c:pt>
                <c:pt idx="348">
                  <c:v>-58.973222837583172</c:v>
                </c:pt>
                <c:pt idx="349">
                  <c:v>-59.411955432172803</c:v>
                </c:pt>
                <c:pt idx="350">
                  <c:v>-59.851838341176133</c:v>
                </c:pt>
                <c:pt idx="351">
                  <c:v>-60.29287686719583</c:v>
                </c:pt>
                <c:pt idx="352">
                  <c:v>-60.73507446556134</c:v>
                </c:pt>
                <c:pt idx="353">
                  <c:v>-61.178432633233967</c:v>
                </c:pt>
                <c:pt idx="354">
                  <c:v>-61.62295080144019</c:v>
                </c:pt>
                <c:pt idx="355">
                  <c:v>-62.068626232969883</c:v>
                </c:pt>
                <c:pt idx="356">
                  <c:v>-62.515453925103884</c:v>
                </c:pt>
                <c:pt idx="357">
                  <c:v>-62.963426519143383</c:v>
                </c:pt>
                <c:pt idx="358">
                  <c:v>-63.41253421752063</c:v>
                </c:pt>
                <c:pt idx="359">
                  <c:v>-63.862764709458176</c:v>
                </c:pt>
                <c:pt idx="360">
                  <c:v>-64.314103106128059</c:v>
                </c:pt>
                <c:pt idx="361">
                  <c:v>-64.766531886225948</c:v>
                </c:pt>
                <c:pt idx="362">
                  <c:v>-65.220030852835407</c:v>
                </c:pt>
                <c:pt idx="363">
                  <c:v>-65.674577102395588</c:v>
                </c:pt>
                <c:pt idx="364">
                  <c:v>-66.130145006521047</c:v>
                </c:pt>
                <c:pt idx="365">
                  <c:v>-66.586706207339503</c:v>
                </c:pt>
                <c:pt idx="366">
                  <c:v>-67.044229626920441</c:v>
                </c:pt>
                <c:pt idx="367">
                  <c:v>-67.502681491264809</c:v>
                </c:pt>
                <c:pt idx="368">
                  <c:v>-67.962025369215667</c:v>
                </c:pt>
                <c:pt idx="369">
                  <c:v>-68.422222226525292</c:v>
                </c:pt>
                <c:pt idx="370">
                  <c:v>-68.88323049518894</c:v>
                </c:pt>
                <c:pt idx="371">
                  <c:v>-69.345006158022315</c:v>
                </c:pt>
                <c:pt idx="372">
                  <c:v>-69.807502848319402</c:v>
                </c:pt>
                <c:pt idx="373">
                  <c:v>-70.270671964292347</c:v>
                </c:pt>
                <c:pt idx="374">
                  <c:v>-70.734462797851535</c:v>
                </c:pt>
                <c:pt idx="375">
                  <c:v>-71.198822677147533</c:v>
                </c:pt>
                <c:pt idx="376">
                  <c:v>-71.663697122162503</c:v>
                </c:pt>
                <c:pt idx="377">
                  <c:v>-72.129030012505737</c:v>
                </c:pt>
                <c:pt idx="378">
                  <c:v>-72.594763766448764</c:v>
                </c:pt>
                <c:pt idx="379">
                  <c:v>-73.06083953012012</c:v>
                </c:pt>
                <c:pt idx="380">
                  <c:v>-73.527197375672571</c:v>
                </c:pt>
                <c:pt idx="381">
                  <c:v>-73.993776507148937</c:v>
                </c:pt>
                <c:pt idx="382">
                  <c:v>-74.460515472688058</c:v>
                </c:pt>
                <c:pt idx="383">
                  <c:v>-74.927352381648092</c:v>
                </c:pt>
                <c:pt idx="384">
                  <c:v>-75.394225125175467</c:v>
                </c:pt>
                <c:pt idx="385">
                  <c:v>-75.861071598707966</c:v>
                </c:pt>
                <c:pt idx="386">
                  <c:v>-76.327829924886629</c:v>
                </c:pt>
                <c:pt idx="387">
                  <c:v>-76.7944386753434</c:v>
                </c:pt>
                <c:pt idx="388">
                  <c:v>-77.260837089846191</c:v>
                </c:pt>
                <c:pt idx="389">
                  <c:v>-77.726965291314144</c:v>
                </c:pt>
                <c:pt idx="390">
                  <c:v>-78.192764495257592</c:v>
                </c:pt>
                <c:pt idx="391">
                  <c:v>-78.658177212261506</c:v>
                </c:pt>
                <c:pt idx="392">
                  <c:v>-79.123147442201571</c:v>
                </c:pt>
                <c:pt idx="393">
                  <c:v>-79.587620858972954</c:v>
                </c:pt>
                <c:pt idx="394">
                  <c:v>-80.051544984611979</c:v>
                </c:pt>
                <c:pt idx="395">
                  <c:v>-80.514869351797188</c:v>
                </c:pt>
                <c:pt idx="396">
                  <c:v>-80.977545653844643</c:v>
                </c:pt>
                <c:pt idx="397">
                  <c:v>-81.439527881429314</c:v>
                </c:pt>
                <c:pt idx="398">
                  <c:v>-81.900772445407469</c:v>
                </c:pt>
                <c:pt idx="399">
                  <c:v>-82.361238285246031</c:v>
                </c:pt>
                <c:pt idx="400">
                  <c:v>-82.820886962708585</c:v>
                </c:pt>
                <c:pt idx="401">
                  <c:v>-83.279682740583624</c:v>
                </c:pt>
                <c:pt idx="402">
                  <c:v>-83.737592646385707</c:v>
                </c:pt>
                <c:pt idx="403">
                  <c:v>-84.194586521087274</c:v>
                </c:pt>
                <c:pt idx="404">
                  <c:v>-84.6506370530781</c:v>
                </c:pt>
                <c:pt idx="405">
                  <c:v>-85.10571979766803</c:v>
                </c:pt>
                <c:pt idx="406">
                  <c:v>-85.559813182565307</c:v>
                </c:pt>
                <c:pt idx="407">
                  <c:v>-86.012898499873032</c:v>
                </c:pt>
                <c:pt idx="408">
                  <c:v>-86.464959885241214</c:v>
                </c:pt>
                <c:pt idx="409">
                  <c:v>-86.915984284897263</c:v>
                </c:pt>
                <c:pt idx="410">
                  <c:v>-87.365961411354206</c:v>
                </c:pt>
                <c:pt idx="411">
                  <c:v>-87.81488368865574</c:v>
                </c:pt>
                <c:pt idx="412">
                  <c:v>-88.26274618806849</c:v>
                </c:pt>
                <c:pt idx="413">
                  <c:v>-88.709546555168956</c:v>
                </c:pt>
                <c:pt idx="414">
                  <c:v>-89.155284929297025</c:v>
                </c:pt>
                <c:pt idx="415">
                  <c:v>-89.5999638563612</c:v>
                </c:pt>
                <c:pt idx="416">
                  <c:v>-90.04358819598464</c:v>
                </c:pt>
                <c:pt idx="417">
                  <c:v>-90.486165023968539</c:v>
                </c:pt>
                <c:pt idx="418">
                  <c:v>-90.927703531034737</c:v>
                </c:pt>
                <c:pt idx="419">
                  <c:v>-91.368214918779401</c:v>
                </c:pt>
                <c:pt idx="420">
                  <c:v>-91.807712293736458</c:v>
                </c:pt>
                <c:pt idx="421">
                  <c:v>-92.246210560404123</c:v>
                </c:pt>
                <c:pt idx="422">
                  <c:v>-92.683726314043639</c:v>
                </c:pt>
                <c:pt idx="423">
                  <c:v>-93.120277734002684</c:v>
                </c:pt>
                <c:pt idx="424">
                  <c:v>-93.55588447826419</c:v>
                </c:pt>
                <c:pt idx="425">
                  <c:v>-93.990567579856048</c:v>
                </c:pt>
                <c:pt idx="426">
                  <c:v>-94.424349345703064</c:v>
                </c:pt>
                <c:pt idx="427">
                  <c:v>-94.857253258435207</c:v>
                </c:pt>
                <c:pt idx="428">
                  <c:v>-95.289303881608703</c:v>
                </c:pt>
                <c:pt idx="429">
                  <c:v>-95.720526768733961</c:v>
                </c:pt>
                <c:pt idx="430">
                  <c:v>-96.150948376443665</c:v>
                </c:pt>
                <c:pt idx="431">
                  <c:v>-96.580595982083267</c:v>
                </c:pt>
                <c:pt idx="432">
                  <c:v>-97.009497605939544</c:v>
                </c:pt>
                <c:pt idx="433">
                  <c:v>-97.437681938286232</c:v>
                </c:pt>
                <c:pt idx="434">
                  <c:v>-97.865178271362481</c:v>
                </c:pt>
                <c:pt idx="435">
                  <c:v>-98.292016436364534</c:v>
                </c:pt>
                <c:pt idx="436">
                  <c:v>-98.718226745484415</c:v>
                </c:pt>
                <c:pt idx="437">
                  <c:v>-99.143839938992016</c:v>
                </c:pt>
                <c:pt idx="438">
                  <c:v>-99.56888713732414</c:v>
                </c:pt>
                <c:pt idx="439">
                  <c:v>-99.993399798107021</c:v>
                </c:pt>
                <c:pt idx="440">
                  <c:v>-100.41740967802139</c:v>
                </c:pt>
                <c:pt idx="441">
                  <c:v>-100.84094879938289</c:v>
                </c:pt>
                <c:pt idx="442">
                  <c:v>-101.26404942129953</c:v>
                </c:pt>
                <c:pt idx="443">
                  <c:v>-101.6867440152417</c:v>
                </c:pt>
                <c:pt idx="444">
                  <c:v>-102.10906524484932</c:v>
                </c:pt>
                <c:pt idx="445">
                  <c:v>-102.53104594978763</c:v>
                </c:pt>
                <c:pt idx="446">
                  <c:v>-102.95271913344807</c:v>
                </c:pt>
                <c:pt idx="447">
                  <c:v>-103.37411795428633</c:v>
                </c:pt>
                <c:pt idx="448">
                  <c:v>-103.79527572058097</c:v>
                </c:pt>
                <c:pt idx="449">
                  <c:v>-104.21622588838942</c:v>
                </c:pt>
                <c:pt idx="450">
                  <c:v>-104.63700206247553</c:v>
                </c:pt>
                <c:pt idx="451">
                  <c:v>-105.05763799997902</c:v>
                </c:pt>
                <c:pt idx="452">
                  <c:v>-105.47816761659593</c:v>
                </c:pt>
                <c:pt idx="453">
                  <c:v>-105.89862499503481</c:v>
                </c:pt>
                <c:pt idx="454">
                  <c:v>-106.31904439551752</c:v>
                </c:pt>
                <c:pt idx="455">
                  <c:v>-106.73946026808829</c:v>
                </c:pt>
                <c:pt idx="456">
                  <c:v>-107.15990726649565</c:v>
                </c:pt>
                <c:pt idx="457">
                  <c:v>-107.58042026341491</c:v>
                </c:pt>
                <c:pt idx="458">
                  <c:v>-108.00103436677324</c:v>
                </c:pt>
                <c:pt idx="459">
                  <c:v>-108.42178493694422</c:v>
                </c:pt>
                <c:pt idx="460">
                  <c:v>-108.842707604575</c:v>
                </c:pt>
                <c:pt idx="461">
                  <c:v>-109.26383828881021</c:v>
                </c:pt>
                <c:pt idx="462">
                  <c:v>-109.68521321567721</c:v>
                </c:pt>
                <c:pt idx="463">
                  <c:v>-110.10686893639269</c:v>
                </c:pt>
                <c:pt idx="464">
                  <c:v>-110.52884234535306</c:v>
                </c:pt>
                <c:pt idx="465">
                  <c:v>-110.95117069756888</c:v>
                </c:pt>
                <c:pt idx="466">
                  <c:v>-111.37389162529983</c:v>
                </c:pt>
                <c:pt idx="467">
                  <c:v>-111.79704315364836</c:v>
                </c:pt>
                <c:pt idx="468">
                  <c:v>-112.22066371486655</c:v>
                </c:pt>
                <c:pt idx="469">
                  <c:v>-112.64479216112912</c:v>
                </c:pt>
                <c:pt idx="470">
                  <c:v>-113.06946777552541</c:v>
                </c:pt>
                <c:pt idx="471">
                  <c:v>-113.49473028102194</c:v>
                </c:pt>
                <c:pt idx="472">
                  <c:v>-113.92061984714508</c:v>
                </c:pt>
                <c:pt idx="473">
                  <c:v>-114.34717709413513</c:v>
                </c:pt>
                <c:pt idx="474">
                  <c:v>-114.77444309432508</c:v>
                </c:pt>
                <c:pt idx="475">
                  <c:v>-115.2024593704962</c:v>
                </c:pt>
                <c:pt idx="476">
                  <c:v>-115.63126789096944</c:v>
                </c:pt>
                <c:pt idx="477">
                  <c:v>-116.06091106119283</c:v>
                </c:pt>
                <c:pt idx="478">
                  <c:v>-116.49143171159577</c:v>
                </c:pt>
                <c:pt idx="479">
                  <c:v>-116.92287308148602</c:v>
                </c:pt>
                <c:pt idx="480">
                  <c:v>-117.35527879877566</c:v>
                </c:pt>
                <c:pt idx="481">
                  <c:v>-117.78869285533872</c:v>
                </c:pt>
                <c:pt idx="482">
                  <c:v>-118.22315957781393</c:v>
                </c:pt>
                <c:pt idx="483">
                  <c:v>-118.65872359368772</c:v>
                </c:pt>
                <c:pt idx="484">
                  <c:v>-119.09542979251125</c:v>
                </c:pt>
                <c:pt idx="485">
                  <c:v>-119.53332328213129</c:v>
                </c:pt>
                <c:pt idx="486">
                  <c:v>-119.97244933984035</c:v>
                </c:pt>
                <c:pt idx="487">
                  <c:v>-120.41285335838441</c:v>
                </c:pt>
                <c:pt idx="488">
                  <c:v>-120.85458078679585</c:v>
                </c:pt>
                <c:pt idx="489">
                  <c:v>-121.29767706606323</c:v>
                </c:pt>
                <c:pt idx="490">
                  <c:v>-121.74218755968185</c:v>
                </c:pt>
                <c:pt idx="491">
                  <c:v>-122.18815747918021</c:v>
                </c:pt>
                <c:pt idx="492">
                  <c:v>-122.63563180475569</c:v>
                </c:pt>
                <c:pt idx="493">
                  <c:v>-123.08465520120804</c:v>
                </c:pt>
                <c:pt idx="494">
                  <c:v>-123.53527192940525</c:v>
                </c:pt>
                <c:pt idx="495">
                  <c:v>-123.98752575356997</c:v>
                </c:pt>
                <c:pt idx="496">
                  <c:v>-124.44145984472928</c:v>
                </c:pt>
                <c:pt idx="497">
                  <c:v>-124.89711668072104</c:v>
                </c:pt>
                <c:pt idx="498">
                  <c:v>-125.35453794320574</c:v>
                </c:pt>
                <c:pt idx="499">
                  <c:v>-125.81376441218468</c:v>
                </c:pt>
                <c:pt idx="500">
                  <c:v>-126.27483585857497</c:v>
                </c:pt>
                <c:pt idx="501">
                  <c:v>-126.73779093543915</c:v>
                </c:pt>
                <c:pt idx="502">
                  <c:v>-127.20266706851385</c:v>
                </c:pt>
                <c:pt idx="503">
                  <c:v>-127.66950034671609</c:v>
                </c:pt>
                <c:pt idx="504">
                  <c:v>-128.13832541334642</c:v>
                </c:pt>
                <c:pt idx="505">
                  <c:v>-128.60917535873008</c:v>
                </c:pt>
                <c:pt idx="506">
                  <c:v>-129.08208161506141</c:v>
                </c:pt>
                <c:pt idx="507">
                  <c:v>-129.55707385422755</c:v>
                </c:pt>
                <c:pt idx="508">
                  <c:v>-130.0341798893943</c:v>
                </c:pt>
                <c:pt idx="509">
                  <c:v>-130.51342558112822</c:v>
                </c:pt>
                <c:pt idx="510">
                  <c:v>-130.99483474881936</c:v>
                </c:pt>
                <c:pt idx="511">
                  <c:v>-131.47842908814178</c:v>
                </c:pt>
                <c:pt idx="512">
                  <c:v>-131.96422809525987</c:v>
                </c:pt>
                <c:pt idx="513">
                  <c:v>-132.45224899843964</c:v>
                </c:pt>
                <c:pt idx="514">
                  <c:v>-132.94250669767993</c:v>
                </c:pt>
                <c:pt idx="515">
                  <c:v>-133.43501371291094</c:v>
                </c:pt>
                <c:pt idx="516">
                  <c:v>-133.92978014124421</c:v>
                </c:pt>
                <c:pt idx="517">
                  <c:v>-134.42681362367975</c:v>
                </c:pt>
                <c:pt idx="518">
                  <c:v>-134.92611932159588</c:v>
                </c:pt>
                <c:pt idx="519">
                  <c:v>-135.42769990325976</c:v>
                </c:pt>
                <c:pt idx="520">
                  <c:v>-135.9315555405102</c:v>
                </c:pt>
                <c:pt idx="521">
                  <c:v>-136.43768391566599</c:v>
                </c:pt>
                <c:pt idx="522">
                  <c:v>-136.94608023862583</c:v>
                </c:pt>
                <c:pt idx="523">
                  <c:v>-137.45673727403036</c:v>
                </c:pt>
                <c:pt idx="524">
                  <c:v>-137.96964537826921</c:v>
                </c:pt>
                <c:pt idx="525">
                  <c:v>-138.48479254602452</c:v>
                </c:pt>
                <c:pt idx="526">
                  <c:v>-139.00216446596491</c:v>
                </c:pt>
                <c:pt idx="527">
                  <c:v>-139.5217445851253</c:v>
                </c:pt>
                <c:pt idx="528">
                  <c:v>-140.04351418143705</c:v>
                </c:pt>
                <c:pt idx="529">
                  <c:v>-140.56745244381833</c:v>
                </c:pt>
                <c:pt idx="530">
                  <c:v>-141.09353655916652</c:v>
                </c:pt>
                <c:pt idx="531">
                  <c:v>-141.62174180557184</c:v>
                </c:pt>
                <c:pt idx="532">
                  <c:v>-142.15204165101397</c:v>
                </c:pt>
                <c:pt idx="533">
                  <c:v>-142.68440785679931</c:v>
                </c:pt>
                <c:pt idx="534">
                  <c:v>-143.21881058496271</c:v>
                </c:pt>
                <c:pt idx="535">
                  <c:v>-143.7552185088673</c:v>
                </c:pt>
                <c:pt idx="536">
                  <c:v>-144.293598926225</c:v>
                </c:pt>
                <c:pt idx="537">
                  <c:v>-144.83391787378503</c:v>
                </c:pt>
                <c:pt idx="538">
                  <c:v>-145.37614024294561</c:v>
                </c:pt>
                <c:pt idx="539">
                  <c:v>-145.92022989557807</c:v>
                </c:pt>
                <c:pt idx="540">
                  <c:v>-146.46614977938188</c:v>
                </c:pt>
                <c:pt idx="541">
                  <c:v>-147.01386204213048</c:v>
                </c:pt>
              </c:numCache>
            </c:numRef>
          </c:yVal>
          <c:smooth val="1"/>
          <c:extLst>
            <c:ext xmlns:c16="http://schemas.microsoft.com/office/drawing/2014/chart" uri="{C3380CC4-5D6E-409C-BE32-E72D297353CC}">
              <c16:uniqueId val="{00000000-83C7-483B-9FAA-73F41D4B5EAC}"/>
            </c:ext>
          </c:extLst>
        </c:ser>
        <c:dLbls>
          <c:showLegendKey val="0"/>
          <c:showVal val="0"/>
          <c:showCatName val="0"/>
          <c:showSerName val="0"/>
          <c:showPercent val="0"/>
          <c:showBubbleSize val="0"/>
        </c:dLbls>
        <c:axId val="377549184"/>
        <c:axId val="377551104"/>
      </c:scatterChart>
      <c:scatterChart>
        <c:scatterStyle val="smoothMarker"/>
        <c:varyColors val="0"/>
        <c:ser>
          <c:idx val="1"/>
          <c:order val="1"/>
          <c:tx>
            <c:v>Phase (deg)</c:v>
          </c:tx>
          <c:spPr>
            <a:ln w="38100">
              <a:solidFill>
                <a:schemeClr val="tx1">
                  <a:lumMod val="95000"/>
                  <a:lumOff val="5000"/>
                </a:schemeClr>
              </a:solidFill>
              <a:prstDash val="sysDash"/>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CCM_Loop_Modeling_non_isolated!$AU$19:$AU$560</c:f>
              <c:numCache>
                <c:formatCode>General</c:formatCode>
                <c:ptCount val="542"/>
                <c:pt idx="0">
                  <c:v>29.794112140610547</c:v>
                </c:pt>
                <c:pt idx="1">
                  <c:v>29.659738256165308</c:v>
                </c:pt>
                <c:pt idx="2">
                  <c:v>29.538037914839684</c:v>
                </c:pt>
                <c:pt idx="3">
                  <c:v>29.429036124285542</c:v>
                </c:pt>
                <c:pt idx="4">
                  <c:v>29.332753855955879</c:v>
                </c:pt>
                <c:pt idx="5">
                  <c:v>29.249208218158721</c:v>
                </c:pt>
                <c:pt idx="6">
                  <c:v>29.178412607586917</c:v>
                </c:pt>
                <c:pt idx="7">
                  <c:v>29.12037683871463</c:v>
                </c:pt>
                <c:pt idx="8">
                  <c:v>29.075107250551458</c:v>
                </c:pt>
                <c:pt idx="9">
                  <c:v>29.042606790338315</c:v>
                </c:pt>
                <c:pt idx="10">
                  <c:v>29.022875073866704</c:v>
                </c:pt>
                <c:pt idx="11">
                  <c:v>29.015908422186211</c:v>
                </c:pt>
                <c:pt idx="12">
                  <c:v>29.021699874557868</c:v>
                </c:pt>
                <c:pt idx="13">
                  <c:v>29.040239177593232</c:v>
                </c:pt>
                <c:pt idx="14">
                  <c:v>29.0715127506075</c:v>
                </c:pt>
                <c:pt idx="15">
                  <c:v>29.115503627293403</c:v>
                </c:pt>
                <c:pt idx="16">
                  <c:v>29.172191373918078</c:v>
                </c:pt>
                <c:pt idx="17">
                  <c:v>29.2415519843304</c:v>
                </c:pt>
                <c:pt idx="18">
                  <c:v>29.323557752150784</c:v>
                </c:pt>
                <c:pt idx="19">
                  <c:v>29.418177120623369</c:v>
                </c:pt>
                <c:pt idx="20">
                  <c:v>29.525374510695475</c:v>
                </c:pt>
                <c:pt idx="21">
                  <c:v>29.645110128006401</c:v>
                </c:pt>
                <c:pt idx="22">
                  <c:v>29.777339749564547</c:v>
                </c:pt>
                <c:pt idx="23">
                  <c:v>29.922014491017787</c:v>
                </c:pt>
                <c:pt idx="24">
                  <c:v>30.079080555531188</c:v>
                </c:pt>
                <c:pt idx="25">
                  <c:v>30.248478965429374</c:v>
                </c:pt>
                <c:pt idx="26">
                  <c:v>30.430145277874463</c:v>
                </c:pt>
                <c:pt idx="27">
                  <c:v>30.62400928600621</c:v>
                </c:pt>
                <c:pt idx="28">
                  <c:v>30.829994707108543</c:v>
                </c:pt>
                <c:pt idx="29">
                  <c:v>31.048018859512624</c:v>
                </c:pt>
                <c:pt idx="30">
                  <c:v>31.27799233010888</c:v>
                </c:pt>
                <c:pt idx="31">
                  <c:v>31.51981863448809</c:v>
                </c:pt>
                <c:pt idx="32">
                  <c:v>31.773393871893372</c:v>
                </c:pt>
                <c:pt idx="33">
                  <c:v>32.038606377323319</c:v>
                </c:pt>
                <c:pt idx="34">
                  <c:v>32.315336373277844</c:v>
                </c:pt>
                <c:pt idx="35">
                  <c:v>32.603455623793842</c:v>
                </c:pt>
                <c:pt idx="36">
                  <c:v>32.902827093560049</c:v>
                </c:pt>
                <c:pt idx="37">
                  <c:v>33.213304615034623</c:v>
                </c:pt>
                <c:pt idx="38">
                  <c:v>33.53473256661772</c:v>
                </c:pt>
                <c:pt idx="39">
                  <c:v>33.866945565031692</c:v>
                </c:pt>
                <c:pt idx="40">
                  <c:v>34.209768175157961</c:v>
                </c:pt>
                <c:pt idx="41">
                  <c:v>34.563014640645953</c:v>
                </c:pt>
                <c:pt idx="42">
                  <c:v>34.926488638651307</c:v>
                </c:pt>
                <c:pt idx="43">
                  <c:v>35.299983062079242</c:v>
                </c:pt>
                <c:pt idx="44">
                  <c:v>35.683279832690801</c:v>
                </c:pt>
                <c:pt idx="45">
                  <c:v>36.076149748382399</c:v>
                </c:pt>
                <c:pt idx="46">
                  <c:v>36.478352367859038</c:v>
                </c:pt>
                <c:pt idx="47">
                  <c:v>36.889635935798857</c:v>
                </c:pt>
                <c:pt idx="48">
                  <c:v>37.309737351439367</c:v>
                </c:pt>
                <c:pt idx="49">
                  <c:v>37.738382183302981</c:v>
                </c:pt>
                <c:pt idx="50">
                  <c:v>38.175284732533832</c:v>
                </c:pt>
                <c:pt idx="51">
                  <c:v>38.620148147015769</c:v>
                </c:pt>
                <c:pt idx="52">
                  <c:v>39.072664588107543</c:v>
                </c:pt>
                <c:pt idx="53">
                  <c:v>39.532515451457556</c:v>
                </c:pt>
                <c:pt idx="54">
                  <c:v>39.999371642932154</c:v>
                </c:pt>
                <c:pt idx="55">
                  <c:v>40.472893910261099</c:v>
                </c:pt>
                <c:pt idx="56">
                  <c:v>40.952733230503874</c:v>
                </c:pt>
                <c:pt idx="57">
                  <c:v>41.438531252952622</c:v>
                </c:pt>
                <c:pt idx="58">
                  <c:v>41.929920796555351</c:v>
                </c:pt>
                <c:pt idx="59">
                  <c:v>42.42652640040874</c:v>
                </c:pt>
                <c:pt idx="60">
                  <c:v>42.927964925340092</c:v>
                </c:pt>
                <c:pt idx="61">
                  <c:v>43.433846204049061</c:v>
                </c:pt>
                <c:pt idx="62">
                  <c:v>43.943773736768343</c:v>
                </c:pt>
                <c:pt idx="63">
                  <c:v>44.457345428894179</c:v>
                </c:pt>
                <c:pt idx="64">
                  <c:v>44.974154366565585</c:v>
                </c:pt>
                <c:pt idx="65">
                  <c:v>45.493789625728397</c:v>
                </c:pt>
                <c:pt idx="66">
                  <c:v>46.015837109838102</c:v>
                </c:pt>
                <c:pt idx="67">
                  <c:v>46.539880411003189</c:v>
                </c:pt>
                <c:pt idx="68">
                  <c:v>47.065501689096536</c:v>
                </c:pt>
                <c:pt idx="69">
                  <c:v>47.592282563131249</c:v>
                </c:pt>
                <c:pt idx="70">
                  <c:v>48.119805009058709</c:v>
                </c:pt>
                <c:pt idx="71">
                  <c:v>48.647652258051252</c:v>
                </c:pt>
                <c:pt idx="72">
                  <c:v>49.175409689322009</c:v>
                </c:pt>
                <c:pt idx="73">
                  <c:v>49.702665711604155</c:v>
                </c:pt>
                <c:pt idx="74">
                  <c:v>50.229012627531638</c:v>
                </c:pt>
                <c:pt idx="75">
                  <c:v>50.754047475367898</c:v>
                </c:pt>
                <c:pt idx="76">
                  <c:v>51.277372842786484</c:v>
                </c:pt>
                <c:pt idx="77">
                  <c:v>51.798597647742227</c:v>
                </c:pt>
                <c:pt idx="78">
                  <c:v>52.317337881832323</c:v>
                </c:pt>
                <c:pt idx="79">
                  <c:v>52.833217311971801</c:v>
                </c:pt>
                <c:pt idx="80">
                  <c:v>53.345868136681808</c:v>
                </c:pt>
                <c:pt idx="81">
                  <c:v>53.854931593756376</c:v>
                </c:pt>
                <c:pt idx="82">
                  <c:v>54.360058516610167</c:v>
                </c:pt>
                <c:pt idx="83">
                  <c:v>54.860909837118733</c:v>
                </c:pt>
                <c:pt idx="84">
                  <c:v>55.357157033309811</c:v>
                </c:pt>
                <c:pt idx="85">
                  <c:v>55.848482520783698</c:v>
                </c:pt>
                <c:pt idx="86">
                  <c:v>56.334579987268285</c:v>
                </c:pt>
                <c:pt idx="87">
                  <c:v>56.815154670213502</c:v>
                </c:pt>
                <c:pt idx="88">
                  <c:v>57.289923577811969</c:v>
                </c:pt>
                <c:pt idx="89">
                  <c:v>57.75861565428589</c:v>
                </c:pt>
                <c:pt idx="90">
                  <c:v>58.220971890689903</c:v>
                </c:pt>
                <c:pt idx="91">
                  <c:v>58.676745382870052</c:v>
                </c:pt>
                <c:pt idx="92">
                  <c:v>59.125701338552027</c:v>
                </c:pt>
                <c:pt idx="93">
                  <c:v>59.567617035834168</c:v>
                </c:pt>
                <c:pt idx="94">
                  <c:v>60.002281735613188</c:v>
                </c:pt>
                <c:pt idx="95">
                  <c:v>60.429496550685997</c:v>
                </c:pt>
                <c:pt idx="96">
                  <c:v>60.849074274435822</c:v>
                </c:pt>
                <c:pt idx="97">
                  <c:v>61.260839172142589</c:v>
                </c:pt>
                <c:pt idx="98">
                  <c:v>61.664626738041562</c:v>
                </c:pt>
                <c:pt idx="99">
                  <c:v>62.060283421309293</c:v>
                </c:pt>
                <c:pt idx="100">
                  <c:v>62.447666324161453</c:v>
                </c:pt>
                <c:pt idx="101">
                  <c:v>62.826642875241895</c:v>
                </c:pt>
                <c:pt idx="102">
                  <c:v>63.197090481426521</c:v>
                </c:pt>
                <c:pt idx="103">
                  <c:v>63.558896161094815</c:v>
                </c:pt>
                <c:pt idx="104">
                  <c:v>63.911956161836777</c:v>
                </c:pt>
                <c:pt idx="105">
                  <c:v>64.25617556543223</c:v>
                </c:pt>
                <c:pt idx="106">
                  <c:v>64.591467882828482</c:v>
                </c:pt>
                <c:pt idx="107">
                  <c:v>64.917754641687878</c:v>
                </c:pt>
                <c:pt idx="108">
                  <c:v>65.234964968929447</c:v>
                </c:pt>
                <c:pt idx="109">
                  <c:v>65.543035170532221</c:v>
                </c:pt>
                <c:pt idx="110">
                  <c:v>65.841908310699068</c:v>
                </c:pt>
                <c:pt idx="111">
                  <c:v>66.131533792323069</c:v>
                </c:pt>
                <c:pt idx="112">
                  <c:v>66.41186694052594</c:v>
                </c:pt>
                <c:pt idx="113">
                  <c:v>66.682868590879181</c:v>
                </c:pt>
                <c:pt idx="114">
                  <c:v>66.94450468375922</c:v>
                </c:pt>
                <c:pt idx="115">
                  <c:v>67.196745866132616</c:v>
                </c:pt>
                <c:pt idx="116">
                  <c:v>67.439567101916353</c:v>
                </c:pt>
                <c:pt idx="117">
                  <c:v>67.672947291925027</c:v>
                </c:pt>
                <c:pt idx="118">
                  <c:v>67.896868904270406</c:v>
                </c:pt>
                <c:pt idx="119">
                  <c:v>68.11131761596576</c:v>
                </c:pt>
                <c:pt idx="120">
                  <c:v>68.316281966362723</c:v>
                </c:pt>
                <c:pt idx="121">
                  <c:v>68.511753022942628</c:v>
                </c:pt>
                <c:pt idx="122">
                  <c:v>68.697724059884379</c:v>
                </c:pt>
                <c:pt idx="123">
                  <c:v>68.874190249744544</c:v>
                </c:pt>
                <c:pt idx="124">
                  <c:v>69.041148368495627</c:v>
                </c:pt>
                <c:pt idx="125">
                  <c:v>69.198596514106256</c:v>
                </c:pt>
                <c:pt idx="126">
                  <c:v>69.346533838772956</c:v>
                </c:pt>
                <c:pt idx="127">
                  <c:v>69.4849602948631</c:v>
                </c:pt>
                <c:pt idx="128">
                  <c:v>69.613876394576508</c:v>
                </c:pt>
                <c:pt idx="129">
                  <c:v>69.733282983292739</c:v>
                </c:pt>
                <c:pt idx="130">
                  <c:v>69.843181026538716</c:v>
                </c:pt>
                <c:pt idx="131">
                  <c:v>69.943571410475499</c:v>
                </c:pt>
                <c:pt idx="132">
                  <c:v>70.034454755793405</c:v>
                </c:pt>
                <c:pt idx="133">
                  <c:v>70.115831244873377</c:v>
                </c:pt>
                <c:pt idx="134">
                  <c:v>70.187700462074091</c:v>
                </c:pt>
                <c:pt idx="135">
                  <c:v>70.250061246986334</c:v>
                </c:pt>
                <c:pt idx="136">
                  <c:v>70.302911560503873</c:v>
                </c:pt>
                <c:pt idx="137">
                  <c:v>70.346248363551481</c:v>
                </c:pt>
                <c:pt idx="138">
                  <c:v>70.380067508321645</c:v>
                </c:pt>
                <c:pt idx="139">
                  <c:v>70.404363641878874</c:v>
                </c:pt>
                <c:pt idx="140">
                  <c:v>70.419130121997114</c:v>
                </c:pt>
                <c:pt idx="141">
                  <c:v>70.424358945112104</c:v>
                </c:pt>
                <c:pt idx="142">
                  <c:v>70.420040686284025</c:v>
                </c:pt>
                <c:pt idx="143">
                  <c:v>70.406164451081551</c:v>
                </c:pt>
                <c:pt idx="144">
                  <c:v>70.382717839318332</c:v>
                </c:pt>
                <c:pt idx="145">
                  <c:v>70.349686920587558</c:v>
                </c:pt>
                <c:pt idx="146">
                  <c:v>70.307056221564764</c:v>
                </c:pt>
                <c:pt idx="147">
                  <c:v>70.254808725065459</c:v>
                </c:pt>
                <c:pt idx="148">
                  <c:v>70.192925880864522</c:v>
                </c:pt>
                <c:pt idx="149">
                  <c:v>70.121387628306891</c:v>
                </c:pt>
                <c:pt idx="150">
                  <c:v>70.040172430754865</c:v>
                </c:pt>
                <c:pt idx="151">
                  <c:v>69.949257321936997</c:v>
                </c:pt>
                <c:pt idx="152">
                  <c:v>69.848617964283946</c:v>
                </c:pt>
                <c:pt idx="153">
                  <c:v>69.738228719348754</c:v>
                </c:pt>
                <c:pt idx="154">
                  <c:v>69.618062730425606</c:v>
                </c:pt>
                <c:pt idx="155">
                  <c:v>69.488092017493912</c:v>
                </c:pt>
                <c:pt idx="156">
                  <c:v>69.348287584622312</c:v>
                </c:pt>
                <c:pt idx="157">
                  <c:v>69.198619539977457</c:v>
                </c:pt>
                <c:pt idx="158">
                  <c:v>69.039057228585008</c:v>
                </c:pt>
                <c:pt idx="159">
                  <c:v>68.86956937798891</c:v>
                </c:pt>
                <c:pt idx="160">
                  <c:v>68.690124256957489</c:v>
                </c:pt>
                <c:pt idx="161">
                  <c:v>68.500689847369998</c:v>
                </c:pt>
                <c:pt idx="162">
                  <c:v>68.301234029410352</c:v>
                </c:pt>
                <c:pt idx="163">
                  <c:v>68.091724780174459</c:v>
                </c:pt>
                <c:pt idx="164">
                  <c:v>67.872130385778661</c:v>
                </c:pt>
                <c:pt idx="165">
                  <c:v>67.6424196670188</c:v>
                </c:pt>
                <c:pt idx="166">
                  <c:v>67.402562218603407</c:v>
                </c:pt>
                <c:pt idx="167">
                  <c:v>67.152528661938547</c:v>
                </c:pt>
                <c:pt idx="168">
                  <c:v>66.892290911386496</c:v>
                </c:pt>
                <c:pt idx="169">
                  <c:v>66.621822453873435</c:v>
                </c:pt>
                <c:pt idx="170">
                  <c:v>66.341098641645772</c:v>
                </c:pt>
                <c:pt idx="171">
                  <c:v>66.050096997906266</c:v>
                </c:pt>
                <c:pt idx="172">
                  <c:v>65.748797534975864</c:v>
                </c:pt>
                <c:pt idx="173">
                  <c:v>65.437183084538304</c:v>
                </c:pt>
                <c:pt idx="174">
                  <c:v>65.115239639419485</c:v>
                </c:pt>
                <c:pt idx="175">
                  <c:v>64.782956706250232</c:v>
                </c:pt>
                <c:pt idx="176">
                  <c:v>64.440327668236762</c:v>
                </c:pt>
                <c:pt idx="177">
                  <c:v>64.08735015714241</c:v>
                </c:pt>
                <c:pt idx="178">
                  <c:v>63.724026433441331</c:v>
                </c:pt>
                <c:pt idx="179">
                  <c:v>63.350363773474427</c:v>
                </c:pt>
                <c:pt idx="180">
                  <c:v>62.966374862273199</c:v>
                </c:pt>
                <c:pt idx="181">
                  <c:v>62.57207819057605</c:v>
                </c:pt>
                <c:pt idx="182">
                  <c:v>62.167498454393574</c:v>
                </c:pt>
                <c:pt idx="183">
                  <c:v>61.7526669553164</c:v>
                </c:pt>
                <c:pt idx="184">
                  <c:v>61.327621999598819</c:v>
                </c:pt>
                <c:pt idx="185">
                  <c:v>60.892409293882771</c:v>
                </c:pt>
                <c:pt idx="186">
                  <c:v>60.447082335264156</c:v>
                </c:pt>
                <c:pt idx="187">
                  <c:v>59.991702793250234</c:v>
                </c:pt>
                <c:pt idx="188">
                  <c:v>59.526340880999975</c:v>
                </c:pt>
                <c:pt idx="189">
                  <c:v>59.051075713105377</c:v>
                </c:pt>
                <c:pt idx="190">
                  <c:v>58.565995647041291</c:v>
                </c:pt>
                <c:pt idx="191">
                  <c:v>58.071198605299891</c:v>
                </c:pt>
                <c:pt idx="192">
                  <c:v>57.566792375137041</c:v>
                </c:pt>
                <c:pt idx="193">
                  <c:v>57.052894882789275</c:v>
                </c:pt>
                <c:pt idx="194">
                  <c:v>56.529634438976629</c:v>
                </c:pt>
                <c:pt idx="195">
                  <c:v>55.997149952493771</c:v>
                </c:pt>
                <c:pt idx="196">
                  <c:v>55.455591108714721</c:v>
                </c:pt>
                <c:pt idx="197">
                  <c:v>54.905118509888261</c:v>
                </c:pt>
                <c:pt idx="198">
                  <c:v>54.345903774201133</c:v>
                </c:pt>
                <c:pt idx="199">
                  <c:v>53.778129590707081</c:v>
                </c:pt>
                <c:pt idx="200">
                  <c:v>53.201989727414748</c:v>
                </c:pt>
                <c:pt idx="201">
                  <c:v>52.617688990027752</c:v>
                </c:pt>
                <c:pt idx="202">
                  <c:v>52.025443129103493</c:v>
                </c:pt>
                <c:pt idx="203">
                  <c:v>51.425478693698864</c:v>
                </c:pt>
                <c:pt idx="204">
                  <c:v>50.818032829916916</c:v>
                </c:pt>
                <c:pt idx="205">
                  <c:v>50.203353023159501</c:v>
                </c:pt>
                <c:pt idx="206">
                  <c:v>49.581696783308793</c:v>
                </c:pt>
                <c:pt idx="207">
                  <c:v>48.953331272517438</c:v>
                </c:pt>
                <c:pt idx="208">
                  <c:v>48.318532875781521</c:v>
                </c:pt>
                <c:pt idx="209">
                  <c:v>47.677586714960562</c:v>
                </c:pt>
                <c:pt idx="210">
                  <c:v>47.03078610744771</c:v>
                </c:pt>
                <c:pt idx="211">
                  <c:v>46.378431971216671</c:v>
                </c:pt>
                <c:pt idx="212">
                  <c:v>45.720832178508687</c:v>
                </c:pt>
                <c:pt idx="213">
                  <c:v>45.058300860948883</c:v>
                </c:pt>
                <c:pt idx="214">
                  <c:v>44.391157669394723</c:v>
                </c:pt>
                <c:pt idx="215">
                  <c:v>43.719726992305269</c:v>
                </c:pt>
                <c:pt idx="216">
                  <c:v>43.044337136879541</c:v>
                </c:pt>
                <c:pt idx="217">
                  <c:v>42.365319477626592</c:v>
                </c:pt>
                <c:pt idx="218">
                  <c:v>41.683007577402307</c:v>
                </c:pt>
                <c:pt idx="219">
                  <c:v>40.997736286259361</c:v>
                </c:pt>
                <c:pt idx="220">
                  <c:v>40.309840823719107</c:v>
                </c:pt>
                <c:pt idx="221">
                  <c:v>39.619655850258312</c:v>
                </c:pt>
                <c:pt idx="222">
                  <c:v>38.927514533930243</c:v>
                </c:pt>
                <c:pt idx="223">
                  <c:v>38.233747618095727</c:v>
                </c:pt>
                <c:pt idx="224">
                  <c:v>37.538682496208004</c:v>
                </c:pt>
                <c:pt idx="225">
                  <c:v>36.84264229952251</c:v>
                </c:pt>
                <c:pt idx="226">
                  <c:v>36.145945003422391</c:v>
                </c:pt>
                <c:pt idx="227">
                  <c:v>35.448902557845827</c:v>
                </c:pt>
                <c:pt idx="228">
                  <c:v>34.751820046991789</c:v>
                </c:pt>
                <c:pt idx="229">
                  <c:v>34.054994883147415</c:v>
                </c:pt>
                <c:pt idx="230">
                  <c:v>33.358716039086673</c:v>
                </c:pt>
                <c:pt idx="231">
                  <c:v>32.663263323038407</c:v>
                </c:pt>
                <c:pt idx="232">
                  <c:v>31.968906699762446</c:v>
                </c:pt>
                <c:pt idx="233">
                  <c:v>31.275905660756774</c:v>
                </c:pt>
                <c:pt idx="234">
                  <c:v>30.584508646113132</c:v>
                </c:pt>
                <c:pt idx="235">
                  <c:v>29.894952519993012</c:v>
                </c:pt>
                <c:pt idx="236">
                  <c:v>29.207462101174162</c:v>
                </c:pt>
                <c:pt idx="237">
                  <c:v>28.522249749584965</c:v>
                </c:pt>
                <c:pt idx="238">
                  <c:v>27.839515009231192</c:v>
                </c:pt>
                <c:pt idx="239">
                  <c:v>27.159444307427478</c:v>
                </c:pt>
                <c:pt idx="240">
                  <c:v>26.482210709774414</c:v>
                </c:pt>
                <c:pt idx="241">
                  <c:v>25.807973729884534</c:v>
                </c:pt>
                <c:pt idx="242">
                  <c:v>25.136879192463017</c:v>
                </c:pt>
                <c:pt idx="243">
                  <c:v>24.469059147981572</c:v>
                </c:pt>
                <c:pt idx="244">
                  <c:v>23.804631836860494</c:v>
                </c:pt>
                <c:pt idx="245">
                  <c:v>23.143701700799618</c:v>
                </c:pt>
                <c:pt idx="246">
                  <c:v>22.486359438654617</c:v>
                </c:pt>
                <c:pt idx="247">
                  <c:v>21.832682104073875</c:v>
                </c:pt>
                <c:pt idx="248">
                  <c:v>21.182733241946501</c:v>
                </c:pt>
                <c:pt idx="249">
                  <c:v>20.536563060617816</c:v>
                </c:pt>
                <c:pt idx="250">
                  <c:v>19.894208636748836</c:v>
                </c:pt>
                <c:pt idx="251">
                  <c:v>19.25569414966521</c:v>
                </c:pt>
                <c:pt idx="252">
                  <c:v>18.621031142050036</c:v>
                </c:pt>
                <c:pt idx="253">
                  <c:v>17.990218803857164</c:v>
                </c:pt>
                <c:pt idx="254">
                  <c:v>17.363244276390201</c:v>
                </c:pt>
                <c:pt idx="255">
                  <c:v>16.740082973572701</c:v>
                </c:pt>
                <c:pt idx="256">
                  <c:v>16.120698917548189</c:v>
                </c:pt>
                <c:pt idx="257">
                  <c:v>15.505045085864841</c:v>
                </c:pt>
                <c:pt idx="258">
                  <c:v>14.893063767647654</c:v>
                </c:pt>
                <c:pt idx="259">
                  <c:v>14.284686926307192</c:v>
                </c:pt>
                <c:pt idx="260">
                  <c:v>13.67983656649869</c:v>
                </c:pt>
                <c:pt idx="261">
                  <c:v>13.078425103206904</c:v>
                </c:pt>
                <c:pt idx="262">
                  <c:v>12.480355731008377</c:v>
                </c:pt>
                <c:pt idx="263">
                  <c:v>11.885522791730505</c:v>
                </c:pt>
                <c:pt idx="264">
                  <c:v>11.29381213890273</c:v>
                </c:pt>
                <c:pt idx="265">
                  <c:v>10.705101497560168</c:v>
                </c:pt>
                <c:pt idx="266">
                  <c:v>10.119260818131144</c:v>
                </c:pt>
                <c:pt idx="267">
                  <c:v>9.5361526232963527</c:v>
                </c:pt>
                <c:pt idx="268">
                  <c:v>8.9556323468693311</c:v>
                </c:pt>
                <c:pt idx="269">
                  <c:v>8.3775486638879002</c:v>
                </c:pt>
                <c:pt idx="270">
                  <c:v>7.8017438112582269</c:v>
                </c:pt>
                <c:pt idx="271">
                  <c:v>7.2280538984148324</c:v>
                </c:pt>
                <c:pt idx="272">
                  <c:v>6.6563092076000405</c:v>
                </c:pt>
                <c:pt idx="273">
                  <c:v>6.0863344834666533</c:v>
                </c:pt>
                <c:pt idx="274">
                  <c:v>5.5179492118351989</c:v>
                </c:pt>
                <c:pt idx="275">
                  <c:v>4.9509678875209993</c:v>
                </c:pt>
                <c:pt idx="276">
                  <c:v>4.3852002712532441</c:v>
                </c:pt>
                <c:pt idx="277">
                  <c:v>3.8204516357848992</c:v>
                </c:pt>
                <c:pt idx="278">
                  <c:v>3.2565230013748039</c:v>
                </c:pt>
                <c:pt idx="279">
                  <c:v>2.6932113608906776</c:v>
                </c:pt>
                <c:pt idx="280">
                  <c:v>2.1303098948499484</c:v>
                </c:pt>
                <c:pt idx="281">
                  <c:v>1.5676081767707051</c:v>
                </c:pt>
                <c:pt idx="282">
                  <c:v>1.0048923692558376</c:v>
                </c:pt>
                <c:pt idx="283">
                  <c:v>0.44194541128437653</c:v>
                </c:pt>
                <c:pt idx="284">
                  <c:v>-0.121452802779772</c:v>
                </c:pt>
                <c:pt idx="285">
                  <c:v>-0.68552525190910429</c:v>
                </c:pt>
                <c:pt idx="286">
                  <c:v>-1.2504976242834021</c:v>
                </c:pt>
                <c:pt idx="287">
                  <c:v>-1.8165981596979313</c:v>
                </c:pt>
                <c:pt idx="288">
                  <c:v>-2.3840574978700357</c:v>
                </c:pt>
                <c:pt idx="289">
                  <c:v>-2.9531085319878945</c:v>
                </c:pt>
                <c:pt idx="290">
                  <c:v>-3.5239862668188309</c:v>
                </c:pt>
                <c:pt idx="291">
                  <c:v>-4.0969276806827839</c:v>
                </c:pt>
                <c:pt idx="292">
                  <c:v>-4.6721715905786176</c:v>
                </c:pt>
                <c:pt idx="293">
                  <c:v>-5.249958519739681</c:v>
                </c:pt>
                <c:pt idx="294">
                  <c:v>-5.8305305668824445</c:v>
                </c:pt>
                <c:pt idx="295">
                  <c:v>-6.4141312764037801</c:v>
                </c:pt>
                <c:pt idx="296">
                  <c:v>-7.0010055087766236</c:v>
                </c:pt>
                <c:pt idx="297">
                  <c:v>-7.5913993103795789</c:v>
                </c:pt>
                <c:pt idx="298">
                  <c:v>-8.18555978200461</c:v>
                </c:pt>
                <c:pt idx="299">
                  <c:v>-8.7837349452681917</c:v>
                </c:pt>
                <c:pt idx="300">
                  <c:v>-9.3861736061632897</c:v>
                </c:pt>
                <c:pt idx="301">
                  <c:v>-9.9931252149772654</c:v>
                </c:pt>
                <c:pt idx="302">
                  <c:v>-10.604839721812036</c:v>
                </c:pt>
                <c:pt idx="303">
                  <c:v>-11.221567426938053</c:v>
                </c:pt>
                <c:pt idx="304">
                  <c:v>-11.843558825223139</c:v>
                </c:pt>
                <c:pt idx="305">
                  <c:v>-12.471064443882579</c:v>
                </c:pt>
                <c:pt idx="306">
                  <c:v>-13.104334672806544</c:v>
                </c:pt>
                <c:pt idx="307">
                  <c:v>-13.74361958673272</c:v>
                </c:pt>
                <c:pt idx="308">
                  <c:v>-14.389168758547525</c:v>
                </c:pt>
                <c:pt idx="309">
                  <c:v>-15.041231063017332</c:v>
                </c:pt>
                <c:pt idx="310">
                  <c:v>-15.700054470273143</c:v>
                </c:pt>
                <c:pt idx="311">
                  <c:v>-16.365885828397456</c:v>
                </c:pt>
                <c:pt idx="312">
                  <c:v>-17.038970634495257</c:v>
                </c:pt>
                <c:pt idx="313">
                  <c:v>-17.719552793660529</c:v>
                </c:pt>
                <c:pt idx="314">
                  <c:v>-18.407874365298664</c:v>
                </c:pt>
                <c:pt idx="315">
                  <c:v>-19.104175296303964</c:v>
                </c:pt>
                <c:pt idx="316">
                  <c:v>-19.808693140645854</c:v>
                </c:pt>
                <c:pt idx="317">
                  <c:v>-20.521662764982409</c:v>
                </c:pt>
                <c:pt idx="318">
                  <c:v>-21.243316039975692</c:v>
                </c:pt>
                <c:pt idx="319">
                  <c:v>-21.973881517066424</c:v>
                </c:pt>
                <c:pt idx="320">
                  <c:v>-22.713584090540827</c:v>
                </c:pt>
                <c:pt idx="321">
                  <c:v>-23.462644644815839</c:v>
                </c:pt>
                <c:pt idx="322">
                  <c:v>-24.221279686962966</c:v>
                </c:pt>
                <c:pt idx="323">
                  <c:v>-24.989700964599219</c:v>
                </c:pt>
                <c:pt idx="324">
                  <c:v>-25.768115069392405</c:v>
                </c:pt>
                <c:pt idx="325">
                  <c:v>-26.556723026538066</c:v>
                </c:pt>
                <c:pt idx="326">
                  <c:v>-27.355719870712417</c:v>
                </c:pt>
                <c:pt idx="327">
                  <c:v>-28.1652942091387</c:v>
                </c:pt>
                <c:pt idx="328">
                  <c:v>-28.985627772540475</c:v>
                </c:pt>
                <c:pt idx="329">
                  <c:v>-29.816894954933165</c:v>
                </c:pt>
                <c:pt idx="330">
                  <c:v>-30.659262343335257</c:v>
                </c:pt>
                <c:pt idx="331">
                  <c:v>-31.512888238669007</c:v>
                </c:pt>
                <c:pt idx="332">
                  <c:v>-32.377922169273553</c:v>
                </c:pt>
                <c:pt idx="333">
                  <c:v>-33.254504398632832</c:v>
                </c:pt>
                <c:pt idx="334">
                  <c:v>-34.142765429079958</c:v>
                </c:pt>
                <c:pt idx="335">
                  <c:v>-35.042825503419564</c:v>
                </c:pt>
                <c:pt idx="336">
                  <c:v>-35.954794106566226</c:v>
                </c:pt>
                <c:pt idx="337">
                  <c:v>-36.87876946946156</c:v>
                </c:pt>
                <c:pt idx="338">
                  <c:v>-37.814838077676491</c:v>
                </c:pt>
                <c:pt idx="339">
                  <c:v>-38.76307418725078</c:v>
                </c:pt>
                <c:pt idx="340">
                  <c:v>-39.723539350436511</c:v>
                </c:pt>
                <c:pt idx="341">
                  <c:v>-40.696281954135642</c:v>
                </c:pt>
                <c:pt idx="342">
                  <c:v>-41.681336773889214</c:v>
                </c:pt>
                <c:pt idx="343">
                  <c:v>-42.678724546352903</c:v>
                </c:pt>
                <c:pt idx="344">
                  <c:v>-43.688451563236093</c:v>
                </c:pt>
                <c:pt idx="345">
                  <c:v>-44.710509289676871</c:v>
                </c:pt>
                <c:pt idx="346">
                  <c:v>-45.7448740100224</c:v>
                </c:pt>
                <c:pt idx="347">
                  <c:v>-46.791506503919805</c:v>
                </c:pt>
                <c:pt idx="348">
                  <c:v>-47.850351755547415</c:v>
                </c:pt>
                <c:pt idx="349">
                  <c:v>-48.921338698684188</c:v>
                </c:pt>
                <c:pt idx="350">
                  <c:v>-50.004380000170222</c:v>
                </c:pt>
                <c:pt idx="351">
                  <c:v>-51.099371884113744</c:v>
                </c:pt>
                <c:pt idx="352">
                  <c:v>-52.206193998974406</c:v>
                </c:pt>
                <c:pt idx="353">
                  <c:v>-53.324709329400569</c:v>
                </c:pt>
                <c:pt idx="354">
                  <c:v>-54.454764154410583</c:v>
                </c:pt>
                <c:pt idx="355">
                  <c:v>-55.596188053183923</c:v>
                </c:pt>
                <c:pt idx="356">
                  <c:v>-56.748793959413611</c:v>
                </c:pt>
                <c:pt idx="357">
                  <c:v>-57.91237826479405</c:v>
                </c:pt>
                <c:pt idx="358">
                  <c:v>-59.086720971869447</c:v>
                </c:pt>
                <c:pt idx="359">
                  <c:v>-60.271585896091196</c:v>
                </c:pt>
                <c:pt idx="360">
                  <c:v>-61.466720916557883</c:v>
                </c:pt>
                <c:pt idx="361">
                  <c:v>-62.671858274550033</c:v>
                </c:pt>
                <c:pt idx="362">
                  <c:v>-63.886714918619859</c:v>
                </c:pt>
                <c:pt idx="363">
                  <c:v>-65.110992894666907</c:v>
                </c:pt>
                <c:pt idx="364">
                  <c:v>-66.344379779119365</c:v>
                </c:pt>
                <c:pt idx="365">
                  <c:v>-67.586549153075708</c:v>
                </c:pt>
                <c:pt idx="366">
                  <c:v>-68.837161115028564</c:v>
                </c:pt>
                <c:pt idx="367">
                  <c:v>-70.095862829588171</c:v>
                </c:pt>
                <c:pt idx="368">
                  <c:v>-71.362289109496686</c:v>
                </c:pt>
                <c:pt idx="369">
                  <c:v>-72.636063028103109</c:v>
                </c:pt>
                <c:pt idx="370">
                  <c:v>-73.916796559439689</c:v>
                </c:pt>
                <c:pt idx="371">
                  <c:v>-75.204091243020528</c:v>
                </c:pt>
                <c:pt idx="372">
                  <c:v>-76.497538870547757</c:v>
                </c:pt>
                <c:pt idx="373">
                  <c:v>-77.79672219177759</c:v>
                </c:pt>
                <c:pt idx="374">
                  <c:v>-79.10121563694716</c:v>
                </c:pt>
                <c:pt idx="375">
                  <c:v>-80.410586053309572</c:v>
                </c:pt>
                <c:pt idx="376">
                  <c:v>-81.72439345352069</c:v>
                </c:pt>
                <c:pt idx="377">
                  <c:v>-83.042191773832073</c:v>
                </c:pt>
                <c:pt idx="378">
                  <c:v>-84.363529640254342</c:v>
                </c:pt>
                <c:pt idx="379">
                  <c:v>-85.687951141098239</c:v>
                </c:pt>
                <c:pt idx="380">
                  <c:v>-87.014996604502215</c:v>
                </c:pt>
                <c:pt idx="381">
                  <c:v>-88.344203379773788</c:v>
                </c:pt>
                <c:pt idx="382">
                  <c:v>-89.675106621562747</c:v>
                </c:pt>
                <c:pt idx="383">
                  <c:v>-91.007240076032858</c:v>
                </c:pt>
                <c:pt idx="384">
                  <c:v>-92.340136868341347</c:v>
                </c:pt>
                <c:pt idx="385">
                  <c:v>-93.67333029081496</c:v>
                </c:pt>
                <c:pt idx="386">
                  <c:v>-95.006354591270608</c:v>
                </c:pt>
                <c:pt idx="387">
                  <c:v>-96.338745760931232</c:v>
                </c:pt>
                <c:pt idx="388">
                  <c:v>-97.670042321354032</c:v>
                </c:pt>
                <c:pt idx="389">
                  <c:v>-98.999786109711792</c:v>
                </c:pt>
                <c:pt idx="390">
                  <c:v>-100.32752306165779</c:v>
                </c:pt>
                <c:pt idx="391">
                  <c:v>-101.65280399084067</c:v>
                </c:pt>
                <c:pt idx="392">
                  <c:v>-102.97518536397956</c:v>
                </c:pt>
                <c:pt idx="393">
                  <c:v>-104.29423007018131</c:v>
                </c:pt>
                <c:pt idx="394">
                  <c:v>-105.60950818298622</c:v>
                </c:pt>
                <c:pt idx="395">
                  <c:v>-106.9205977133882</c:v>
                </c:pt>
                <c:pt idx="396">
                  <c:v>-108.22708535186109</c:v>
                </c:pt>
                <c:pt idx="397">
                  <c:v>-109.52856719719755</c:v>
                </c:pt>
                <c:pt idx="398">
                  <c:v>-110.82464946977122</c:v>
                </c:pt>
                <c:pt idx="399">
                  <c:v>-112.11494920666459</c:v>
                </c:pt>
                <c:pt idx="400">
                  <c:v>-113.39909493594446</c:v>
                </c:pt>
                <c:pt idx="401">
                  <c:v>-114.6767273272808</c:v>
                </c:pt>
                <c:pt idx="402">
                  <c:v>-115.94749981602097</c:v>
                </c:pt>
                <c:pt idx="403">
                  <c:v>-117.21107919782537</c:v>
                </c:pt>
                <c:pt idx="404">
                  <c:v>-118.4671461909919</c:v>
                </c:pt>
                <c:pt idx="405">
                  <c:v>-119.71539596367374</c:v>
                </c:pt>
                <c:pt idx="406">
                  <c:v>-120.95553862332554</c:v>
                </c:pt>
                <c:pt idx="407">
                  <c:v>-122.18729966587688</c:v>
                </c:pt>
                <c:pt idx="408">
                  <c:v>-123.41042038235602</c:v>
                </c:pt>
                <c:pt idx="409">
                  <c:v>-124.6246582209296</c:v>
                </c:pt>
                <c:pt idx="410">
                  <c:v>-125.82978710262796</c:v>
                </c:pt>
                <c:pt idx="411">
                  <c:v>-127.02559768933106</c:v>
                </c:pt>
                <c:pt idx="412">
                  <c:v>-128.21189760293896</c:v>
                </c:pt>
                <c:pt idx="413">
                  <c:v>-129.3885115950028</c:v>
                </c:pt>
                <c:pt idx="414">
                  <c:v>-130.55528166646218</c:v>
                </c:pt>
                <c:pt idx="415">
                  <c:v>-131.71206713750112</c:v>
                </c:pt>
                <c:pt idx="416">
                  <c:v>-132.85874466790239</c:v>
                </c:pt>
                <c:pt idx="417">
                  <c:v>-133.99520822863045</c:v>
                </c:pt>
                <c:pt idx="418">
                  <c:v>-135.12136902571541</c:v>
                </c:pt>
                <c:pt idx="419">
                  <c:v>-136.23715537783499</c:v>
                </c:pt>
                <c:pt idx="420">
                  <c:v>-137.34251254926653</c:v>
                </c:pt>
                <c:pt idx="421">
                  <c:v>-138.43740254016947</c:v>
                </c:pt>
                <c:pt idx="422">
                  <c:v>-139.52180383636778</c:v>
                </c:pt>
                <c:pt idx="423">
                  <c:v>-140.59571112102662</c:v>
                </c:pt>
                <c:pt idx="424">
                  <c:v>-141.65913495075085</c:v>
                </c:pt>
                <c:pt idx="425">
                  <c:v>-142.71210139879449</c:v>
                </c:pt>
                <c:pt idx="426">
                  <c:v>-143.75465166814021</c:v>
                </c:pt>
                <c:pt idx="427">
                  <c:v>-144.7868416772715</c:v>
                </c:pt>
                <c:pt idx="428">
                  <c:v>-145.80874162149559</c:v>
                </c:pt>
                <c:pt idx="429">
                  <c:v>-146.82043551266304</c:v>
                </c:pt>
                <c:pt idx="430">
                  <c:v>-147.82202070008654</c:v>
                </c:pt>
                <c:pt idx="431">
                  <c:v>-148.81360737541249</c:v>
                </c:pt>
                <c:pt idx="432">
                  <c:v>-149.79531806410904</c:v>
                </c:pt>
                <c:pt idx="433">
                  <c:v>-150.76728710612215</c:v>
                </c:pt>
                <c:pt idx="434">
                  <c:v>-151.7296601281289</c:v>
                </c:pt>
                <c:pt idx="435">
                  <c:v>-152.68259350967506</c:v>
                </c:pt>
                <c:pt idx="436">
                  <c:v>-153.62625384533385</c:v>
                </c:pt>
                <c:pt idx="437">
                  <c:v>-154.56081740485047</c:v>
                </c:pt>
                <c:pt idx="438">
                  <c:v>-155.48646959307484</c:v>
                </c:pt>
                <c:pt idx="439">
                  <c:v>-156.40340441130638</c:v>
                </c:pt>
                <c:pt idx="440">
                  <c:v>-157.31182392149219</c:v>
                </c:pt>
                <c:pt idx="441">
                  <c:v>-158.21193771455361</c:v>
                </c:pt>
                <c:pt idx="442">
                  <c:v>-159.10396238392318</c:v>
                </c:pt>
                <c:pt idx="443">
                  <c:v>-159.98812100521897</c:v>
                </c:pt>
                <c:pt idx="444">
                  <c:v>-160.86464262280194</c:v>
                </c:pt>
                <c:pt idx="445">
                  <c:v>-161.73376174380411</c:v>
                </c:pt>
                <c:pt idx="446">
                  <c:v>-162.59571784006465</c:v>
                </c:pt>
                <c:pt idx="447">
                  <c:v>-163.45075485825788</c:v>
                </c:pt>
                <c:pt idx="448">
                  <c:v>-164.29912073836175</c:v>
                </c:pt>
                <c:pt idx="449">
                  <c:v>-165.14106694049048</c:v>
                </c:pt>
                <c:pt idx="450">
                  <c:v>-165.97684797999131</c:v>
                </c:pt>
                <c:pt idx="451">
                  <c:v>-166.80672097059937</c:v>
                </c:pt>
                <c:pt idx="452">
                  <c:v>-167.63094517534608</c:v>
                </c:pt>
                <c:pt idx="453">
                  <c:v>-168.44978156483171</c:v>
                </c:pt>
                <c:pt idx="454">
                  <c:v>-169.26349238239141</c:v>
                </c:pt>
                <c:pt idx="455">
                  <c:v>-170.07234071562294</c:v>
                </c:pt>
                <c:pt idx="456">
                  <c:v>-170.87659007368214</c:v>
                </c:pt>
                <c:pt idx="457">
                  <c:v>-171.67650396972002</c:v>
                </c:pt>
                <c:pt idx="458">
                  <c:v>-172.47234550778427</c:v>
                </c:pt>
                <c:pt idx="459">
                  <c:v>-173.26437697350156</c:v>
                </c:pt>
                <c:pt idx="460">
                  <c:v>-174.05285942783109</c:v>
                </c:pt>
                <c:pt idx="461">
                  <c:v>-174.83805230318515</c:v>
                </c:pt>
                <c:pt idx="462">
                  <c:v>-175.62021300121779</c:v>
                </c:pt>
                <c:pt idx="463">
                  <c:v>-176.39959649160195</c:v>
                </c:pt>
                <c:pt idx="464">
                  <c:v>-177.17645491114394</c:v>
                </c:pt>
                <c:pt idx="465">
                  <c:v>-177.95103716262267</c:v>
                </c:pt>
                <c:pt idx="466">
                  <c:v>-178.72358851279537</c:v>
                </c:pt>
                <c:pt idx="467">
                  <c:v>-179.49435018906638</c:v>
                </c:pt>
                <c:pt idx="468">
                  <c:v>179.73644102561124</c:v>
                </c:pt>
                <c:pt idx="469">
                  <c:v>178.968553199946</c:v>
                </c:pt>
                <c:pt idx="470">
                  <c:v>178.20175966389152</c:v>
                </c:pt>
                <c:pt idx="471">
                  <c:v>177.43583942075253</c:v>
                </c:pt>
                <c:pt idx="472">
                  <c:v>176.67057756186028</c:v>
                </c:pt>
                <c:pt idx="473">
                  <c:v>175.90576568373166</c:v>
                </c:pt>
                <c:pt idx="474">
                  <c:v>175.14120230750078</c:v>
                </c:pt>
                <c:pt idx="475">
                  <c:v>174.37669330027043</c:v>
                </c:pt>
                <c:pt idx="476">
                  <c:v>173.61205229787441</c:v>
                </c:pt>
                <c:pt idx="477">
                  <c:v>172.84710112839051</c:v>
                </c:pt>
                <c:pt idx="478">
                  <c:v>172.0816702355738</c:v>
                </c:pt>
                <c:pt idx="479">
                  <c:v>171.31559910120851</c:v>
                </c:pt>
                <c:pt idx="480">
                  <c:v>170.5487366652014</c:v>
                </c:pt>
                <c:pt idx="481">
                  <c:v>169.78094174205665</c:v>
                </c:pt>
                <c:pt idx="482">
                  <c:v>169.01208343219113</c:v>
                </c:pt>
                <c:pt idx="483">
                  <c:v>168.24204152636531</c:v>
                </c:pt>
                <c:pt idx="484">
                  <c:v>167.47070690132452</c:v>
                </c:pt>
                <c:pt idx="485">
                  <c:v>166.69798190456808</c:v>
                </c:pt>
                <c:pt idx="486">
                  <c:v>165.92378072599604</c:v>
                </c:pt>
                <c:pt idx="487">
                  <c:v>165.1480297540183</c:v>
                </c:pt>
                <c:pt idx="488">
                  <c:v>164.37066791357302</c:v>
                </c:pt>
                <c:pt idx="489">
                  <c:v>163.59164698335562</c:v>
                </c:pt>
                <c:pt idx="490">
                  <c:v>162.81093188946247</c:v>
                </c:pt>
                <c:pt idx="491">
                  <c:v>162.02850097255052</c:v>
                </c:pt>
                <c:pt idx="492">
                  <c:v>161.24434622555472</c:v>
                </c:pt>
                <c:pt idx="493">
                  <c:v>160.45847349897195</c:v>
                </c:pt>
                <c:pt idx="494">
                  <c:v>159.67090267071001</c:v>
                </c:pt>
                <c:pt idx="495">
                  <c:v>158.88166777753833</c:v>
                </c:pt>
                <c:pt idx="496">
                  <c:v>158.09081710524092</c:v>
                </c:pt>
                <c:pt idx="497">
                  <c:v>157.2984132346846</c:v>
                </c:pt>
                <c:pt idx="498">
                  <c:v>156.50453304116823</c:v>
                </c:pt>
                <c:pt idx="499">
                  <c:v>155.70926764460904</c:v>
                </c:pt>
                <c:pt idx="500">
                  <c:v>154.91272230836086</c:v>
                </c:pt>
                <c:pt idx="501">
                  <c:v>154.11501628474898</c:v>
                </c:pt>
                <c:pt idx="502">
                  <c:v>153.31628260571881</c:v>
                </c:pt>
                <c:pt idx="503">
                  <c:v>152.51666781736631</c:v>
                </c:pt>
                <c:pt idx="504">
                  <c:v>151.71633165753292</c:v>
                </c:pt>
                <c:pt idx="505">
                  <c:v>150.91544667606541</c:v>
                </c:pt>
                <c:pt idx="506">
                  <c:v>150.11419779782727</c:v>
                </c:pt>
                <c:pt idx="507">
                  <c:v>149.31278182903878</c:v>
                </c:pt>
                <c:pt idx="508">
                  <c:v>148.51140690802788</c:v>
                </c:pt>
                <c:pt idx="509">
                  <c:v>147.71029190200952</c:v>
                </c:pt>
                <c:pt idx="510">
                  <c:v>146.90966575203285</c:v>
                </c:pt>
                <c:pt idx="511">
                  <c:v>146.10976676876504</c:v>
                </c:pt>
                <c:pt idx="512">
                  <c:v>145.31084188229067</c:v>
                </c:pt>
                <c:pt idx="513">
                  <c:v>144.51314584960321</c:v>
                </c:pt>
                <c:pt idx="514">
                  <c:v>143.71694042392534</c:v>
                </c:pt>
                <c:pt idx="515">
                  <c:v>142.92249349042828</c:v>
                </c:pt>
                <c:pt idx="516">
                  <c:v>142.13007817329395</c:v>
                </c:pt>
                <c:pt idx="517">
                  <c:v>141.33997191940884</c:v>
                </c:pt>
                <c:pt idx="518">
                  <c:v>140.55245556423927</c:v>
                </c:pt>
                <c:pt idx="519">
                  <c:v>139.76781238565786</c:v>
                </c:pt>
                <c:pt idx="520">
                  <c:v>138.98632715163083</c:v>
                </c:pt>
                <c:pt idx="521">
                  <c:v>138.20828516774748</c:v>
                </c:pt>
                <c:pt idx="522">
                  <c:v>137.43397133058798</c:v>
                </c:pt>
                <c:pt idx="523">
                  <c:v>136.66366919283709</c:v>
                </c:pt>
                <c:pt idx="524">
                  <c:v>135.89766004593218</c:v>
                </c:pt>
                <c:pt idx="525">
                  <c:v>135.13622202581681</c:v>
                </c:pt>
                <c:pt idx="526">
                  <c:v>134.37962924710274</c:v>
                </c:pt>
                <c:pt idx="527">
                  <c:v>133.62815097061886</c:v>
                </c:pt>
                <c:pt idx="528">
                  <c:v>132.88205080894085</c:v>
                </c:pt>
                <c:pt idx="529">
                  <c:v>132.14158597406291</c:v>
                </c:pt>
                <c:pt idx="530">
                  <c:v>131.407006570931</c:v>
                </c:pt>
                <c:pt idx="531">
                  <c:v>130.67855494002734</c:v>
                </c:pt>
                <c:pt idx="532">
                  <c:v>129.9564650517122</c:v>
                </c:pt>
                <c:pt idx="533">
                  <c:v>129.24096195447868</c:v>
                </c:pt>
                <c:pt idx="534">
                  <c:v>128.53226127875209</c:v>
                </c:pt>
                <c:pt idx="535">
                  <c:v>127.83056879732941</c:v>
                </c:pt>
                <c:pt idx="536">
                  <c:v>127.13608004303705</c:v>
                </c:pt>
                <c:pt idx="537">
                  <c:v>126.44897998367624</c:v>
                </c:pt>
                <c:pt idx="538">
                  <c:v>125.76944275385618</c:v>
                </c:pt>
                <c:pt idx="539">
                  <c:v>125.09763144285151</c:v>
                </c:pt>
                <c:pt idx="540">
                  <c:v>124.43369793722141</c:v>
                </c:pt>
                <c:pt idx="541">
                  <c:v>123.77778281652982</c:v>
                </c:pt>
              </c:numCache>
            </c:numRef>
          </c:yVal>
          <c:smooth val="1"/>
          <c:extLst>
            <c:ext xmlns:c16="http://schemas.microsoft.com/office/drawing/2014/chart" uri="{C3380CC4-5D6E-409C-BE32-E72D297353CC}">
              <c16:uniqueId val="{00000001-83C7-483B-9FAA-73F41D4B5EAC}"/>
            </c:ext>
          </c:extLst>
        </c:ser>
        <c:dLbls>
          <c:showLegendKey val="0"/>
          <c:showVal val="0"/>
          <c:showCatName val="0"/>
          <c:showSerName val="0"/>
          <c:showPercent val="0"/>
          <c:showBubbleSize val="0"/>
        </c:dLbls>
        <c:axId val="384296832"/>
        <c:axId val="384295296"/>
      </c:scatterChart>
      <c:valAx>
        <c:axId val="377549184"/>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77551104"/>
        <c:crosses val="autoZero"/>
        <c:crossBetween val="midCat"/>
      </c:valAx>
      <c:valAx>
        <c:axId val="377551104"/>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a:solidFill>
                  <a:srgbClr val="FF0000"/>
                </a:solidFill>
              </a:defRPr>
            </a:pPr>
            <a:endParaRPr lang="en-US"/>
          </a:p>
        </c:txPr>
        <c:crossAx val="377549184"/>
        <c:crosses val="autoZero"/>
        <c:crossBetween val="midCat"/>
        <c:majorUnit val="20"/>
        <c:minorUnit val="10"/>
      </c:valAx>
      <c:valAx>
        <c:axId val="384295296"/>
        <c:scaling>
          <c:orientation val="minMax"/>
          <c:max val="180"/>
          <c:min val="-180"/>
        </c:scaling>
        <c:delete val="0"/>
        <c:axPos val="r"/>
        <c:numFmt formatCode="General" sourceLinked="1"/>
        <c:majorTickMark val="out"/>
        <c:minorTickMark val="none"/>
        <c:tickLblPos val="nextTo"/>
        <c:txPr>
          <a:bodyPr/>
          <a:lstStyle/>
          <a:p>
            <a:pPr>
              <a:defRPr>
                <a:solidFill>
                  <a:schemeClr val="tx1">
                    <a:lumMod val="95000"/>
                    <a:lumOff val="5000"/>
                  </a:schemeClr>
                </a:solidFill>
              </a:defRPr>
            </a:pPr>
            <a:endParaRPr lang="en-US"/>
          </a:p>
        </c:txPr>
        <c:crossAx val="384296832"/>
        <c:crosses val="max"/>
        <c:crossBetween val="midCat"/>
        <c:majorUnit val="90"/>
        <c:minorUnit val="45"/>
      </c:valAx>
      <c:valAx>
        <c:axId val="384296832"/>
        <c:scaling>
          <c:logBase val="10"/>
          <c:orientation val="minMax"/>
        </c:scaling>
        <c:delete val="1"/>
        <c:axPos val="b"/>
        <c:numFmt formatCode="0.00" sourceLinked="1"/>
        <c:majorTickMark val="out"/>
        <c:minorTickMark val="none"/>
        <c:tickLblPos val="nextTo"/>
        <c:crossAx val="384295296"/>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Eff_vs_IOUT!$BZ$7:$BZ$157</c:f>
              <c:numCache>
                <c:formatCode>General</c:formatCode>
                <c:ptCount val="151"/>
                <c:pt idx="0">
                  <c:v>0</c:v>
                </c:pt>
                <c:pt idx="1">
                  <c:v>78.462764772552731</c:v>
                </c:pt>
                <c:pt idx="2">
                  <c:v>85.564317509840961</c:v>
                </c:pt>
                <c:pt idx="3">
                  <c:v>88.156898650888152</c:v>
                </c:pt>
                <c:pt idx="4">
                  <c:v>89.459874665785208</c:v>
                </c:pt>
                <c:pt idx="5">
                  <c:v>90.21976604612189</c:v>
                </c:pt>
                <c:pt idx="6">
                  <c:v>90.701656300592546</c:v>
                </c:pt>
                <c:pt idx="7">
                  <c:v>91.023163178559727</c:v>
                </c:pt>
                <c:pt idx="8">
                  <c:v>91.24432563759926</c:v>
                </c:pt>
                <c:pt idx="9">
                  <c:v>91.398917002639948</c:v>
                </c:pt>
                <c:pt idx="10">
                  <c:v>91.507344238123778</c:v>
                </c:pt>
                <c:pt idx="11">
                  <c:v>91.582634518740747</c:v>
                </c:pt>
                <c:pt idx="12">
                  <c:v>91.63347432974119</c:v>
                </c:pt>
                <c:pt idx="13">
                  <c:v>91.665864440172228</c:v>
                </c:pt>
                <c:pt idx="14">
                  <c:v>91.68407354905267</c:v>
                </c:pt>
                <c:pt idx="15">
                  <c:v>91.691214001392112</c:v>
                </c:pt>
                <c:pt idx="16">
                  <c:v>91.689603192476525</c:v>
                </c:pt>
                <c:pt idx="17">
                  <c:v>91.680998108920321</c:v>
                </c:pt>
                <c:pt idx="18">
                  <c:v>91.666751964035626</c:v>
                </c:pt>
                <c:pt idx="19">
                  <c:v>91.647921448470711</c:v>
                </c:pt>
                <c:pt idx="20">
                  <c:v>91.625341794908323</c:v>
                </c:pt>
                <c:pt idx="21">
                  <c:v>91.599680346551594</c:v>
                </c:pt>
                <c:pt idx="22">
                  <c:v>91.571475453470313</c:v>
                </c:pt>
                <c:pt idx="23">
                  <c:v>91.541165158063194</c:v>
                </c:pt>
                <c:pt idx="24">
                  <c:v>91.509108649076524</c:v>
                </c:pt>
                <c:pt idx="25">
                  <c:v>91.475602512629308</c:v>
                </c:pt>
                <c:pt idx="26">
                  <c:v>91.440893185526065</c:v>
                </c:pt>
                <c:pt idx="27">
                  <c:v>91.405186599986578</c:v>
                </c:pt>
                <c:pt idx="28">
                  <c:v>91.368655726184329</c:v>
                </c:pt>
                <c:pt idx="29">
                  <c:v>91.331446523829186</c:v>
                </c:pt>
                <c:pt idx="30">
                  <c:v>91.293682677358973</c:v>
                </c:pt>
                <c:pt idx="31">
                  <c:v>91.255469392298053</c:v>
                </c:pt>
                <c:pt idx="32">
                  <c:v>91.216896460632427</c:v>
                </c:pt>
                <c:pt idx="33">
                  <c:v>91.178040752375694</c:v>
                </c:pt>
                <c:pt idx="34">
                  <c:v>91.138968253268231</c:v>
                </c:pt>
                <c:pt idx="35">
                  <c:v>91.099735740919513</c:v>
                </c:pt>
                <c:pt idx="36">
                  <c:v>91.06039217100664</c:v>
                </c:pt>
                <c:pt idx="37">
                  <c:v>91.020979829499495</c:v>
                </c:pt>
                <c:pt idx="38">
                  <c:v>90.981535294967472</c:v>
                </c:pt>
                <c:pt idx="39">
                  <c:v>90.942090245872379</c:v>
                </c:pt>
                <c:pt idx="40">
                  <c:v>90.902672140675037</c:v>
                </c:pt>
                <c:pt idx="41">
                  <c:v>90.8633047930728</c:v>
                </c:pt>
                <c:pt idx="42">
                  <c:v>90.824008860364842</c:v>
                </c:pt>
                <c:pt idx="43">
                  <c:v>90.784802259535638</c:v>
                </c:pt>
                <c:pt idx="44">
                  <c:v>90.745700522943864</c:v>
                </c:pt>
                <c:pt idx="45">
                  <c:v>90.706717103348893</c:v>
                </c:pt>
                <c:pt idx="46">
                  <c:v>90.667863636277076</c:v>
                </c:pt>
                <c:pt idx="47">
                  <c:v>90.629150166337652</c:v>
                </c:pt>
                <c:pt idx="48">
                  <c:v>90.590585342969092</c:v>
                </c:pt>
                <c:pt idx="49">
                  <c:v>90.552176590179329</c:v>
                </c:pt>
                <c:pt idx="50">
                  <c:v>90.513930254092401</c:v>
                </c:pt>
                <c:pt idx="51">
                  <c:v>90.475851731499873</c:v>
                </c:pt>
                <c:pt idx="52">
                  <c:v>90.437945582107645</c:v>
                </c:pt>
                <c:pt idx="53">
                  <c:v>90.400215626749898</c:v>
                </c:pt>
                <c:pt idx="54">
                  <c:v>90.362665033494082</c:v>
                </c:pt>
                <c:pt idx="55">
                  <c:v>90.325296393271188</c:v>
                </c:pt>
                <c:pt idx="56">
                  <c:v>90.288111786423656</c:v>
                </c:pt>
                <c:pt idx="57">
                  <c:v>90.251112841359586</c:v>
                </c:pt>
                <c:pt idx="58">
                  <c:v>90.214300786332529</c:v>
                </c:pt>
                <c:pt idx="59">
                  <c:v>90.177676495220837</c:v>
                </c:pt>
                <c:pt idx="60">
                  <c:v>90.141240528059953</c:v>
                </c:pt>
                <c:pt idx="61">
                  <c:v>90.104993166976641</c:v>
                </c:pt>
                <c:pt idx="62">
                  <c:v>90.068934448087717</c:v>
                </c:pt>
                <c:pt idx="63">
                  <c:v>90.03306418984937</c:v>
                </c:pt>
                <c:pt idx="64">
                  <c:v>89.997382018280234</c:v>
                </c:pt>
                <c:pt idx="65">
                  <c:v>89.961887389426479</c:v>
                </c:pt>
                <c:pt idx="66">
                  <c:v>89.926579609389208</c:v>
                </c:pt>
                <c:pt idx="67">
                  <c:v>89.891457852195046</c:v>
                </c:pt>
                <c:pt idx="68">
                  <c:v>89.85652117575485</c:v>
                </c:pt>
                <c:pt idx="69">
                  <c:v>89.821768536126044</c:v>
                </c:pt>
                <c:pt idx="70">
                  <c:v>89.787198800267049</c:v>
                </c:pt>
                <c:pt idx="71">
                  <c:v>89.752810757450504</c:v>
                </c:pt>
                <c:pt idx="72">
                  <c:v>89.718603129481281</c:v>
                </c:pt>
                <c:pt idx="73">
                  <c:v>89.684574579848743</c:v>
                </c:pt>
                <c:pt idx="74">
                  <c:v>89.65072372192742</c:v>
                </c:pt>
                <c:pt idx="75">
                  <c:v>89.617049126327075</c:v>
                </c:pt>
                <c:pt idx="76">
                  <c:v>89.583549327481876</c:v>
                </c:pt>
                <c:pt idx="77">
                  <c:v>89.550222829557981</c:v>
                </c:pt>
                <c:pt idx="78">
                  <c:v>89.517068111750177</c:v>
                </c:pt>
                <c:pt idx="79">
                  <c:v>89.484083633030693</c:v>
                </c:pt>
                <c:pt idx="80">
                  <c:v>89.451267836405705</c:v>
                </c:pt>
                <c:pt idx="81">
                  <c:v>89.418619152729775</c:v>
                </c:pt>
                <c:pt idx="82">
                  <c:v>89.386136004122676</c:v>
                </c:pt>
                <c:pt idx="83">
                  <c:v>89.35381680702838</c:v>
                </c:pt>
                <c:pt idx="84">
                  <c:v>89.321659974951828</c:v>
                </c:pt>
                <c:pt idx="85">
                  <c:v>89.289663920905554</c:v>
                </c:pt>
                <c:pt idx="86">
                  <c:v>89.257827059594675</c:v>
                </c:pt>
                <c:pt idx="87">
                  <c:v>89.226147809365614</c:v>
                </c:pt>
                <c:pt idx="88">
                  <c:v>89.194624593942237</c:v>
                </c:pt>
                <c:pt idx="89">
                  <c:v>89.163255843969552</c:v>
                </c:pt>
                <c:pt idx="90">
                  <c:v>89.132039998383874</c:v>
                </c:pt>
                <c:pt idx="91">
                  <c:v>89.100975505626238</c:v>
                </c:pt>
                <c:pt idx="92">
                  <c:v>89.070060824714076</c:v>
                </c:pt>
                <c:pt idx="93">
                  <c:v>89.039294426184796</c:v>
                </c:pt>
                <c:pt idx="94">
                  <c:v>89.008674792923927</c:v>
                </c:pt>
                <c:pt idx="95">
                  <c:v>88.978200420888228</c:v>
                </c:pt>
                <c:pt idx="96">
                  <c:v>88.947869819734464</c:v>
                </c:pt>
                <c:pt idx="97">
                  <c:v>88.917681513362751</c:v>
                </c:pt>
                <c:pt idx="98">
                  <c:v>88.887634040382366</c:v>
                </c:pt>
                <c:pt idx="99">
                  <c:v>88.857725954507998</c:v>
                </c:pt>
                <c:pt idx="100">
                  <c:v>88.827955824892555</c:v>
                </c:pt>
                <c:pt idx="101">
                  <c:v>88.79832223640328</c:v>
                </c:pt>
                <c:pt idx="102">
                  <c:v>88.768823789846167</c:v>
                </c:pt>
                <c:pt idx="103">
                  <c:v>88.739459102143954</c:v>
                </c:pt>
                <c:pt idx="104">
                  <c:v>88.710226806472278</c:v>
                </c:pt>
                <c:pt idx="105">
                  <c:v>88.681125552357969</c:v>
                </c:pt>
                <c:pt idx="106">
                  <c:v>88.652154005743299</c:v>
                </c:pt>
                <c:pt idx="107">
                  <c:v>88.623310849019688</c:v>
                </c:pt>
                <c:pt idx="108">
                  <c:v>88.594594781033791</c:v>
                </c:pt>
                <c:pt idx="109">
                  <c:v>88.566004517068905</c:v>
                </c:pt>
                <c:pt idx="110">
                  <c:v>88.537538788804284</c:v>
                </c:pt>
                <c:pt idx="111">
                  <c:v>88.509196344254477</c:v>
                </c:pt>
                <c:pt idx="112">
                  <c:v>88.480975947691064</c:v>
                </c:pt>
                <c:pt idx="113">
                  <c:v>88.452876379548556</c:v>
                </c:pt>
                <c:pt idx="114">
                  <c:v>88.424896436316246</c:v>
                </c:pt>
                <c:pt idx="115">
                  <c:v>88.397034930417604</c:v>
                </c:pt>
                <c:pt idx="116">
                  <c:v>88.369290690078628</c:v>
                </c:pt>
                <c:pt idx="117">
                  <c:v>88.34166255918656</c:v>
                </c:pt>
                <c:pt idx="118">
                  <c:v>88.314149397140042</c:v>
                </c:pt>
                <c:pt idx="119">
                  <c:v>88.286750078691881</c:v>
                </c:pt>
                <c:pt idx="120">
                  <c:v>88.259463493785333</c:v>
                </c:pt>
                <c:pt idx="121">
                  <c:v>88.232288547385039</c:v>
                </c:pt>
                <c:pt idx="122">
                  <c:v>88.205224159302915</c:v>
                </c:pt>
                <c:pt idx="123">
                  <c:v>88.178269264020457</c:v>
                </c:pt>
                <c:pt idx="124">
                  <c:v>88.151422810507356</c:v>
                </c:pt>
                <c:pt idx="125">
                  <c:v>88.124683762037762</c:v>
                </c:pt>
                <c:pt idx="126">
                  <c:v>88.098051096004184</c:v>
                </c:pt>
                <c:pt idx="127">
                  <c:v>88.071523803729789</c:v>
                </c:pt>
                <c:pt idx="128">
                  <c:v>88.045100890279642</c:v>
                </c:pt>
                <c:pt idx="129">
                  <c:v>88.018781374270958</c:v>
                </c:pt>
                <c:pt idx="130">
                  <c:v>87.992564287683081</c:v>
                </c:pt>
                <c:pt idx="131">
                  <c:v>87.966448675667394</c:v>
                </c:pt>
                <c:pt idx="132">
                  <c:v>87.94043359635738</c:v>
                </c:pt>
                <c:pt idx="133">
                  <c:v>87.914518120679276</c:v>
                </c:pt>
                <c:pt idx="134">
                  <c:v>87.888701332163279</c:v>
                </c:pt>
                <c:pt idx="135">
                  <c:v>87.862982326755969</c:v>
                </c:pt>
                <c:pt idx="136">
                  <c:v>87.837360212633698</c:v>
                </c:pt>
                <c:pt idx="137">
                  <c:v>87.811834110017301</c:v>
                </c:pt>
                <c:pt idx="138">
                  <c:v>87.78640315098842</c:v>
                </c:pt>
                <c:pt idx="139">
                  <c:v>87.761066479307274</c:v>
                </c:pt>
                <c:pt idx="140">
                  <c:v>87.735823250232315</c:v>
                </c:pt>
                <c:pt idx="141">
                  <c:v>87.710672630341591</c:v>
                </c:pt>
                <c:pt idx="142">
                  <c:v>87.685613797356183</c:v>
                </c:pt>
                <c:pt idx="143">
                  <c:v>87.660645939965505</c:v>
                </c:pt>
                <c:pt idx="144">
                  <c:v>87.63576825765486</c:v>
                </c:pt>
                <c:pt idx="145">
                  <c:v>87.610979960534891</c:v>
                </c:pt>
                <c:pt idx="146">
                  <c:v>87.586280269173528</c:v>
                </c:pt>
                <c:pt idx="147">
                  <c:v>87.561668414429931</c:v>
                </c:pt>
                <c:pt idx="148">
                  <c:v>87.537143637290811</c:v>
                </c:pt>
                <c:pt idx="149">
                  <c:v>87.512705188709063</c:v>
                </c:pt>
                <c:pt idx="150">
                  <c:v>87.488352329444609</c:v>
                </c:pt>
              </c:numCache>
            </c:numRef>
          </c:yVal>
          <c:smooth val="0"/>
          <c:extLst>
            <c:ext xmlns:c16="http://schemas.microsoft.com/office/drawing/2014/chart" uri="{C3380CC4-5D6E-409C-BE32-E72D297353CC}">
              <c16:uniqueId val="{00000000-9977-4FA8-9358-1BE425CE3F05}"/>
            </c:ext>
          </c:extLst>
        </c:ser>
        <c:dLbls>
          <c:showLegendKey val="0"/>
          <c:showVal val="0"/>
          <c:showCatName val="0"/>
          <c:showSerName val="0"/>
          <c:showPercent val="0"/>
          <c:showBubbleSize val="0"/>
        </c:dLbls>
        <c:axId val="583325184"/>
        <c:axId val="583326720"/>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Eff_vs_IOUT!$AJ$7:$AJ$157</c:f>
              <c:numCache>
                <c:formatCode>General</c:formatCode>
                <c:ptCount val="151"/>
                <c:pt idx="0">
                  <c:v>0</c:v>
                </c:pt>
                <c:pt idx="1">
                  <c:v>9.0884607686750557E-4</c:v>
                </c:pt>
                <c:pt idx="2">
                  <c:v>1.3180964385655013E-3</c:v>
                </c:pt>
                <c:pt idx="3">
                  <c:v>1.6544961248710637E-3</c:v>
                </c:pt>
                <c:pt idx="4">
                  <c:v>1.956825272334998E-3</c:v>
                </c:pt>
                <c:pt idx="5">
                  <c:v>2.2396490163671488E-3</c:v>
                </c:pt>
                <c:pt idx="6">
                  <c:v>2.5102134321324399E-3</c:v>
                </c:pt>
                <c:pt idx="7">
                  <c:v>2.7726923303765332E-3</c:v>
                </c:pt>
                <c:pt idx="8">
                  <c:v>3.0297207637297345E-3</c:v>
                </c:pt>
                <c:pt idx="9">
                  <c:v>3.2830707050024652E-3</c:v>
                </c:pt>
                <c:pt idx="10">
                  <c:v>3.5339899745172312E-3</c:v>
                </c:pt>
                <c:pt idx="11">
                  <c:v>3.7833886796696434E-3</c:v>
                </c:pt>
                <c:pt idx="12">
                  <c:v>4.0319491410341791E-3</c:v>
                </c:pt>
                <c:pt idx="13">
                  <c:v>4.2801943181050087E-3</c:v>
                </c:pt>
                <c:pt idx="14">
                  <c:v>4.5285323023533152E-3</c:v>
                </c:pt>
                <c:pt idx="15">
                  <c:v>4.7772863062089804E-3</c:v>
                </c:pt>
                <c:pt idx="16">
                  <c:v>5.026715493469891E-3</c:v>
                </c:pt>
                <c:pt idx="17">
                  <c:v>5.2770298230445153E-3</c:v>
                </c:pt>
                <c:pt idx="18">
                  <c:v>5.5284008620914305E-3</c:v>
                </c:pt>
                <c:pt idx="19">
                  <c:v>5.780969815329863E-3</c:v>
                </c:pt>
                <c:pt idx="20">
                  <c:v>6.0348535882898532E-3</c:v>
                </c:pt>
                <c:pt idx="21">
                  <c:v>6.2901494345080269E-3</c:v>
                </c:pt>
                <c:pt idx="22">
                  <c:v>6.5469385648747082E-3</c:v>
                </c:pt>
                <c:pt idx="23">
                  <c:v>6.805288984381902E-3</c:v>
                </c:pt>
                <c:pt idx="24">
                  <c:v>7.0652577456175002E-3</c:v>
                </c:pt>
                <c:pt idx="25">
                  <c:v>7.3268927563372669E-3</c:v>
                </c:pt>
                <c:pt idx="26">
                  <c:v>7.5902342421677958E-3</c:v>
                </c:pt>
                <c:pt idx="27">
                  <c:v>7.8553159397813967E-3</c:v>
                </c:pt>
                <c:pt idx="28">
                  <c:v>8.1221660773920113E-3</c:v>
                </c:pt>
                <c:pt idx="29">
                  <c:v>8.3908081859429169E-3</c:v>
                </c:pt>
                <c:pt idx="30">
                  <c:v>8.6612617744113683E-3</c:v>
                </c:pt>
                <c:pt idx="31">
                  <c:v>8.9335428952328245E-3</c:v>
                </c:pt>
                <c:pt idx="32">
                  <c:v>9.2076646202493215E-3</c:v>
                </c:pt>
                <c:pt idx="33">
                  <c:v>9.4836374433234644E-3</c:v>
                </c:pt>
                <c:pt idx="34">
                  <c:v>9.7614696224831137E-3</c:v>
                </c:pt>
                <c:pt idx="35">
                  <c:v>1.0041167471922824E-2</c:v>
                </c:pt>
                <c:pt idx="36">
                  <c:v>1.0322735612204578E-2</c:v>
                </c:pt>
                <c:pt idx="37">
                  <c:v>1.0606177185439433E-2</c:v>
                </c:pt>
                <c:pt idx="38">
                  <c:v>1.0891494040994903E-2</c:v>
                </c:pt>
                <c:pt idx="39">
                  <c:v>1.1178686896286165E-2</c:v>
                </c:pt>
                <c:pt idx="40">
                  <c:v>1.1467755476417424E-2</c:v>
                </c:pt>
                <c:pt idx="41">
                  <c:v>1.1758698635800723E-2</c:v>
                </c:pt>
                <c:pt idx="42">
                  <c:v>1.2051514464360407E-2</c:v>
                </c:pt>
                <c:pt idx="43">
                  <c:v>1.2346200380508553E-2</c:v>
                </c:pt>
                <c:pt idx="44">
                  <c:v>1.2642753212729209E-2</c:v>
                </c:pt>
                <c:pt idx="45">
                  <c:v>1.2941169271323671E-2</c:v>
                </c:pt>
                <c:pt idx="46">
                  <c:v>1.3241444411632374E-2</c:v>
                </c:pt>
                <c:pt idx="47">
                  <c:v>1.3543574089852264E-2</c:v>
                </c:pt>
                <c:pt idx="48">
                  <c:v>1.3847553412404769E-2</c:v>
                </c:pt>
                <c:pt idx="49">
                  <c:v>1.415337717967181E-2</c:v>
                </c:pt>
                <c:pt idx="50">
                  <c:v>1.4461039924802143E-2</c:v>
                </c:pt>
                <c:pt idx="51">
                  <c:v>1.4770535948192672E-2</c:v>
                </c:pt>
                <c:pt idx="52">
                  <c:v>1.5081859348167064E-2</c:v>
                </c:pt>
                <c:pt idx="53">
                  <c:v>1.5395004048304035E-2</c:v>
                </c:pt>
                <c:pt idx="54">
                  <c:v>1.5709963821807799E-2</c:v>
                </c:pt>
                <c:pt idx="55">
                  <c:v>1.6026732313262744E-2</c:v>
                </c:pt>
                <c:pt idx="56">
                  <c:v>1.6345303058070134E-2</c:v>
                </c:pt>
                <c:pt idx="57">
                  <c:v>1.6665669499827736E-2</c:v>
                </c:pt>
                <c:pt idx="58">
                  <c:v>1.6987825005880634E-2</c:v>
                </c:pt>
                <c:pt idx="59">
                  <c:v>1.7311762881243798E-2</c:v>
                </c:pt>
                <c:pt idx="60">
                  <c:v>1.7637476381072721E-2</c:v>
                </c:pt>
                <c:pt idx="61">
                  <c:v>1.7964958721837773E-2</c:v>
                </c:pt>
                <c:pt idx="62">
                  <c:v>1.8294203091339334E-2</c:v>
                </c:pt>
                <c:pt idx="63">
                  <c:v>1.8625202657685379E-2</c:v>
                </c:pt>
                <c:pt idx="64">
                  <c:v>1.8957950577338949E-2</c:v>
                </c:pt>
                <c:pt idx="65">
                  <c:v>1.9292440002331098E-2</c:v>
                </c:pt>
                <c:pt idx="66">
                  <c:v>1.9628664086724201E-2</c:v>
                </c:pt>
                <c:pt idx="67">
                  <c:v>1.9966615992401113E-2</c:v>
                </c:pt>
                <c:pt idx="68">
                  <c:v>2.030628889424773E-2</c:v>
                </c:pt>
                <c:pt idx="69">
                  <c:v>2.0647675984788866E-2</c:v>
                </c:pt>
                <c:pt idx="70">
                  <c:v>2.099077047833146E-2</c:v>
                </c:pt>
                <c:pt idx="71">
                  <c:v>2.1335565614663019E-2</c:v>
                </c:pt>
                <c:pt idx="72">
                  <c:v>2.1682054662348616E-2</c:v>
                </c:pt>
                <c:pt idx="73">
                  <c:v>2.2030230921665072E-2</c:v>
                </c:pt>
                <c:pt idx="74">
                  <c:v>2.2380087727207038E-2</c:v>
                </c:pt>
                <c:pt idx="75">
                  <c:v>2.2731618450196341E-2</c:v>
                </c:pt>
                <c:pt idx="76">
                  <c:v>2.3084816500522777E-2</c:v>
                </c:pt>
                <c:pt idx="77">
                  <c:v>2.3439675328541479E-2</c:v>
                </c:pt>
                <c:pt idx="78">
                  <c:v>2.3796188426650149E-2</c:v>
                </c:pt>
                <c:pt idx="79">
                  <c:v>2.4154349330666389E-2</c:v>
                </c:pt>
                <c:pt idx="80">
                  <c:v>2.4514151621024147E-2</c:v>
                </c:pt>
                <c:pt idx="81">
                  <c:v>2.4875588923805987E-2</c:v>
                </c:pt>
                <c:pt idx="82">
                  <c:v>2.5238654911626447E-2</c:v>
                </c:pt>
                <c:pt idx="83">
                  <c:v>2.5603343304380573E-2</c:v>
                </c:pt>
                <c:pt idx="84">
                  <c:v>2.5969647869869935E-2</c:v>
                </c:pt>
                <c:pt idx="85">
                  <c:v>2.6337562424317562E-2</c:v>
                </c:pt>
                <c:pt idx="86">
                  <c:v>2.6707080832782379E-2</c:v>
                </c:pt>
                <c:pt idx="87">
                  <c:v>2.7078197009482226E-2</c:v>
                </c:pt>
                <c:pt idx="88">
                  <c:v>2.7450904918034154E-2</c:v>
                </c:pt>
                <c:pt idx="89">
                  <c:v>2.7825198571619945E-2</c:v>
                </c:pt>
                <c:pt idx="90">
                  <c:v>2.8201072033083543E-2</c:v>
                </c:pt>
                <c:pt idx="91">
                  <c:v>2.8578519414967231E-2</c:v>
                </c:pt>
                <c:pt idx="92">
                  <c:v>2.8957534879492174E-2</c:v>
                </c:pt>
                <c:pt idx="93">
                  <c:v>2.9338112638488789E-2</c:v>
                </c:pt>
                <c:pt idx="94">
                  <c:v>2.9720246953281817E-2</c:v>
                </c:pt>
                <c:pt idx="95">
                  <c:v>3.0103932134534481E-2</c:v>
                </c:pt>
                <c:pt idx="96">
                  <c:v>3.0489162542055963E-2</c:v>
                </c:pt>
                <c:pt idx="97">
                  <c:v>3.0875932584575584E-2</c:v>
                </c:pt>
                <c:pt idx="98">
                  <c:v>3.1264236719487484E-2</c:v>
                </c:pt>
                <c:pt idx="99">
                  <c:v>3.1654069452568608E-2</c:v>
                </c:pt>
                <c:pt idx="100">
                  <c:v>3.2045425337672906E-2</c:v>
                </c:pt>
                <c:pt idx="101">
                  <c:v>3.2438298976404281E-2</c:v>
                </c:pt>
                <c:pt idx="102">
                  <c:v>3.2832685017770841E-2</c:v>
                </c:pt>
                <c:pt idx="103">
                  <c:v>3.3228578157822292E-2</c:v>
                </c:pt>
                <c:pt idx="104">
                  <c:v>3.3625973139272763E-2</c:v>
                </c:pt>
                <c:pt idx="105">
                  <c:v>3.4024864751110578E-2</c:v>
                </c:pt>
                <c:pt idx="106">
                  <c:v>3.4425247828196906E-2</c:v>
                </c:pt>
                <c:pt idx="107">
                  <c:v>3.4827117250854502E-2</c:v>
                </c:pt>
                <c:pt idx="108">
                  <c:v>3.5230467944448181E-2</c:v>
                </c:pt>
                <c:pt idx="109">
                  <c:v>3.563529487895805E-2</c:v>
                </c:pt>
                <c:pt idx="110">
                  <c:v>3.6041593068546859E-2</c:v>
                </c:pt>
                <c:pt idx="111">
                  <c:v>3.6449357571122346E-2</c:v>
                </c:pt>
                <c:pt idx="112">
                  <c:v>3.6858583487895578E-2</c:v>
                </c:pt>
                <c:pt idx="113">
                  <c:v>3.7269265962936227E-2</c:v>
                </c:pt>
                <c:pt idx="114">
                  <c:v>3.7681400182725547E-2</c:v>
                </c:pt>
                <c:pt idx="115">
                  <c:v>3.8094981375707632E-2</c:v>
                </c:pt>
                <c:pt idx="116">
                  <c:v>3.8510004811839936E-2</c:v>
                </c:pt>
                <c:pt idx="117">
                  <c:v>3.892646580214322E-2</c:v>
                </c:pt>
                <c:pt idx="118">
                  <c:v>3.9344359698251979E-2</c:v>
                </c:pt>
                <c:pt idx="119">
                  <c:v>3.9763681891965288E-2</c:v>
                </c:pt>
                <c:pt idx="120">
                  <c:v>4.0184427814799063E-2</c:v>
                </c:pt>
                <c:pt idx="121">
                  <c:v>4.0606592937539689E-2</c:v>
                </c:pt>
                <c:pt idx="122">
                  <c:v>4.1030172769799665E-2</c:v>
                </c:pt>
                <c:pt idx="123">
                  <c:v>4.1455162859575553E-2</c:v>
                </c:pt>
                <c:pt idx="124">
                  <c:v>4.188155879280836E-2</c:v>
                </c:pt>
                <c:pt idx="125">
                  <c:v>4.2309356192946859E-2</c:v>
                </c:pt>
                <c:pt idx="126">
                  <c:v>4.2738550720513954E-2</c:v>
                </c:pt>
                <c:pt idx="127">
                  <c:v>4.3169138072676319E-2</c:v>
                </c:pt>
                <c:pt idx="128">
                  <c:v>4.3601113982817477E-2</c:v>
                </c:pt>
                <c:pt idx="129">
                  <c:v>4.4034474220114674E-2</c:v>
                </c:pt>
                <c:pt idx="130">
                  <c:v>4.4469214589119316E-2</c:v>
                </c:pt>
                <c:pt idx="131">
                  <c:v>4.4905330929341708E-2</c:v>
                </c:pt>
                <c:pt idx="132">
                  <c:v>4.5342819114839339E-2</c:v>
                </c:pt>
                <c:pt idx="133">
                  <c:v>4.5781675053809805E-2</c:v>
                </c:pt>
                <c:pt idx="134">
                  <c:v>4.6221894688187729E-2</c:v>
                </c:pt>
                <c:pt idx="135">
                  <c:v>4.6663473993245989E-2</c:v>
                </c:pt>
                <c:pt idx="136">
                  <c:v>4.7106408977201447E-2</c:v>
                </c:pt>
                <c:pt idx="137">
                  <c:v>4.7550695680824935E-2</c:v>
                </c:pt>
                <c:pt idx="138">
                  <c:v>4.7996330177055957E-2</c:v>
                </c:pt>
                <c:pt idx="139">
                  <c:v>4.844330857062154E-2</c:v>
                </c:pt>
                <c:pt idx="140">
                  <c:v>4.8891626997660066E-2</c:v>
                </c:pt>
                <c:pt idx="141">
                  <c:v>4.9341281625349259E-2</c:v>
                </c:pt>
                <c:pt idx="142">
                  <c:v>4.9792268651538803E-2</c:v>
                </c:pt>
                <c:pt idx="143">
                  <c:v>5.0244584304387788E-2</c:v>
                </c:pt>
                <c:pt idx="144">
                  <c:v>5.0698224842006333E-2</c:v>
                </c:pt>
                <c:pt idx="145">
                  <c:v>5.1153186552102027E-2</c:v>
                </c:pt>
                <c:pt idx="146">
                  <c:v>5.1609465751630834E-2</c:v>
                </c:pt>
                <c:pt idx="147">
                  <c:v>5.2067058786452312E-2</c:v>
                </c:pt>
                <c:pt idx="148">
                  <c:v>5.2525962030989817E-2</c:v>
                </c:pt>
                <c:pt idx="149">
                  <c:v>5.2986171887894548E-2</c:v>
                </c:pt>
                <c:pt idx="150">
                  <c:v>5.3447684787714597E-2</c:v>
                </c:pt>
              </c:numCache>
            </c:numRef>
          </c:yVal>
          <c:smooth val="1"/>
          <c:extLst>
            <c:ext xmlns:c16="http://schemas.microsoft.com/office/drawing/2014/chart" uri="{C3380CC4-5D6E-409C-BE32-E72D297353CC}">
              <c16:uniqueId val="{00000001-9977-4FA8-9358-1BE425CE3F05}"/>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Eff_vs_IOUT!$BU$7:$BU$157</c:f>
              <c:numCache>
                <c:formatCode>General</c:formatCode>
                <c:ptCount val="151"/>
                <c:pt idx="0">
                  <c:v>0</c:v>
                </c:pt>
                <c:pt idx="1">
                  <c:v>1.3250773199998752E-6</c:v>
                </c:pt>
                <c:pt idx="2">
                  <c:v>3.7478846342736349E-6</c:v>
                </c:pt>
                <c:pt idx="3">
                  <c:v>6.885303726590964E-6</c:v>
                </c:pt>
                <c:pt idx="4">
                  <c:v>1.0600618559999005E-5</c:v>
                </c:pt>
                <c:pt idx="5">
                  <c:v>1.4814814814814812E-5</c:v>
                </c:pt>
                <c:pt idx="6">
                  <c:v>1.9474579822405906E-5</c:v>
                </c:pt>
                <c:pt idx="7">
                  <c:v>2.4540775396561373E-5</c:v>
                </c:pt>
                <c:pt idx="8">
                  <c:v>2.998307707418908E-5</c:v>
                </c:pt>
                <c:pt idx="9">
                  <c:v>3.5777087639996639E-5</c:v>
                </c:pt>
                <c:pt idx="10">
                  <c:v>4.1902624070313919E-5</c:v>
                </c:pt>
                <c:pt idx="11">
                  <c:v>4.8342627175142101E-5</c:v>
                </c:pt>
                <c:pt idx="12">
                  <c:v>5.5082429812727726E-5</c:v>
                </c:pt>
                <c:pt idx="13">
                  <c:v>6.2109244875781407E-5</c:v>
                </c:pt>
                <c:pt idx="14">
                  <c:v>6.9411794793938146E-5</c:v>
                </c:pt>
                <c:pt idx="15">
                  <c:v>7.6980035891950082E-5</c:v>
                </c:pt>
                <c:pt idx="16">
                  <c:v>8.4804948479992012E-5</c:v>
                </c:pt>
                <c:pt idx="17">
                  <c:v>9.2878373791987611E-5</c:v>
                </c:pt>
                <c:pt idx="18">
                  <c:v>1.0119288512538813E-4</c:v>
                </c:pt>
                <c:pt idx="19">
                  <c:v>1.0974168447488616E-4</c:v>
                </c:pt>
                <c:pt idx="20">
                  <c:v>1.1851851851851848E-4</c:v>
                </c:pt>
                <c:pt idx="21">
                  <c:v>1.2751760953194166E-4</c:v>
                </c:pt>
                <c:pt idx="22">
                  <c:v>1.3673359798366423E-4</c:v>
                </c:pt>
                <c:pt idx="23">
                  <c:v>1.461614943878892E-4</c:v>
                </c:pt>
                <c:pt idx="24">
                  <c:v>1.5579663857924724E-4</c:v>
                </c:pt>
                <c:pt idx="25">
                  <c:v>1.6563466499998442E-4</c:v>
                </c:pt>
                <c:pt idx="26">
                  <c:v>1.7567147290416349E-4</c:v>
                </c:pt>
                <c:pt idx="27">
                  <c:v>1.8590320061795602E-4</c:v>
                </c:pt>
                <c:pt idx="28">
                  <c:v>1.9632620317249099E-4</c:v>
                </c:pt>
                <c:pt idx="29">
                  <c:v>2.0693703276146769E-4</c:v>
                </c:pt>
                <c:pt idx="30">
                  <c:v>2.1773242158072689E-4</c:v>
                </c:pt>
                <c:pt idx="31">
                  <c:v>2.2870926668897823E-4</c:v>
                </c:pt>
                <c:pt idx="32">
                  <c:v>2.3986461659351264E-4</c:v>
                </c:pt>
                <c:pt idx="33">
                  <c:v>2.5119565931611815E-4</c:v>
                </c:pt>
                <c:pt idx="34">
                  <c:v>2.626997117355735E-4</c:v>
                </c:pt>
                <c:pt idx="35">
                  <c:v>2.7437421003632777E-4</c:v>
                </c:pt>
                <c:pt idx="36">
                  <c:v>2.8621670111997311E-4</c:v>
                </c:pt>
                <c:pt idx="37">
                  <c:v>2.9822483485819932E-4</c:v>
                </c:pt>
                <c:pt idx="38">
                  <c:v>3.1039635708410572E-4</c:v>
                </c:pt>
                <c:pt idx="39">
                  <c:v>3.227291032337712E-4</c:v>
                </c:pt>
                <c:pt idx="40">
                  <c:v>3.3522099256251135E-4</c:v>
                </c:pt>
                <c:pt idx="41">
                  <c:v>3.4787002287071445E-4</c:v>
                </c:pt>
                <c:pt idx="42">
                  <c:v>3.6067426568293719E-4</c:v>
                </c:pt>
                <c:pt idx="43">
                  <c:v>3.736318618313794E-4</c:v>
                </c:pt>
                <c:pt idx="44">
                  <c:v>3.8674101740113686E-4</c:v>
                </c:pt>
                <c:pt idx="45">
                  <c:v>4.0000000000000002E-4</c:v>
                </c:pt>
                <c:pt idx="46">
                  <c:v>4.13407135320144E-4</c:v>
                </c:pt>
                <c:pt idx="47">
                  <c:v>4.2696080396297892E-4</c:v>
                </c:pt>
                <c:pt idx="48">
                  <c:v>4.406594385018217E-4</c:v>
                </c:pt>
                <c:pt idx="49">
                  <c:v>4.5450152075995735E-4</c:v>
                </c:pt>
                <c:pt idx="50">
                  <c:v>4.6848557928420447E-4</c:v>
                </c:pt>
                <c:pt idx="51">
                  <c:v>4.8261018699628875E-4</c:v>
                </c:pt>
                <c:pt idx="52">
                  <c:v>4.9687395900625125E-4</c:v>
                </c:pt>
                <c:pt idx="53">
                  <c:v>5.1127555057379841E-4</c:v>
                </c:pt>
                <c:pt idx="54">
                  <c:v>5.2581365520495949E-4</c:v>
                </c:pt>
                <c:pt idx="55">
                  <c:v>5.4048700287273176E-4</c:v>
                </c:pt>
                <c:pt idx="56">
                  <c:v>5.5529435835150506E-4</c:v>
                </c:pt>
                <c:pt idx="57">
                  <c:v>5.7023451965608637E-4</c:v>
                </c:pt>
                <c:pt idx="58">
                  <c:v>5.8530631657702605E-4</c:v>
                </c:pt>
                <c:pt idx="59">
                  <c:v>6.0050860930473647E-4</c:v>
                </c:pt>
                <c:pt idx="60">
                  <c:v>6.1584028713560065E-4</c:v>
                </c:pt>
                <c:pt idx="61">
                  <c:v>6.3130026725389751E-4</c:v>
                </c:pt>
                <c:pt idx="62">
                  <c:v>6.4688749358391632E-4</c:v>
                </c:pt>
                <c:pt idx="63">
                  <c:v>6.6260093570715722E-4</c:v>
                </c:pt>
                <c:pt idx="64">
                  <c:v>6.7843958783993632E-4</c:v>
                </c:pt>
                <c:pt idx="65">
                  <c:v>6.9440246786713858E-4</c:v>
                </c:pt>
                <c:pt idx="66">
                  <c:v>7.1048861642821154E-4</c:v>
                </c:pt>
                <c:pt idx="67">
                  <c:v>7.2669709605182177E-4</c:v>
                </c:pt>
                <c:pt idx="68">
                  <c:v>7.4302699033590078E-4</c:v>
                </c:pt>
                <c:pt idx="69">
                  <c:v>7.5947740317005208E-4</c:v>
                </c:pt>
                <c:pt idx="70">
                  <c:v>7.7604745799755826E-4</c:v>
                </c:pt>
                <c:pt idx="71">
                  <c:v>7.9273629711442437E-4</c:v>
                </c:pt>
                <c:pt idx="72">
                  <c:v>8.0954308100310507E-4</c:v>
                </c:pt>
                <c:pt idx="73">
                  <c:v>8.2646698769874038E-4</c:v>
                </c:pt>
                <c:pt idx="74">
                  <c:v>8.4350721218588438E-4</c:v>
                </c:pt>
                <c:pt idx="75">
                  <c:v>8.6066296582387042E-4</c:v>
                </c:pt>
                <c:pt idx="76">
                  <c:v>8.7793347579908938E-4</c:v>
                </c:pt>
                <c:pt idx="77">
                  <c:v>8.9531798460257262E-4</c:v>
                </c:pt>
                <c:pt idx="78">
                  <c:v>9.1281574953141153E-4</c:v>
                </c:pt>
                <c:pt idx="79">
                  <c:v>9.3042604221261712E-4</c:v>
                </c:pt>
                <c:pt idx="80">
                  <c:v>9.4814814814814794E-4</c:v>
                </c:pt>
                <c:pt idx="81">
                  <c:v>9.6598136627990927E-4</c:v>
                </c:pt>
                <c:pt idx="82">
                  <c:v>9.8392500857360631E-4</c:v>
                </c:pt>
                <c:pt idx="83">
                  <c:v>1.0019783996204202E-3</c:v>
                </c:pt>
                <c:pt idx="84">
                  <c:v>1.0201408762555337E-3</c:v>
                </c:pt>
                <c:pt idx="85">
                  <c:v>1.038411787192596E-3</c:v>
                </c:pt>
                <c:pt idx="86">
                  <c:v>1.0567904926732938E-3</c:v>
                </c:pt>
                <c:pt idx="87">
                  <c:v>1.0752763641312217E-3</c:v>
                </c:pt>
                <c:pt idx="88">
                  <c:v>1.0938687838693132E-3</c:v>
                </c:pt>
                <c:pt idx="89">
                  <c:v>1.112567144750151E-3</c:v>
                </c:pt>
                <c:pt idx="90">
                  <c:v>1.1313708498984758E-3</c:v>
                </c:pt>
                <c:pt idx="91">
                  <c:v>1.1502793124153127E-3</c:v>
                </c:pt>
                <c:pt idx="92">
                  <c:v>1.1692919551031138E-3</c:v>
                </c:pt>
                <c:pt idx="93">
                  <c:v>1.1884082102013916E-3</c:v>
                </c:pt>
                <c:pt idx="94">
                  <c:v>1.2076275191323306E-3</c:v>
                </c:pt>
                <c:pt idx="95">
                  <c:v>1.2269493322558929E-3</c:v>
                </c:pt>
                <c:pt idx="96">
                  <c:v>1.246373108633978E-3</c:v>
                </c:pt>
                <c:pt idx="97">
                  <c:v>1.2658983158031934E-3</c:v>
                </c:pt>
                <c:pt idx="98">
                  <c:v>1.2855244295558567E-3</c:v>
                </c:pt>
                <c:pt idx="99">
                  <c:v>1.3052509337288364E-3</c:v>
                </c:pt>
                <c:pt idx="100">
                  <c:v>1.3250773199998756E-3</c:v>
                </c:pt>
                <c:pt idx="101">
                  <c:v>1.3450030876910625E-3</c:v>
                </c:pt>
                <c:pt idx="102">
                  <c:v>1.3650277435791338E-3</c:v>
                </c:pt>
                <c:pt idx="103">
                  <c:v>1.3851508017122991E-3</c:v>
                </c:pt>
                <c:pt idx="104">
                  <c:v>1.4053717832333084E-3</c:v>
                </c:pt>
                <c:pt idx="105">
                  <c:v>1.4256902162084837E-3</c:v>
                </c:pt>
                <c:pt idx="106">
                  <c:v>1.4461056354624735E-3</c:v>
                </c:pt>
                <c:pt idx="107">
                  <c:v>1.4666175824184656E-3</c:v>
                </c:pt>
                <c:pt idx="108">
                  <c:v>1.4872256049436483E-3</c:v>
                </c:pt>
                <c:pt idx="109">
                  <c:v>1.507929257199685E-3</c:v>
                </c:pt>
                <c:pt idx="110">
                  <c:v>1.5287280994980067E-3</c:v>
                </c:pt>
                <c:pt idx="111">
                  <c:v>1.5496216981597177E-3</c:v>
                </c:pt>
                <c:pt idx="112">
                  <c:v>1.5706096253799279E-3</c:v>
                </c:pt>
                <c:pt idx="113">
                  <c:v>1.5916914590963346E-3</c:v>
                </c:pt>
                <c:pt idx="114">
                  <c:v>1.6128667828618889E-3</c:v>
                </c:pt>
                <c:pt idx="115">
                  <c:v>1.6341351857213709E-3</c:v>
                </c:pt>
                <c:pt idx="116">
                  <c:v>1.6554962620917411E-3</c:v>
                </c:pt>
                <c:pt idx="117">
                  <c:v>1.676949611646098E-3</c:v>
                </c:pt>
                <c:pt idx="118">
                  <c:v>1.6984948392011288E-3</c:v>
                </c:pt>
                <c:pt idx="119">
                  <c:v>1.720131554607888E-3</c:v>
                </c:pt>
                <c:pt idx="120">
                  <c:v>1.7418593726458151E-3</c:v>
                </c:pt>
                <c:pt idx="121">
                  <c:v>1.7636779129198343E-3</c:v>
                </c:pt>
                <c:pt idx="122">
                  <c:v>1.7855867997604421E-3</c:v>
                </c:pt>
                <c:pt idx="123">
                  <c:v>1.807585662126674E-3</c:v>
                </c:pt>
                <c:pt idx="124">
                  <c:v>1.8296741335118256E-3</c:v>
                </c:pt>
                <c:pt idx="125">
                  <c:v>1.8518518518518519E-3</c:v>
                </c:pt>
                <c:pt idx="126">
                  <c:v>1.874118459436329E-3</c:v>
                </c:pt>
                <c:pt idx="127">
                  <c:v>1.8964736028218997E-3</c:v>
                </c:pt>
                <c:pt idx="128">
                  <c:v>1.9189169327481011E-3</c:v>
                </c:pt>
                <c:pt idx="129">
                  <c:v>1.9414481040555124E-3</c:v>
                </c:pt>
                <c:pt idx="130">
                  <c:v>1.9640667756061088E-3</c:v>
                </c:pt>
                <c:pt idx="131">
                  <c:v>1.9867726102057886E-3</c:v>
                </c:pt>
                <c:pt idx="132">
                  <c:v>2.0095652745289452E-3</c:v>
                </c:pt>
                <c:pt idx="133">
                  <c:v>2.0324444390450659E-3</c:v>
                </c:pt>
                <c:pt idx="134">
                  <c:v>2.0554097779472615E-3</c:v>
                </c:pt>
                <c:pt idx="135">
                  <c:v>2.078460969082653E-3</c:v>
                </c:pt>
                <c:pt idx="136">
                  <c:v>2.101597693884588E-3</c:v>
                </c:pt>
                <c:pt idx="137">
                  <c:v>2.1248196373065821E-3</c:v>
                </c:pt>
                <c:pt idx="138">
                  <c:v>2.1481264877579744E-3</c:v>
                </c:pt>
                <c:pt idx="139">
                  <c:v>2.1715179370411916E-3</c:v>
                </c:pt>
                <c:pt idx="140">
                  <c:v>2.1949936802906221E-3</c:v>
                </c:pt>
                <c:pt idx="141">
                  <c:v>2.2185534159130044E-3</c:v>
                </c:pt>
                <c:pt idx="142">
                  <c:v>2.2421968455292921E-3</c:v>
                </c:pt>
                <c:pt idx="143">
                  <c:v>2.2659236739179787E-3</c:v>
                </c:pt>
                <c:pt idx="144">
                  <c:v>2.2897336089597849E-3</c:v>
                </c:pt>
                <c:pt idx="145">
                  <c:v>2.3136263615837127E-3</c:v>
                </c:pt>
                <c:pt idx="146">
                  <c:v>2.3376016457143938E-3</c:v>
                </c:pt>
                <c:pt idx="147">
                  <c:v>2.3616591782206998E-3</c:v>
                </c:pt>
                <c:pt idx="148">
                  <c:v>2.3857986788655959E-3</c:v>
                </c:pt>
                <c:pt idx="149">
                  <c:v>2.4100198702571513E-3</c:v>
                </c:pt>
                <c:pt idx="150">
                  <c:v>2.4343224778007378E-3</c:v>
                </c:pt>
              </c:numCache>
            </c:numRef>
          </c:yVal>
          <c:smooth val="1"/>
          <c:extLst>
            <c:ext xmlns:c16="http://schemas.microsoft.com/office/drawing/2014/chart" uri="{C3380CC4-5D6E-409C-BE32-E72D297353CC}">
              <c16:uniqueId val="{00000002-9977-4FA8-9358-1BE425CE3F05}"/>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Eff_vs_IOUT!$AY$8:$AY$157</c:f>
              <c:numCache>
                <c:formatCode>General</c:formatCode>
                <c:ptCount val="150"/>
                <c:pt idx="0">
                  <c:v>3.8333333333333334E-5</c:v>
                </c:pt>
                <c:pt idx="1">
                  <c:v>7.6666666666666669E-5</c:v>
                </c:pt>
                <c:pt idx="2">
                  <c:v>1.1500000000000002E-4</c:v>
                </c:pt>
                <c:pt idx="3">
                  <c:v>1.5333333333333334E-4</c:v>
                </c:pt>
                <c:pt idx="4">
                  <c:v>1.9166666666666665E-4</c:v>
                </c:pt>
                <c:pt idx="5">
                  <c:v>2.3000000000000003E-4</c:v>
                </c:pt>
                <c:pt idx="6">
                  <c:v>2.6833333333333331E-4</c:v>
                </c:pt>
                <c:pt idx="7">
                  <c:v>3.0666666666666668E-4</c:v>
                </c:pt>
                <c:pt idx="8">
                  <c:v>3.4499999999999998E-4</c:v>
                </c:pt>
                <c:pt idx="9">
                  <c:v>3.8333333333333329E-4</c:v>
                </c:pt>
                <c:pt idx="10">
                  <c:v>4.2166666666666665E-4</c:v>
                </c:pt>
                <c:pt idx="11">
                  <c:v>4.6000000000000007E-4</c:v>
                </c:pt>
                <c:pt idx="12">
                  <c:v>4.9833333333333338E-4</c:v>
                </c:pt>
                <c:pt idx="13">
                  <c:v>5.3666666666666663E-4</c:v>
                </c:pt>
                <c:pt idx="14">
                  <c:v>5.7499999999999999E-4</c:v>
                </c:pt>
                <c:pt idx="15">
                  <c:v>6.1333333333333335E-4</c:v>
                </c:pt>
                <c:pt idx="16">
                  <c:v>6.5166666666666671E-4</c:v>
                </c:pt>
                <c:pt idx="17">
                  <c:v>6.8999999999999997E-4</c:v>
                </c:pt>
                <c:pt idx="18">
                  <c:v>7.2833333333333333E-4</c:v>
                </c:pt>
                <c:pt idx="19">
                  <c:v>7.6666666666666658E-4</c:v>
                </c:pt>
                <c:pt idx="20">
                  <c:v>8.0499999999999994E-4</c:v>
                </c:pt>
                <c:pt idx="21">
                  <c:v>8.433333333333333E-4</c:v>
                </c:pt>
                <c:pt idx="22">
                  <c:v>8.8166666666666677E-4</c:v>
                </c:pt>
                <c:pt idx="23">
                  <c:v>9.2000000000000014E-4</c:v>
                </c:pt>
                <c:pt idx="24">
                  <c:v>9.5833333333333328E-4</c:v>
                </c:pt>
                <c:pt idx="25">
                  <c:v>9.9666666666666675E-4</c:v>
                </c:pt>
                <c:pt idx="26">
                  <c:v>1.0350000000000001E-3</c:v>
                </c:pt>
                <c:pt idx="27">
                  <c:v>1.0733333333333333E-3</c:v>
                </c:pt>
                <c:pt idx="28">
                  <c:v>1.1116666666666666E-3</c:v>
                </c:pt>
                <c:pt idx="29">
                  <c:v>1.15E-3</c:v>
                </c:pt>
                <c:pt idx="30">
                  <c:v>1.1883333333333333E-3</c:v>
                </c:pt>
                <c:pt idx="31">
                  <c:v>1.2266666666666667E-3</c:v>
                </c:pt>
                <c:pt idx="32">
                  <c:v>1.2650000000000001E-3</c:v>
                </c:pt>
                <c:pt idx="33">
                  <c:v>1.3033333333333334E-3</c:v>
                </c:pt>
                <c:pt idx="34">
                  <c:v>1.3416666666666666E-3</c:v>
                </c:pt>
                <c:pt idx="35">
                  <c:v>1.3799999999999999E-3</c:v>
                </c:pt>
                <c:pt idx="36">
                  <c:v>1.4183333333333333E-3</c:v>
                </c:pt>
                <c:pt idx="37">
                  <c:v>1.4566666666666667E-3</c:v>
                </c:pt>
                <c:pt idx="38">
                  <c:v>1.495E-3</c:v>
                </c:pt>
                <c:pt idx="39">
                  <c:v>1.5333333333333332E-3</c:v>
                </c:pt>
                <c:pt idx="40">
                  <c:v>1.5716666666666667E-3</c:v>
                </c:pt>
                <c:pt idx="41">
                  <c:v>1.6099999999999999E-3</c:v>
                </c:pt>
                <c:pt idx="42">
                  <c:v>1.6483333333333332E-3</c:v>
                </c:pt>
                <c:pt idx="43">
                  <c:v>1.6866666666666666E-3</c:v>
                </c:pt>
                <c:pt idx="44">
                  <c:v>1.725E-3</c:v>
                </c:pt>
                <c:pt idx="45">
                  <c:v>1.7633333333333335E-3</c:v>
                </c:pt>
                <c:pt idx="46">
                  <c:v>1.8016666666666667E-3</c:v>
                </c:pt>
                <c:pt idx="47">
                  <c:v>1.8400000000000003E-3</c:v>
                </c:pt>
                <c:pt idx="48">
                  <c:v>1.8783333333333332E-3</c:v>
                </c:pt>
                <c:pt idx="49">
                  <c:v>1.9166666666666666E-3</c:v>
                </c:pt>
                <c:pt idx="50">
                  <c:v>1.9550000000000001E-3</c:v>
                </c:pt>
                <c:pt idx="51">
                  <c:v>1.9933333333333335E-3</c:v>
                </c:pt>
                <c:pt idx="52">
                  <c:v>2.0316666666666669E-3</c:v>
                </c:pt>
                <c:pt idx="53">
                  <c:v>2.0700000000000002E-3</c:v>
                </c:pt>
                <c:pt idx="54">
                  <c:v>2.1083333333333332E-3</c:v>
                </c:pt>
                <c:pt idx="55">
                  <c:v>2.1466666666666665E-3</c:v>
                </c:pt>
                <c:pt idx="56">
                  <c:v>2.1849999999999999E-3</c:v>
                </c:pt>
                <c:pt idx="57">
                  <c:v>2.2233333333333332E-3</c:v>
                </c:pt>
                <c:pt idx="58">
                  <c:v>2.2616666666666666E-3</c:v>
                </c:pt>
                <c:pt idx="59">
                  <c:v>2.3E-3</c:v>
                </c:pt>
                <c:pt idx="60">
                  <c:v>2.3383333333333333E-3</c:v>
                </c:pt>
                <c:pt idx="61">
                  <c:v>2.3766666666666667E-3</c:v>
                </c:pt>
                <c:pt idx="62">
                  <c:v>2.415E-3</c:v>
                </c:pt>
                <c:pt idx="63">
                  <c:v>2.4533333333333334E-3</c:v>
                </c:pt>
                <c:pt idx="64">
                  <c:v>2.4916666666666663E-3</c:v>
                </c:pt>
                <c:pt idx="65">
                  <c:v>2.5300000000000001E-3</c:v>
                </c:pt>
                <c:pt idx="66">
                  <c:v>2.5683333333333331E-3</c:v>
                </c:pt>
                <c:pt idx="67">
                  <c:v>2.6066666666666669E-3</c:v>
                </c:pt>
                <c:pt idx="68">
                  <c:v>2.6449999999999998E-3</c:v>
                </c:pt>
                <c:pt idx="69">
                  <c:v>2.6833333333333331E-3</c:v>
                </c:pt>
                <c:pt idx="70">
                  <c:v>2.7216666666666665E-3</c:v>
                </c:pt>
                <c:pt idx="71">
                  <c:v>2.7599999999999999E-3</c:v>
                </c:pt>
                <c:pt idx="72">
                  <c:v>2.7983333333333332E-3</c:v>
                </c:pt>
                <c:pt idx="73">
                  <c:v>2.8366666666666666E-3</c:v>
                </c:pt>
                <c:pt idx="74">
                  <c:v>2.875E-3</c:v>
                </c:pt>
                <c:pt idx="75">
                  <c:v>2.9133333333333333E-3</c:v>
                </c:pt>
                <c:pt idx="76">
                  <c:v>2.9516666666666667E-3</c:v>
                </c:pt>
                <c:pt idx="77">
                  <c:v>2.99E-3</c:v>
                </c:pt>
                <c:pt idx="78">
                  <c:v>3.0283333333333334E-3</c:v>
                </c:pt>
                <c:pt idx="79">
                  <c:v>3.0666666666666663E-3</c:v>
                </c:pt>
                <c:pt idx="80">
                  <c:v>3.1049999999999993E-3</c:v>
                </c:pt>
                <c:pt idx="81">
                  <c:v>3.1433333333333335E-3</c:v>
                </c:pt>
                <c:pt idx="82">
                  <c:v>3.1816666666666664E-3</c:v>
                </c:pt>
                <c:pt idx="83">
                  <c:v>3.2199999999999998E-3</c:v>
                </c:pt>
                <c:pt idx="84">
                  <c:v>3.2583333333333331E-3</c:v>
                </c:pt>
                <c:pt idx="85">
                  <c:v>3.2966666666666665E-3</c:v>
                </c:pt>
                <c:pt idx="86">
                  <c:v>3.3349999999999999E-3</c:v>
                </c:pt>
                <c:pt idx="87">
                  <c:v>3.3733333333333332E-3</c:v>
                </c:pt>
                <c:pt idx="88">
                  <c:v>3.4116666666666666E-3</c:v>
                </c:pt>
                <c:pt idx="89">
                  <c:v>3.4499999999999999E-3</c:v>
                </c:pt>
                <c:pt idx="90">
                  <c:v>3.4883333333333329E-3</c:v>
                </c:pt>
                <c:pt idx="91">
                  <c:v>3.5266666666666671E-3</c:v>
                </c:pt>
                <c:pt idx="92">
                  <c:v>3.565E-3</c:v>
                </c:pt>
                <c:pt idx="93">
                  <c:v>3.6033333333333334E-3</c:v>
                </c:pt>
                <c:pt idx="94">
                  <c:v>3.6416666666666663E-3</c:v>
                </c:pt>
                <c:pt idx="95">
                  <c:v>3.6800000000000005E-3</c:v>
                </c:pt>
                <c:pt idx="96">
                  <c:v>3.7183333333333335E-3</c:v>
                </c:pt>
                <c:pt idx="97">
                  <c:v>3.7566666666666664E-3</c:v>
                </c:pt>
                <c:pt idx="98">
                  <c:v>3.7949999999999998E-3</c:v>
                </c:pt>
                <c:pt idx="99">
                  <c:v>3.8333333333333331E-3</c:v>
                </c:pt>
                <c:pt idx="100">
                  <c:v>3.8716666666666669E-3</c:v>
                </c:pt>
                <c:pt idx="101">
                  <c:v>3.9100000000000003E-3</c:v>
                </c:pt>
                <c:pt idx="102">
                  <c:v>3.9483333333333332E-3</c:v>
                </c:pt>
                <c:pt idx="103">
                  <c:v>3.986666666666667E-3</c:v>
                </c:pt>
                <c:pt idx="104">
                  <c:v>4.0249999999999999E-3</c:v>
                </c:pt>
                <c:pt idx="105">
                  <c:v>4.0633333333333337E-3</c:v>
                </c:pt>
                <c:pt idx="106">
                  <c:v>4.1016666666666667E-3</c:v>
                </c:pt>
                <c:pt idx="107">
                  <c:v>4.1400000000000005E-3</c:v>
                </c:pt>
                <c:pt idx="108">
                  <c:v>4.1783333333333334E-3</c:v>
                </c:pt>
                <c:pt idx="109">
                  <c:v>4.2166666666666663E-3</c:v>
                </c:pt>
                <c:pt idx="110">
                  <c:v>4.2550000000000001E-3</c:v>
                </c:pt>
                <c:pt idx="111">
                  <c:v>4.293333333333333E-3</c:v>
                </c:pt>
                <c:pt idx="112">
                  <c:v>4.3316666666666668E-3</c:v>
                </c:pt>
                <c:pt idx="113">
                  <c:v>4.3699999999999998E-3</c:v>
                </c:pt>
                <c:pt idx="114">
                  <c:v>4.4083333333333327E-3</c:v>
                </c:pt>
                <c:pt idx="115">
                  <c:v>4.4466666666666665E-3</c:v>
                </c:pt>
                <c:pt idx="116">
                  <c:v>4.4850000000000003E-3</c:v>
                </c:pt>
                <c:pt idx="117">
                  <c:v>4.5233333333333332E-3</c:v>
                </c:pt>
                <c:pt idx="118">
                  <c:v>4.561666666666667E-3</c:v>
                </c:pt>
                <c:pt idx="119">
                  <c:v>4.5999999999999999E-3</c:v>
                </c:pt>
                <c:pt idx="120">
                  <c:v>4.6383333333333337E-3</c:v>
                </c:pt>
                <c:pt idx="121">
                  <c:v>4.6766666666666666E-3</c:v>
                </c:pt>
                <c:pt idx="122">
                  <c:v>4.7150000000000004E-3</c:v>
                </c:pt>
                <c:pt idx="123">
                  <c:v>4.7533333333333334E-3</c:v>
                </c:pt>
                <c:pt idx="124">
                  <c:v>4.7916666666666663E-3</c:v>
                </c:pt>
                <c:pt idx="125">
                  <c:v>4.8300000000000001E-3</c:v>
                </c:pt>
                <c:pt idx="126">
                  <c:v>4.868333333333333E-3</c:v>
                </c:pt>
                <c:pt idx="127">
                  <c:v>4.9066666666666668E-3</c:v>
                </c:pt>
                <c:pt idx="128">
                  <c:v>4.9449999999999997E-3</c:v>
                </c:pt>
                <c:pt idx="129">
                  <c:v>4.9833333333333327E-3</c:v>
                </c:pt>
                <c:pt idx="130">
                  <c:v>5.0216666666666665E-3</c:v>
                </c:pt>
                <c:pt idx="131">
                  <c:v>5.0600000000000003E-3</c:v>
                </c:pt>
                <c:pt idx="132">
                  <c:v>5.0983333333333332E-3</c:v>
                </c:pt>
                <c:pt idx="133">
                  <c:v>5.1366666666666661E-3</c:v>
                </c:pt>
                <c:pt idx="134">
                  <c:v>5.174999999999999E-3</c:v>
                </c:pt>
                <c:pt idx="135">
                  <c:v>5.2133333333333337E-3</c:v>
                </c:pt>
                <c:pt idx="136">
                  <c:v>5.2516666666666666E-3</c:v>
                </c:pt>
                <c:pt idx="137">
                  <c:v>5.2899999999999996E-3</c:v>
                </c:pt>
                <c:pt idx="138">
                  <c:v>5.3283333333333325E-3</c:v>
                </c:pt>
                <c:pt idx="139">
                  <c:v>5.3666666666666663E-3</c:v>
                </c:pt>
                <c:pt idx="140">
                  <c:v>5.4050000000000001E-3</c:v>
                </c:pt>
                <c:pt idx="141">
                  <c:v>5.443333333333333E-3</c:v>
                </c:pt>
                <c:pt idx="142">
                  <c:v>5.4816666666666668E-3</c:v>
                </c:pt>
                <c:pt idx="143">
                  <c:v>5.5199999999999997E-3</c:v>
                </c:pt>
                <c:pt idx="144">
                  <c:v>5.5583333333333335E-3</c:v>
                </c:pt>
                <c:pt idx="145">
                  <c:v>5.5966666666666665E-3</c:v>
                </c:pt>
                <c:pt idx="146">
                  <c:v>5.6350000000000003E-3</c:v>
                </c:pt>
                <c:pt idx="147">
                  <c:v>5.6733333333333332E-3</c:v>
                </c:pt>
                <c:pt idx="148">
                  <c:v>5.711666666666667E-3</c:v>
                </c:pt>
                <c:pt idx="149">
                  <c:v>5.7499999999999999E-3</c:v>
                </c:pt>
              </c:numCache>
            </c:numRef>
          </c:yVal>
          <c:smooth val="1"/>
          <c:extLst>
            <c:ext xmlns:c16="http://schemas.microsoft.com/office/drawing/2014/chart" uri="{C3380CC4-5D6E-409C-BE32-E72D297353CC}">
              <c16:uniqueId val="{00000003-9977-4FA8-9358-1BE425CE3F05}"/>
            </c:ext>
          </c:extLst>
        </c:ser>
        <c:dLbls>
          <c:showLegendKey val="0"/>
          <c:showVal val="0"/>
          <c:showCatName val="0"/>
          <c:showSerName val="0"/>
          <c:showPercent val="0"/>
          <c:showBubbleSize val="0"/>
        </c:dLbls>
        <c:axId val="582753280"/>
        <c:axId val="582751360"/>
      </c:scatterChart>
      <c:valAx>
        <c:axId val="583325184"/>
        <c:scaling>
          <c:orientation val="minMax"/>
        </c:scaling>
        <c:delete val="0"/>
        <c:axPos val="b"/>
        <c:majorGridlines/>
        <c:numFmt formatCode="General" sourceLinked="1"/>
        <c:majorTickMark val="out"/>
        <c:minorTickMark val="none"/>
        <c:tickLblPos val="nextTo"/>
        <c:crossAx val="583326720"/>
        <c:crosses val="autoZero"/>
        <c:crossBetween val="midCat"/>
      </c:valAx>
      <c:valAx>
        <c:axId val="583326720"/>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3325184"/>
        <c:crosses val="autoZero"/>
        <c:crossBetween val="midCat"/>
      </c:valAx>
      <c:valAx>
        <c:axId val="582751360"/>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2753280"/>
        <c:crosses val="max"/>
        <c:crossBetween val="midCat"/>
      </c:valAx>
      <c:valAx>
        <c:axId val="582753280"/>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82751360"/>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Eff_vs_IOUT!$BZ$7:$BZ$157</c:f>
              <c:numCache>
                <c:formatCode>General</c:formatCode>
                <c:ptCount val="151"/>
                <c:pt idx="0">
                  <c:v>0</c:v>
                </c:pt>
                <c:pt idx="1">
                  <c:v>78.462764772552731</c:v>
                </c:pt>
                <c:pt idx="2">
                  <c:v>85.564317509840961</c:v>
                </c:pt>
                <c:pt idx="3">
                  <c:v>88.156898650888152</c:v>
                </c:pt>
                <c:pt idx="4">
                  <c:v>89.459874665785208</c:v>
                </c:pt>
                <c:pt idx="5">
                  <c:v>90.21976604612189</c:v>
                </c:pt>
                <c:pt idx="6">
                  <c:v>90.701656300592546</c:v>
                </c:pt>
                <c:pt idx="7">
                  <c:v>91.023163178559727</c:v>
                </c:pt>
                <c:pt idx="8">
                  <c:v>91.24432563759926</c:v>
                </c:pt>
                <c:pt idx="9">
                  <c:v>91.398917002639948</c:v>
                </c:pt>
                <c:pt idx="10">
                  <c:v>91.507344238123778</c:v>
                </c:pt>
                <c:pt idx="11">
                  <c:v>91.582634518740747</c:v>
                </c:pt>
                <c:pt idx="12">
                  <c:v>91.63347432974119</c:v>
                </c:pt>
                <c:pt idx="13">
                  <c:v>91.665864440172228</c:v>
                </c:pt>
                <c:pt idx="14">
                  <c:v>91.68407354905267</c:v>
                </c:pt>
                <c:pt idx="15">
                  <c:v>91.691214001392112</c:v>
                </c:pt>
                <c:pt idx="16">
                  <c:v>91.689603192476525</c:v>
                </c:pt>
                <c:pt idx="17">
                  <c:v>91.680998108920321</c:v>
                </c:pt>
                <c:pt idx="18">
                  <c:v>91.666751964035626</c:v>
                </c:pt>
                <c:pt idx="19">
                  <c:v>91.647921448470711</c:v>
                </c:pt>
                <c:pt idx="20">
                  <c:v>91.625341794908323</c:v>
                </c:pt>
                <c:pt idx="21">
                  <c:v>91.599680346551594</c:v>
                </c:pt>
                <c:pt idx="22">
                  <c:v>91.571475453470313</c:v>
                </c:pt>
                <c:pt idx="23">
                  <c:v>91.541165158063194</c:v>
                </c:pt>
                <c:pt idx="24">
                  <c:v>91.509108649076524</c:v>
                </c:pt>
                <c:pt idx="25">
                  <c:v>91.475602512629308</c:v>
                </c:pt>
                <c:pt idx="26">
                  <c:v>91.440893185526065</c:v>
                </c:pt>
                <c:pt idx="27">
                  <c:v>91.405186599986578</c:v>
                </c:pt>
                <c:pt idx="28">
                  <c:v>91.368655726184329</c:v>
                </c:pt>
                <c:pt idx="29">
                  <c:v>91.331446523829186</c:v>
                </c:pt>
                <c:pt idx="30">
                  <c:v>91.293682677358973</c:v>
                </c:pt>
                <c:pt idx="31">
                  <c:v>91.255469392298053</c:v>
                </c:pt>
                <c:pt idx="32">
                  <c:v>91.216896460632427</c:v>
                </c:pt>
                <c:pt idx="33">
                  <c:v>91.178040752375694</c:v>
                </c:pt>
                <c:pt idx="34">
                  <c:v>91.138968253268231</c:v>
                </c:pt>
                <c:pt idx="35">
                  <c:v>91.099735740919513</c:v>
                </c:pt>
                <c:pt idx="36">
                  <c:v>91.06039217100664</c:v>
                </c:pt>
                <c:pt idx="37">
                  <c:v>91.020979829499495</c:v>
                </c:pt>
                <c:pt idx="38">
                  <c:v>90.981535294967472</c:v>
                </c:pt>
                <c:pt idx="39">
                  <c:v>90.942090245872379</c:v>
                </c:pt>
                <c:pt idx="40">
                  <c:v>90.902672140675037</c:v>
                </c:pt>
                <c:pt idx="41">
                  <c:v>90.8633047930728</c:v>
                </c:pt>
                <c:pt idx="42">
                  <c:v>90.824008860364842</c:v>
                </c:pt>
                <c:pt idx="43">
                  <c:v>90.784802259535638</c:v>
                </c:pt>
                <c:pt idx="44">
                  <c:v>90.745700522943864</c:v>
                </c:pt>
                <c:pt idx="45">
                  <c:v>90.706717103348893</c:v>
                </c:pt>
                <c:pt idx="46">
                  <c:v>90.667863636277076</c:v>
                </c:pt>
                <c:pt idx="47">
                  <c:v>90.629150166337652</c:v>
                </c:pt>
                <c:pt idx="48">
                  <c:v>90.590585342969092</c:v>
                </c:pt>
                <c:pt idx="49">
                  <c:v>90.552176590179329</c:v>
                </c:pt>
                <c:pt idx="50">
                  <c:v>90.513930254092401</c:v>
                </c:pt>
                <c:pt idx="51">
                  <c:v>90.475851731499873</c:v>
                </c:pt>
                <c:pt idx="52">
                  <c:v>90.437945582107645</c:v>
                </c:pt>
                <c:pt idx="53">
                  <c:v>90.400215626749898</c:v>
                </c:pt>
                <c:pt idx="54">
                  <c:v>90.362665033494082</c:v>
                </c:pt>
                <c:pt idx="55">
                  <c:v>90.325296393271188</c:v>
                </c:pt>
                <c:pt idx="56">
                  <c:v>90.288111786423656</c:v>
                </c:pt>
                <c:pt idx="57">
                  <c:v>90.251112841359586</c:v>
                </c:pt>
                <c:pt idx="58">
                  <c:v>90.214300786332529</c:v>
                </c:pt>
                <c:pt idx="59">
                  <c:v>90.177676495220837</c:v>
                </c:pt>
                <c:pt idx="60">
                  <c:v>90.141240528059953</c:v>
                </c:pt>
                <c:pt idx="61">
                  <c:v>90.104993166976641</c:v>
                </c:pt>
                <c:pt idx="62">
                  <c:v>90.068934448087717</c:v>
                </c:pt>
                <c:pt idx="63">
                  <c:v>90.03306418984937</c:v>
                </c:pt>
                <c:pt idx="64">
                  <c:v>89.997382018280234</c:v>
                </c:pt>
                <c:pt idx="65">
                  <c:v>89.961887389426479</c:v>
                </c:pt>
                <c:pt idx="66">
                  <c:v>89.926579609389208</c:v>
                </c:pt>
                <c:pt idx="67">
                  <c:v>89.891457852195046</c:v>
                </c:pt>
                <c:pt idx="68">
                  <c:v>89.85652117575485</c:v>
                </c:pt>
                <c:pt idx="69">
                  <c:v>89.821768536126044</c:v>
                </c:pt>
                <c:pt idx="70">
                  <c:v>89.787198800267049</c:v>
                </c:pt>
                <c:pt idx="71">
                  <c:v>89.752810757450504</c:v>
                </c:pt>
                <c:pt idx="72">
                  <c:v>89.718603129481281</c:v>
                </c:pt>
                <c:pt idx="73">
                  <c:v>89.684574579848743</c:v>
                </c:pt>
                <c:pt idx="74">
                  <c:v>89.65072372192742</c:v>
                </c:pt>
                <c:pt idx="75">
                  <c:v>89.617049126327075</c:v>
                </c:pt>
                <c:pt idx="76">
                  <c:v>89.583549327481876</c:v>
                </c:pt>
                <c:pt idx="77">
                  <c:v>89.550222829557981</c:v>
                </c:pt>
                <c:pt idx="78">
                  <c:v>89.517068111750177</c:v>
                </c:pt>
                <c:pt idx="79">
                  <c:v>89.484083633030693</c:v>
                </c:pt>
                <c:pt idx="80">
                  <c:v>89.451267836405705</c:v>
                </c:pt>
                <c:pt idx="81">
                  <c:v>89.418619152729775</c:v>
                </c:pt>
                <c:pt idx="82">
                  <c:v>89.386136004122676</c:v>
                </c:pt>
                <c:pt idx="83">
                  <c:v>89.35381680702838</c:v>
                </c:pt>
                <c:pt idx="84">
                  <c:v>89.321659974951828</c:v>
                </c:pt>
                <c:pt idx="85">
                  <c:v>89.289663920905554</c:v>
                </c:pt>
                <c:pt idx="86">
                  <c:v>89.257827059594675</c:v>
                </c:pt>
                <c:pt idx="87">
                  <c:v>89.226147809365614</c:v>
                </c:pt>
                <c:pt idx="88">
                  <c:v>89.194624593942237</c:v>
                </c:pt>
                <c:pt idx="89">
                  <c:v>89.163255843969552</c:v>
                </c:pt>
                <c:pt idx="90">
                  <c:v>89.132039998383874</c:v>
                </c:pt>
                <c:pt idx="91">
                  <c:v>89.100975505626238</c:v>
                </c:pt>
                <c:pt idx="92">
                  <c:v>89.070060824714076</c:v>
                </c:pt>
                <c:pt idx="93">
                  <c:v>89.039294426184796</c:v>
                </c:pt>
                <c:pt idx="94">
                  <c:v>89.008674792923927</c:v>
                </c:pt>
                <c:pt idx="95">
                  <c:v>88.978200420888228</c:v>
                </c:pt>
                <c:pt idx="96">
                  <c:v>88.947869819734464</c:v>
                </c:pt>
                <c:pt idx="97">
                  <c:v>88.917681513362751</c:v>
                </c:pt>
                <c:pt idx="98">
                  <c:v>88.887634040382366</c:v>
                </c:pt>
                <c:pt idx="99">
                  <c:v>88.857725954507998</c:v>
                </c:pt>
                <c:pt idx="100">
                  <c:v>88.827955824892555</c:v>
                </c:pt>
                <c:pt idx="101">
                  <c:v>88.79832223640328</c:v>
                </c:pt>
                <c:pt idx="102">
                  <c:v>88.768823789846167</c:v>
                </c:pt>
                <c:pt idx="103">
                  <c:v>88.739459102143954</c:v>
                </c:pt>
                <c:pt idx="104">
                  <c:v>88.710226806472278</c:v>
                </c:pt>
                <c:pt idx="105">
                  <c:v>88.681125552357969</c:v>
                </c:pt>
                <c:pt idx="106">
                  <c:v>88.652154005743299</c:v>
                </c:pt>
                <c:pt idx="107">
                  <c:v>88.623310849019688</c:v>
                </c:pt>
                <c:pt idx="108">
                  <c:v>88.594594781033791</c:v>
                </c:pt>
                <c:pt idx="109">
                  <c:v>88.566004517068905</c:v>
                </c:pt>
                <c:pt idx="110">
                  <c:v>88.537538788804284</c:v>
                </c:pt>
                <c:pt idx="111">
                  <c:v>88.509196344254477</c:v>
                </c:pt>
                <c:pt idx="112">
                  <c:v>88.480975947691064</c:v>
                </c:pt>
                <c:pt idx="113">
                  <c:v>88.452876379548556</c:v>
                </c:pt>
                <c:pt idx="114">
                  <c:v>88.424896436316246</c:v>
                </c:pt>
                <c:pt idx="115">
                  <c:v>88.397034930417604</c:v>
                </c:pt>
                <c:pt idx="116">
                  <c:v>88.369290690078628</c:v>
                </c:pt>
                <c:pt idx="117">
                  <c:v>88.34166255918656</c:v>
                </c:pt>
                <c:pt idx="118">
                  <c:v>88.314149397140042</c:v>
                </c:pt>
                <c:pt idx="119">
                  <c:v>88.286750078691881</c:v>
                </c:pt>
                <c:pt idx="120">
                  <c:v>88.259463493785333</c:v>
                </c:pt>
                <c:pt idx="121">
                  <c:v>88.232288547385039</c:v>
                </c:pt>
                <c:pt idx="122">
                  <c:v>88.205224159302915</c:v>
                </c:pt>
                <c:pt idx="123">
                  <c:v>88.178269264020457</c:v>
                </c:pt>
                <c:pt idx="124">
                  <c:v>88.151422810507356</c:v>
                </c:pt>
                <c:pt idx="125">
                  <c:v>88.124683762037762</c:v>
                </c:pt>
                <c:pt idx="126">
                  <c:v>88.098051096004184</c:v>
                </c:pt>
                <c:pt idx="127">
                  <c:v>88.071523803729789</c:v>
                </c:pt>
                <c:pt idx="128">
                  <c:v>88.045100890279642</c:v>
                </c:pt>
                <c:pt idx="129">
                  <c:v>88.018781374270958</c:v>
                </c:pt>
                <c:pt idx="130">
                  <c:v>87.992564287683081</c:v>
                </c:pt>
                <c:pt idx="131">
                  <c:v>87.966448675667394</c:v>
                </c:pt>
                <c:pt idx="132">
                  <c:v>87.94043359635738</c:v>
                </c:pt>
                <c:pt idx="133">
                  <c:v>87.914518120679276</c:v>
                </c:pt>
                <c:pt idx="134">
                  <c:v>87.888701332163279</c:v>
                </c:pt>
                <c:pt idx="135">
                  <c:v>87.862982326755969</c:v>
                </c:pt>
                <c:pt idx="136">
                  <c:v>87.837360212633698</c:v>
                </c:pt>
                <c:pt idx="137">
                  <c:v>87.811834110017301</c:v>
                </c:pt>
                <c:pt idx="138">
                  <c:v>87.78640315098842</c:v>
                </c:pt>
                <c:pt idx="139">
                  <c:v>87.761066479307274</c:v>
                </c:pt>
                <c:pt idx="140">
                  <c:v>87.735823250232315</c:v>
                </c:pt>
                <c:pt idx="141">
                  <c:v>87.710672630341591</c:v>
                </c:pt>
                <c:pt idx="142">
                  <c:v>87.685613797356183</c:v>
                </c:pt>
                <c:pt idx="143">
                  <c:v>87.660645939965505</c:v>
                </c:pt>
                <c:pt idx="144">
                  <c:v>87.63576825765486</c:v>
                </c:pt>
                <c:pt idx="145">
                  <c:v>87.610979960534891</c:v>
                </c:pt>
                <c:pt idx="146">
                  <c:v>87.586280269173528</c:v>
                </c:pt>
                <c:pt idx="147">
                  <c:v>87.561668414429931</c:v>
                </c:pt>
                <c:pt idx="148">
                  <c:v>87.537143637290811</c:v>
                </c:pt>
                <c:pt idx="149">
                  <c:v>87.512705188709063</c:v>
                </c:pt>
                <c:pt idx="150">
                  <c:v>87.488352329444609</c:v>
                </c:pt>
              </c:numCache>
            </c:numRef>
          </c:yVal>
          <c:smooth val="0"/>
          <c:extLst>
            <c:ext xmlns:c16="http://schemas.microsoft.com/office/drawing/2014/chart" uri="{C3380CC4-5D6E-409C-BE32-E72D297353CC}">
              <c16:uniqueId val="{00000000-C391-4527-8BBE-DDCDE94A24A4}"/>
            </c:ext>
          </c:extLst>
        </c:ser>
        <c:dLbls>
          <c:showLegendKey val="0"/>
          <c:showVal val="0"/>
          <c:showCatName val="0"/>
          <c:showSerName val="0"/>
          <c:showPercent val="0"/>
          <c:showBubbleSize val="0"/>
        </c:dLbls>
        <c:axId val="582782976"/>
        <c:axId val="582784512"/>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Eff_vs_IOUT!$AJ$7:$AJ$157</c:f>
              <c:numCache>
                <c:formatCode>General</c:formatCode>
                <c:ptCount val="151"/>
                <c:pt idx="0">
                  <c:v>0</c:v>
                </c:pt>
                <c:pt idx="1">
                  <c:v>9.0884607686750557E-4</c:v>
                </c:pt>
                <c:pt idx="2">
                  <c:v>1.3180964385655013E-3</c:v>
                </c:pt>
                <c:pt idx="3">
                  <c:v>1.6544961248710637E-3</c:v>
                </c:pt>
                <c:pt idx="4">
                  <c:v>1.956825272334998E-3</c:v>
                </c:pt>
                <c:pt idx="5">
                  <c:v>2.2396490163671488E-3</c:v>
                </c:pt>
                <c:pt idx="6">
                  <c:v>2.5102134321324399E-3</c:v>
                </c:pt>
                <c:pt idx="7">
                  <c:v>2.7726923303765332E-3</c:v>
                </c:pt>
                <c:pt idx="8">
                  <c:v>3.0297207637297345E-3</c:v>
                </c:pt>
                <c:pt idx="9">
                  <c:v>3.2830707050024652E-3</c:v>
                </c:pt>
                <c:pt idx="10">
                  <c:v>3.5339899745172312E-3</c:v>
                </c:pt>
                <c:pt idx="11">
                  <c:v>3.7833886796696434E-3</c:v>
                </c:pt>
                <c:pt idx="12">
                  <c:v>4.0319491410341791E-3</c:v>
                </c:pt>
                <c:pt idx="13">
                  <c:v>4.2801943181050087E-3</c:v>
                </c:pt>
                <c:pt idx="14">
                  <c:v>4.5285323023533152E-3</c:v>
                </c:pt>
                <c:pt idx="15">
                  <c:v>4.7772863062089804E-3</c:v>
                </c:pt>
                <c:pt idx="16">
                  <c:v>5.026715493469891E-3</c:v>
                </c:pt>
                <c:pt idx="17">
                  <c:v>5.2770298230445153E-3</c:v>
                </c:pt>
                <c:pt idx="18">
                  <c:v>5.5284008620914305E-3</c:v>
                </c:pt>
                <c:pt idx="19">
                  <c:v>5.780969815329863E-3</c:v>
                </c:pt>
                <c:pt idx="20">
                  <c:v>6.0348535882898532E-3</c:v>
                </c:pt>
                <c:pt idx="21">
                  <c:v>6.2901494345080269E-3</c:v>
                </c:pt>
                <c:pt idx="22">
                  <c:v>6.5469385648747082E-3</c:v>
                </c:pt>
                <c:pt idx="23">
                  <c:v>6.805288984381902E-3</c:v>
                </c:pt>
                <c:pt idx="24">
                  <c:v>7.0652577456175002E-3</c:v>
                </c:pt>
                <c:pt idx="25">
                  <c:v>7.3268927563372669E-3</c:v>
                </c:pt>
                <c:pt idx="26">
                  <c:v>7.5902342421677958E-3</c:v>
                </c:pt>
                <c:pt idx="27">
                  <c:v>7.8553159397813967E-3</c:v>
                </c:pt>
                <c:pt idx="28">
                  <c:v>8.1221660773920113E-3</c:v>
                </c:pt>
                <c:pt idx="29">
                  <c:v>8.3908081859429169E-3</c:v>
                </c:pt>
                <c:pt idx="30">
                  <c:v>8.6612617744113683E-3</c:v>
                </c:pt>
                <c:pt idx="31">
                  <c:v>8.9335428952328245E-3</c:v>
                </c:pt>
                <c:pt idx="32">
                  <c:v>9.2076646202493215E-3</c:v>
                </c:pt>
                <c:pt idx="33">
                  <c:v>9.4836374433234644E-3</c:v>
                </c:pt>
                <c:pt idx="34">
                  <c:v>9.7614696224831137E-3</c:v>
                </c:pt>
                <c:pt idx="35">
                  <c:v>1.0041167471922824E-2</c:v>
                </c:pt>
                <c:pt idx="36">
                  <c:v>1.0322735612204578E-2</c:v>
                </c:pt>
                <c:pt idx="37">
                  <c:v>1.0606177185439433E-2</c:v>
                </c:pt>
                <c:pt idx="38">
                  <c:v>1.0891494040994903E-2</c:v>
                </c:pt>
                <c:pt idx="39">
                  <c:v>1.1178686896286165E-2</c:v>
                </c:pt>
                <c:pt idx="40">
                  <c:v>1.1467755476417424E-2</c:v>
                </c:pt>
                <c:pt idx="41">
                  <c:v>1.1758698635800723E-2</c:v>
                </c:pt>
                <c:pt idx="42">
                  <c:v>1.2051514464360407E-2</c:v>
                </c:pt>
                <c:pt idx="43">
                  <c:v>1.2346200380508553E-2</c:v>
                </c:pt>
                <c:pt idx="44">
                  <c:v>1.2642753212729209E-2</c:v>
                </c:pt>
                <c:pt idx="45">
                  <c:v>1.2941169271323671E-2</c:v>
                </c:pt>
                <c:pt idx="46">
                  <c:v>1.3241444411632374E-2</c:v>
                </c:pt>
                <c:pt idx="47">
                  <c:v>1.3543574089852264E-2</c:v>
                </c:pt>
                <c:pt idx="48">
                  <c:v>1.3847553412404769E-2</c:v>
                </c:pt>
                <c:pt idx="49">
                  <c:v>1.415337717967181E-2</c:v>
                </c:pt>
                <c:pt idx="50">
                  <c:v>1.4461039924802143E-2</c:v>
                </c:pt>
                <c:pt idx="51">
                  <c:v>1.4770535948192672E-2</c:v>
                </c:pt>
                <c:pt idx="52">
                  <c:v>1.5081859348167064E-2</c:v>
                </c:pt>
                <c:pt idx="53">
                  <c:v>1.5395004048304035E-2</c:v>
                </c:pt>
                <c:pt idx="54">
                  <c:v>1.5709963821807799E-2</c:v>
                </c:pt>
                <c:pt idx="55">
                  <c:v>1.6026732313262744E-2</c:v>
                </c:pt>
                <c:pt idx="56">
                  <c:v>1.6345303058070134E-2</c:v>
                </c:pt>
                <c:pt idx="57">
                  <c:v>1.6665669499827736E-2</c:v>
                </c:pt>
                <c:pt idx="58">
                  <c:v>1.6987825005880634E-2</c:v>
                </c:pt>
                <c:pt idx="59">
                  <c:v>1.7311762881243798E-2</c:v>
                </c:pt>
                <c:pt idx="60">
                  <c:v>1.7637476381072721E-2</c:v>
                </c:pt>
                <c:pt idx="61">
                  <c:v>1.7964958721837773E-2</c:v>
                </c:pt>
                <c:pt idx="62">
                  <c:v>1.8294203091339334E-2</c:v>
                </c:pt>
                <c:pt idx="63">
                  <c:v>1.8625202657685379E-2</c:v>
                </c:pt>
                <c:pt idx="64">
                  <c:v>1.8957950577338949E-2</c:v>
                </c:pt>
                <c:pt idx="65">
                  <c:v>1.9292440002331098E-2</c:v>
                </c:pt>
                <c:pt idx="66">
                  <c:v>1.9628664086724201E-2</c:v>
                </c:pt>
                <c:pt idx="67">
                  <c:v>1.9966615992401113E-2</c:v>
                </c:pt>
                <c:pt idx="68">
                  <c:v>2.030628889424773E-2</c:v>
                </c:pt>
                <c:pt idx="69">
                  <c:v>2.0647675984788866E-2</c:v>
                </c:pt>
                <c:pt idx="70">
                  <c:v>2.099077047833146E-2</c:v>
                </c:pt>
                <c:pt idx="71">
                  <c:v>2.1335565614663019E-2</c:v>
                </c:pt>
                <c:pt idx="72">
                  <c:v>2.1682054662348616E-2</c:v>
                </c:pt>
                <c:pt idx="73">
                  <c:v>2.2030230921665072E-2</c:v>
                </c:pt>
                <c:pt idx="74">
                  <c:v>2.2380087727207038E-2</c:v>
                </c:pt>
                <c:pt idx="75">
                  <c:v>2.2731618450196341E-2</c:v>
                </c:pt>
                <c:pt idx="76">
                  <c:v>2.3084816500522777E-2</c:v>
                </c:pt>
                <c:pt idx="77">
                  <c:v>2.3439675328541479E-2</c:v>
                </c:pt>
                <c:pt idx="78">
                  <c:v>2.3796188426650149E-2</c:v>
                </c:pt>
                <c:pt idx="79">
                  <c:v>2.4154349330666389E-2</c:v>
                </c:pt>
                <c:pt idx="80">
                  <c:v>2.4514151621024147E-2</c:v>
                </c:pt>
                <c:pt idx="81">
                  <c:v>2.4875588923805987E-2</c:v>
                </c:pt>
                <c:pt idx="82">
                  <c:v>2.5238654911626447E-2</c:v>
                </c:pt>
                <c:pt idx="83">
                  <c:v>2.5603343304380573E-2</c:v>
                </c:pt>
                <c:pt idx="84">
                  <c:v>2.5969647869869935E-2</c:v>
                </c:pt>
                <c:pt idx="85">
                  <c:v>2.6337562424317562E-2</c:v>
                </c:pt>
                <c:pt idx="86">
                  <c:v>2.6707080832782379E-2</c:v>
                </c:pt>
                <c:pt idx="87">
                  <c:v>2.7078197009482226E-2</c:v>
                </c:pt>
                <c:pt idx="88">
                  <c:v>2.7450904918034154E-2</c:v>
                </c:pt>
                <c:pt idx="89">
                  <c:v>2.7825198571619945E-2</c:v>
                </c:pt>
                <c:pt idx="90">
                  <c:v>2.8201072033083543E-2</c:v>
                </c:pt>
                <c:pt idx="91">
                  <c:v>2.8578519414967231E-2</c:v>
                </c:pt>
                <c:pt idx="92">
                  <c:v>2.8957534879492174E-2</c:v>
                </c:pt>
                <c:pt idx="93">
                  <c:v>2.9338112638488789E-2</c:v>
                </c:pt>
                <c:pt idx="94">
                  <c:v>2.9720246953281817E-2</c:v>
                </c:pt>
                <c:pt idx="95">
                  <c:v>3.0103932134534481E-2</c:v>
                </c:pt>
                <c:pt idx="96">
                  <c:v>3.0489162542055963E-2</c:v>
                </c:pt>
                <c:pt idx="97">
                  <c:v>3.0875932584575584E-2</c:v>
                </c:pt>
                <c:pt idx="98">
                  <c:v>3.1264236719487484E-2</c:v>
                </c:pt>
                <c:pt idx="99">
                  <c:v>3.1654069452568608E-2</c:v>
                </c:pt>
                <c:pt idx="100">
                  <c:v>3.2045425337672906E-2</c:v>
                </c:pt>
                <c:pt idx="101">
                  <c:v>3.2438298976404281E-2</c:v>
                </c:pt>
                <c:pt idx="102">
                  <c:v>3.2832685017770841E-2</c:v>
                </c:pt>
                <c:pt idx="103">
                  <c:v>3.3228578157822292E-2</c:v>
                </c:pt>
                <c:pt idx="104">
                  <c:v>3.3625973139272763E-2</c:v>
                </c:pt>
                <c:pt idx="105">
                  <c:v>3.4024864751110578E-2</c:v>
                </c:pt>
                <c:pt idx="106">
                  <c:v>3.4425247828196906E-2</c:v>
                </c:pt>
                <c:pt idx="107">
                  <c:v>3.4827117250854502E-2</c:v>
                </c:pt>
                <c:pt idx="108">
                  <c:v>3.5230467944448181E-2</c:v>
                </c:pt>
                <c:pt idx="109">
                  <c:v>3.563529487895805E-2</c:v>
                </c:pt>
                <c:pt idx="110">
                  <c:v>3.6041593068546859E-2</c:v>
                </c:pt>
                <c:pt idx="111">
                  <c:v>3.6449357571122346E-2</c:v>
                </c:pt>
                <c:pt idx="112">
                  <c:v>3.6858583487895578E-2</c:v>
                </c:pt>
                <c:pt idx="113">
                  <c:v>3.7269265962936227E-2</c:v>
                </c:pt>
                <c:pt idx="114">
                  <c:v>3.7681400182725547E-2</c:v>
                </c:pt>
                <c:pt idx="115">
                  <c:v>3.8094981375707632E-2</c:v>
                </c:pt>
                <c:pt idx="116">
                  <c:v>3.8510004811839936E-2</c:v>
                </c:pt>
                <c:pt idx="117">
                  <c:v>3.892646580214322E-2</c:v>
                </c:pt>
                <c:pt idx="118">
                  <c:v>3.9344359698251979E-2</c:v>
                </c:pt>
                <c:pt idx="119">
                  <c:v>3.9763681891965288E-2</c:v>
                </c:pt>
                <c:pt idx="120">
                  <c:v>4.0184427814799063E-2</c:v>
                </c:pt>
                <c:pt idx="121">
                  <c:v>4.0606592937539689E-2</c:v>
                </c:pt>
                <c:pt idx="122">
                  <c:v>4.1030172769799665E-2</c:v>
                </c:pt>
                <c:pt idx="123">
                  <c:v>4.1455162859575553E-2</c:v>
                </c:pt>
                <c:pt idx="124">
                  <c:v>4.188155879280836E-2</c:v>
                </c:pt>
                <c:pt idx="125">
                  <c:v>4.2309356192946859E-2</c:v>
                </c:pt>
                <c:pt idx="126">
                  <c:v>4.2738550720513954E-2</c:v>
                </c:pt>
                <c:pt idx="127">
                  <c:v>4.3169138072676319E-2</c:v>
                </c:pt>
                <c:pt idx="128">
                  <c:v>4.3601113982817477E-2</c:v>
                </c:pt>
                <c:pt idx="129">
                  <c:v>4.4034474220114674E-2</c:v>
                </c:pt>
                <c:pt idx="130">
                  <c:v>4.4469214589119316E-2</c:v>
                </c:pt>
                <c:pt idx="131">
                  <c:v>4.4905330929341708E-2</c:v>
                </c:pt>
                <c:pt idx="132">
                  <c:v>4.5342819114839339E-2</c:v>
                </c:pt>
                <c:pt idx="133">
                  <c:v>4.5781675053809805E-2</c:v>
                </c:pt>
                <c:pt idx="134">
                  <c:v>4.6221894688187729E-2</c:v>
                </c:pt>
                <c:pt idx="135">
                  <c:v>4.6663473993245989E-2</c:v>
                </c:pt>
                <c:pt idx="136">
                  <c:v>4.7106408977201447E-2</c:v>
                </c:pt>
                <c:pt idx="137">
                  <c:v>4.7550695680824935E-2</c:v>
                </c:pt>
                <c:pt idx="138">
                  <c:v>4.7996330177055957E-2</c:v>
                </c:pt>
                <c:pt idx="139">
                  <c:v>4.844330857062154E-2</c:v>
                </c:pt>
                <c:pt idx="140">
                  <c:v>4.8891626997660066E-2</c:v>
                </c:pt>
                <c:pt idx="141">
                  <c:v>4.9341281625349259E-2</c:v>
                </c:pt>
                <c:pt idx="142">
                  <c:v>4.9792268651538803E-2</c:v>
                </c:pt>
                <c:pt idx="143">
                  <c:v>5.0244584304387788E-2</c:v>
                </c:pt>
                <c:pt idx="144">
                  <c:v>5.0698224842006333E-2</c:v>
                </c:pt>
                <c:pt idx="145">
                  <c:v>5.1153186552102027E-2</c:v>
                </c:pt>
                <c:pt idx="146">
                  <c:v>5.1609465751630834E-2</c:v>
                </c:pt>
                <c:pt idx="147">
                  <c:v>5.2067058786452312E-2</c:v>
                </c:pt>
                <c:pt idx="148">
                  <c:v>5.2525962030989817E-2</c:v>
                </c:pt>
                <c:pt idx="149">
                  <c:v>5.2986171887894548E-2</c:v>
                </c:pt>
                <c:pt idx="150">
                  <c:v>5.3447684787714597E-2</c:v>
                </c:pt>
              </c:numCache>
            </c:numRef>
          </c:yVal>
          <c:smooth val="1"/>
          <c:extLst>
            <c:ext xmlns:c16="http://schemas.microsoft.com/office/drawing/2014/chart" uri="{C3380CC4-5D6E-409C-BE32-E72D297353CC}">
              <c16:uniqueId val="{00000001-C391-4527-8BBE-DDCDE94A24A4}"/>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Eff_vs_IOUT!$BU$7:$BU$157</c:f>
              <c:numCache>
                <c:formatCode>General</c:formatCode>
                <c:ptCount val="151"/>
                <c:pt idx="0">
                  <c:v>0</c:v>
                </c:pt>
                <c:pt idx="1">
                  <c:v>1.3250773199998752E-6</c:v>
                </c:pt>
                <c:pt idx="2">
                  <c:v>3.7478846342736349E-6</c:v>
                </c:pt>
                <c:pt idx="3">
                  <c:v>6.885303726590964E-6</c:v>
                </c:pt>
                <c:pt idx="4">
                  <c:v>1.0600618559999005E-5</c:v>
                </c:pt>
                <c:pt idx="5">
                  <c:v>1.4814814814814812E-5</c:v>
                </c:pt>
                <c:pt idx="6">
                  <c:v>1.9474579822405906E-5</c:v>
                </c:pt>
                <c:pt idx="7">
                  <c:v>2.4540775396561373E-5</c:v>
                </c:pt>
                <c:pt idx="8">
                  <c:v>2.998307707418908E-5</c:v>
                </c:pt>
                <c:pt idx="9">
                  <c:v>3.5777087639996639E-5</c:v>
                </c:pt>
                <c:pt idx="10">
                  <c:v>4.1902624070313919E-5</c:v>
                </c:pt>
                <c:pt idx="11">
                  <c:v>4.8342627175142101E-5</c:v>
                </c:pt>
                <c:pt idx="12">
                  <c:v>5.5082429812727726E-5</c:v>
                </c:pt>
                <c:pt idx="13">
                  <c:v>6.2109244875781407E-5</c:v>
                </c:pt>
                <c:pt idx="14">
                  <c:v>6.9411794793938146E-5</c:v>
                </c:pt>
                <c:pt idx="15">
                  <c:v>7.6980035891950082E-5</c:v>
                </c:pt>
                <c:pt idx="16">
                  <c:v>8.4804948479992012E-5</c:v>
                </c:pt>
                <c:pt idx="17">
                  <c:v>9.2878373791987611E-5</c:v>
                </c:pt>
                <c:pt idx="18">
                  <c:v>1.0119288512538813E-4</c:v>
                </c:pt>
                <c:pt idx="19">
                  <c:v>1.0974168447488616E-4</c:v>
                </c:pt>
                <c:pt idx="20">
                  <c:v>1.1851851851851848E-4</c:v>
                </c:pt>
                <c:pt idx="21">
                  <c:v>1.2751760953194166E-4</c:v>
                </c:pt>
                <c:pt idx="22">
                  <c:v>1.3673359798366423E-4</c:v>
                </c:pt>
                <c:pt idx="23">
                  <c:v>1.461614943878892E-4</c:v>
                </c:pt>
                <c:pt idx="24">
                  <c:v>1.5579663857924724E-4</c:v>
                </c:pt>
                <c:pt idx="25">
                  <c:v>1.6563466499998442E-4</c:v>
                </c:pt>
                <c:pt idx="26">
                  <c:v>1.7567147290416349E-4</c:v>
                </c:pt>
                <c:pt idx="27">
                  <c:v>1.8590320061795602E-4</c:v>
                </c:pt>
                <c:pt idx="28">
                  <c:v>1.9632620317249099E-4</c:v>
                </c:pt>
                <c:pt idx="29">
                  <c:v>2.0693703276146769E-4</c:v>
                </c:pt>
                <c:pt idx="30">
                  <c:v>2.1773242158072689E-4</c:v>
                </c:pt>
                <c:pt idx="31">
                  <c:v>2.2870926668897823E-4</c:v>
                </c:pt>
                <c:pt idx="32">
                  <c:v>2.3986461659351264E-4</c:v>
                </c:pt>
                <c:pt idx="33">
                  <c:v>2.5119565931611815E-4</c:v>
                </c:pt>
                <c:pt idx="34">
                  <c:v>2.626997117355735E-4</c:v>
                </c:pt>
                <c:pt idx="35">
                  <c:v>2.7437421003632777E-4</c:v>
                </c:pt>
                <c:pt idx="36">
                  <c:v>2.8621670111997311E-4</c:v>
                </c:pt>
                <c:pt idx="37">
                  <c:v>2.9822483485819932E-4</c:v>
                </c:pt>
                <c:pt idx="38">
                  <c:v>3.1039635708410572E-4</c:v>
                </c:pt>
                <c:pt idx="39">
                  <c:v>3.227291032337712E-4</c:v>
                </c:pt>
                <c:pt idx="40">
                  <c:v>3.3522099256251135E-4</c:v>
                </c:pt>
                <c:pt idx="41">
                  <c:v>3.4787002287071445E-4</c:v>
                </c:pt>
                <c:pt idx="42">
                  <c:v>3.6067426568293719E-4</c:v>
                </c:pt>
                <c:pt idx="43">
                  <c:v>3.736318618313794E-4</c:v>
                </c:pt>
                <c:pt idx="44">
                  <c:v>3.8674101740113686E-4</c:v>
                </c:pt>
                <c:pt idx="45">
                  <c:v>4.0000000000000002E-4</c:v>
                </c:pt>
                <c:pt idx="46">
                  <c:v>4.13407135320144E-4</c:v>
                </c:pt>
                <c:pt idx="47">
                  <c:v>4.2696080396297892E-4</c:v>
                </c:pt>
                <c:pt idx="48">
                  <c:v>4.406594385018217E-4</c:v>
                </c:pt>
                <c:pt idx="49">
                  <c:v>4.5450152075995735E-4</c:v>
                </c:pt>
                <c:pt idx="50">
                  <c:v>4.6848557928420447E-4</c:v>
                </c:pt>
                <c:pt idx="51">
                  <c:v>4.8261018699628875E-4</c:v>
                </c:pt>
                <c:pt idx="52">
                  <c:v>4.9687395900625125E-4</c:v>
                </c:pt>
                <c:pt idx="53">
                  <c:v>5.1127555057379841E-4</c:v>
                </c:pt>
                <c:pt idx="54">
                  <c:v>5.2581365520495949E-4</c:v>
                </c:pt>
                <c:pt idx="55">
                  <c:v>5.4048700287273176E-4</c:v>
                </c:pt>
                <c:pt idx="56">
                  <c:v>5.5529435835150506E-4</c:v>
                </c:pt>
                <c:pt idx="57">
                  <c:v>5.7023451965608637E-4</c:v>
                </c:pt>
                <c:pt idx="58">
                  <c:v>5.8530631657702605E-4</c:v>
                </c:pt>
                <c:pt idx="59">
                  <c:v>6.0050860930473647E-4</c:v>
                </c:pt>
                <c:pt idx="60">
                  <c:v>6.1584028713560065E-4</c:v>
                </c:pt>
                <c:pt idx="61">
                  <c:v>6.3130026725389751E-4</c:v>
                </c:pt>
                <c:pt idx="62">
                  <c:v>6.4688749358391632E-4</c:v>
                </c:pt>
                <c:pt idx="63">
                  <c:v>6.6260093570715722E-4</c:v>
                </c:pt>
                <c:pt idx="64">
                  <c:v>6.7843958783993632E-4</c:v>
                </c:pt>
                <c:pt idx="65">
                  <c:v>6.9440246786713858E-4</c:v>
                </c:pt>
                <c:pt idx="66">
                  <c:v>7.1048861642821154E-4</c:v>
                </c:pt>
                <c:pt idx="67">
                  <c:v>7.2669709605182177E-4</c:v>
                </c:pt>
                <c:pt idx="68">
                  <c:v>7.4302699033590078E-4</c:v>
                </c:pt>
                <c:pt idx="69">
                  <c:v>7.5947740317005208E-4</c:v>
                </c:pt>
                <c:pt idx="70">
                  <c:v>7.7604745799755826E-4</c:v>
                </c:pt>
                <c:pt idx="71">
                  <c:v>7.9273629711442437E-4</c:v>
                </c:pt>
                <c:pt idx="72">
                  <c:v>8.0954308100310507E-4</c:v>
                </c:pt>
                <c:pt idx="73">
                  <c:v>8.2646698769874038E-4</c:v>
                </c:pt>
                <c:pt idx="74">
                  <c:v>8.4350721218588438E-4</c:v>
                </c:pt>
                <c:pt idx="75">
                  <c:v>8.6066296582387042E-4</c:v>
                </c:pt>
                <c:pt idx="76">
                  <c:v>8.7793347579908938E-4</c:v>
                </c:pt>
                <c:pt idx="77">
                  <c:v>8.9531798460257262E-4</c:v>
                </c:pt>
                <c:pt idx="78">
                  <c:v>9.1281574953141153E-4</c:v>
                </c:pt>
                <c:pt idx="79">
                  <c:v>9.3042604221261712E-4</c:v>
                </c:pt>
                <c:pt idx="80">
                  <c:v>9.4814814814814794E-4</c:v>
                </c:pt>
                <c:pt idx="81">
                  <c:v>9.6598136627990927E-4</c:v>
                </c:pt>
                <c:pt idx="82">
                  <c:v>9.8392500857360631E-4</c:v>
                </c:pt>
                <c:pt idx="83">
                  <c:v>1.0019783996204202E-3</c:v>
                </c:pt>
                <c:pt idx="84">
                  <c:v>1.0201408762555337E-3</c:v>
                </c:pt>
                <c:pt idx="85">
                  <c:v>1.038411787192596E-3</c:v>
                </c:pt>
                <c:pt idx="86">
                  <c:v>1.0567904926732938E-3</c:v>
                </c:pt>
                <c:pt idx="87">
                  <c:v>1.0752763641312217E-3</c:v>
                </c:pt>
                <c:pt idx="88">
                  <c:v>1.0938687838693132E-3</c:v>
                </c:pt>
                <c:pt idx="89">
                  <c:v>1.112567144750151E-3</c:v>
                </c:pt>
                <c:pt idx="90">
                  <c:v>1.1313708498984758E-3</c:v>
                </c:pt>
                <c:pt idx="91">
                  <c:v>1.1502793124153127E-3</c:v>
                </c:pt>
                <c:pt idx="92">
                  <c:v>1.1692919551031138E-3</c:v>
                </c:pt>
                <c:pt idx="93">
                  <c:v>1.1884082102013916E-3</c:v>
                </c:pt>
                <c:pt idx="94">
                  <c:v>1.2076275191323306E-3</c:v>
                </c:pt>
                <c:pt idx="95">
                  <c:v>1.2269493322558929E-3</c:v>
                </c:pt>
                <c:pt idx="96">
                  <c:v>1.246373108633978E-3</c:v>
                </c:pt>
                <c:pt idx="97">
                  <c:v>1.2658983158031934E-3</c:v>
                </c:pt>
                <c:pt idx="98">
                  <c:v>1.2855244295558567E-3</c:v>
                </c:pt>
                <c:pt idx="99">
                  <c:v>1.3052509337288364E-3</c:v>
                </c:pt>
                <c:pt idx="100">
                  <c:v>1.3250773199998756E-3</c:v>
                </c:pt>
                <c:pt idx="101">
                  <c:v>1.3450030876910625E-3</c:v>
                </c:pt>
                <c:pt idx="102">
                  <c:v>1.3650277435791338E-3</c:v>
                </c:pt>
                <c:pt idx="103">
                  <c:v>1.3851508017122991E-3</c:v>
                </c:pt>
                <c:pt idx="104">
                  <c:v>1.4053717832333084E-3</c:v>
                </c:pt>
                <c:pt idx="105">
                  <c:v>1.4256902162084837E-3</c:v>
                </c:pt>
                <c:pt idx="106">
                  <c:v>1.4461056354624735E-3</c:v>
                </c:pt>
                <c:pt idx="107">
                  <c:v>1.4666175824184656E-3</c:v>
                </c:pt>
                <c:pt idx="108">
                  <c:v>1.4872256049436483E-3</c:v>
                </c:pt>
                <c:pt idx="109">
                  <c:v>1.507929257199685E-3</c:v>
                </c:pt>
                <c:pt idx="110">
                  <c:v>1.5287280994980067E-3</c:v>
                </c:pt>
                <c:pt idx="111">
                  <c:v>1.5496216981597177E-3</c:v>
                </c:pt>
                <c:pt idx="112">
                  <c:v>1.5706096253799279E-3</c:v>
                </c:pt>
                <c:pt idx="113">
                  <c:v>1.5916914590963346E-3</c:v>
                </c:pt>
                <c:pt idx="114">
                  <c:v>1.6128667828618889E-3</c:v>
                </c:pt>
                <c:pt idx="115">
                  <c:v>1.6341351857213709E-3</c:v>
                </c:pt>
                <c:pt idx="116">
                  <c:v>1.6554962620917411E-3</c:v>
                </c:pt>
                <c:pt idx="117">
                  <c:v>1.676949611646098E-3</c:v>
                </c:pt>
                <c:pt idx="118">
                  <c:v>1.6984948392011288E-3</c:v>
                </c:pt>
                <c:pt idx="119">
                  <c:v>1.720131554607888E-3</c:v>
                </c:pt>
                <c:pt idx="120">
                  <c:v>1.7418593726458151E-3</c:v>
                </c:pt>
                <c:pt idx="121">
                  <c:v>1.7636779129198343E-3</c:v>
                </c:pt>
                <c:pt idx="122">
                  <c:v>1.7855867997604421E-3</c:v>
                </c:pt>
                <c:pt idx="123">
                  <c:v>1.807585662126674E-3</c:v>
                </c:pt>
                <c:pt idx="124">
                  <c:v>1.8296741335118256E-3</c:v>
                </c:pt>
                <c:pt idx="125">
                  <c:v>1.8518518518518519E-3</c:v>
                </c:pt>
                <c:pt idx="126">
                  <c:v>1.874118459436329E-3</c:v>
                </c:pt>
                <c:pt idx="127">
                  <c:v>1.8964736028218997E-3</c:v>
                </c:pt>
                <c:pt idx="128">
                  <c:v>1.9189169327481011E-3</c:v>
                </c:pt>
                <c:pt idx="129">
                  <c:v>1.9414481040555124E-3</c:v>
                </c:pt>
                <c:pt idx="130">
                  <c:v>1.9640667756061088E-3</c:v>
                </c:pt>
                <c:pt idx="131">
                  <c:v>1.9867726102057886E-3</c:v>
                </c:pt>
                <c:pt idx="132">
                  <c:v>2.0095652745289452E-3</c:v>
                </c:pt>
                <c:pt idx="133">
                  <c:v>2.0324444390450659E-3</c:v>
                </c:pt>
                <c:pt idx="134">
                  <c:v>2.0554097779472615E-3</c:v>
                </c:pt>
                <c:pt idx="135">
                  <c:v>2.078460969082653E-3</c:v>
                </c:pt>
                <c:pt idx="136">
                  <c:v>2.101597693884588E-3</c:v>
                </c:pt>
                <c:pt idx="137">
                  <c:v>2.1248196373065821E-3</c:v>
                </c:pt>
                <c:pt idx="138">
                  <c:v>2.1481264877579744E-3</c:v>
                </c:pt>
                <c:pt idx="139">
                  <c:v>2.1715179370411916E-3</c:v>
                </c:pt>
                <c:pt idx="140">
                  <c:v>2.1949936802906221E-3</c:v>
                </c:pt>
                <c:pt idx="141">
                  <c:v>2.2185534159130044E-3</c:v>
                </c:pt>
                <c:pt idx="142">
                  <c:v>2.2421968455292921E-3</c:v>
                </c:pt>
                <c:pt idx="143">
                  <c:v>2.2659236739179787E-3</c:v>
                </c:pt>
                <c:pt idx="144">
                  <c:v>2.2897336089597849E-3</c:v>
                </c:pt>
                <c:pt idx="145">
                  <c:v>2.3136263615837127E-3</c:v>
                </c:pt>
                <c:pt idx="146">
                  <c:v>2.3376016457143938E-3</c:v>
                </c:pt>
                <c:pt idx="147">
                  <c:v>2.3616591782206998E-3</c:v>
                </c:pt>
                <c:pt idx="148">
                  <c:v>2.3857986788655959E-3</c:v>
                </c:pt>
                <c:pt idx="149">
                  <c:v>2.4100198702571513E-3</c:v>
                </c:pt>
                <c:pt idx="150">
                  <c:v>2.4343224778007378E-3</c:v>
                </c:pt>
              </c:numCache>
            </c:numRef>
          </c:yVal>
          <c:smooth val="1"/>
          <c:extLst>
            <c:ext xmlns:c16="http://schemas.microsoft.com/office/drawing/2014/chart" uri="{C3380CC4-5D6E-409C-BE32-E72D297353CC}">
              <c16:uniqueId val="{00000002-C391-4527-8BBE-DDCDE94A24A4}"/>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Eff_vs_IOUT!$AY$8:$AY$157</c:f>
              <c:numCache>
                <c:formatCode>General</c:formatCode>
                <c:ptCount val="150"/>
                <c:pt idx="0">
                  <c:v>3.8333333333333334E-5</c:v>
                </c:pt>
                <c:pt idx="1">
                  <c:v>7.6666666666666669E-5</c:v>
                </c:pt>
                <c:pt idx="2">
                  <c:v>1.1500000000000002E-4</c:v>
                </c:pt>
                <c:pt idx="3">
                  <c:v>1.5333333333333334E-4</c:v>
                </c:pt>
                <c:pt idx="4">
                  <c:v>1.9166666666666665E-4</c:v>
                </c:pt>
                <c:pt idx="5">
                  <c:v>2.3000000000000003E-4</c:v>
                </c:pt>
                <c:pt idx="6">
                  <c:v>2.6833333333333331E-4</c:v>
                </c:pt>
                <c:pt idx="7">
                  <c:v>3.0666666666666668E-4</c:v>
                </c:pt>
                <c:pt idx="8">
                  <c:v>3.4499999999999998E-4</c:v>
                </c:pt>
                <c:pt idx="9">
                  <c:v>3.8333333333333329E-4</c:v>
                </c:pt>
                <c:pt idx="10">
                  <c:v>4.2166666666666665E-4</c:v>
                </c:pt>
                <c:pt idx="11">
                  <c:v>4.6000000000000007E-4</c:v>
                </c:pt>
                <c:pt idx="12">
                  <c:v>4.9833333333333338E-4</c:v>
                </c:pt>
                <c:pt idx="13">
                  <c:v>5.3666666666666663E-4</c:v>
                </c:pt>
                <c:pt idx="14">
                  <c:v>5.7499999999999999E-4</c:v>
                </c:pt>
                <c:pt idx="15">
                  <c:v>6.1333333333333335E-4</c:v>
                </c:pt>
                <c:pt idx="16">
                  <c:v>6.5166666666666671E-4</c:v>
                </c:pt>
                <c:pt idx="17">
                  <c:v>6.8999999999999997E-4</c:v>
                </c:pt>
                <c:pt idx="18">
                  <c:v>7.2833333333333333E-4</c:v>
                </c:pt>
                <c:pt idx="19">
                  <c:v>7.6666666666666658E-4</c:v>
                </c:pt>
                <c:pt idx="20">
                  <c:v>8.0499999999999994E-4</c:v>
                </c:pt>
                <c:pt idx="21">
                  <c:v>8.433333333333333E-4</c:v>
                </c:pt>
                <c:pt idx="22">
                  <c:v>8.8166666666666677E-4</c:v>
                </c:pt>
                <c:pt idx="23">
                  <c:v>9.2000000000000014E-4</c:v>
                </c:pt>
                <c:pt idx="24">
                  <c:v>9.5833333333333328E-4</c:v>
                </c:pt>
                <c:pt idx="25">
                  <c:v>9.9666666666666675E-4</c:v>
                </c:pt>
                <c:pt idx="26">
                  <c:v>1.0350000000000001E-3</c:v>
                </c:pt>
                <c:pt idx="27">
                  <c:v>1.0733333333333333E-3</c:v>
                </c:pt>
                <c:pt idx="28">
                  <c:v>1.1116666666666666E-3</c:v>
                </c:pt>
                <c:pt idx="29">
                  <c:v>1.15E-3</c:v>
                </c:pt>
                <c:pt idx="30">
                  <c:v>1.1883333333333333E-3</c:v>
                </c:pt>
                <c:pt idx="31">
                  <c:v>1.2266666666666667E-3</c:v>
                </c:pt>
                <c:pt idx="32">
                  <c:v>1.2650000000000001E-3</c:v>
                </c:pt>
                <c:pt idx="33">
                  <c:v>1.3033333333333334E-3</c:v>
                </c:pt>
                <c:pt idx="34">
                  <c:v>1.3416666666666666E-3</c:v>
                </c:pt>
                <c:pt idx="35">
                  <c:v>1.3799999999999999E-3</c:v>
                </c:pt>
                <c:pt idx="36">
                  <c:v>1.4183333333333333E-3</c:v>
                </c:pt>
                <c:pt idx="37">
                  <c:v>1.4566666666666667E-3</c:v>
                </c:pt>
                <c:pt idx="38">
                  <c:v>1.495E-3</c:v>
                </c:pt>
                <c:pt idx="39">
                  <c:v>1.5333333333333332E-3</c:v>
                </c:pt>
                <c:pt idx="40">
                  <c:v>1.5716666666666667E-3</c:v>
                </c:pt>
                <c:pt idx="41">
                  <c:v>1.6099999999999999E-3</c:v>
                </c:pt>
                <c:pt idx="42">
                  <c:v>1.6483333333333332E-3</c:v>
                </c:pt>
                <c:pt idx="43">
                  <c:v>1.6866666666666666E-3</c:v>
                </c:pt>
                <c:pt idx="44">
                  <c:v>1.725E-3</c:v>
                </c:pt>
                <c:pt idx="45">
                  <c:v>1.7633333333333335E-3</c:v>
                </c:pt>
                <c:pt idx="46">
                  <c:v>1.8016666666666667E-3</c:v>
                </c:pt>
                <c:pt idx="47">
                  <c:v>1.8400000000000003E-3</c:v>
                </c:pt>
                <c:pt idx="48">
                  <c:v>1.8783333333333332E-3</c:v>
                </c:pt>
                <c:pt idx="49">
                  <c:v>1.9166666666666666E-3</c:v>
                </c:pt>
                <c:pt idx="50">
                  <c:v>1.9550000000000001E-3</c:v>
                </c:pt>
                <c:pt idx="51">
                  <c:v>1.9933333333333335E-3</c:v>
                </c:pt>
                <c:pt idx="52">
                  <c:v>2.0316666666666669E-3</c:v>
                </c:pt>
                <c:pt idx="53">
                  <c:v>2.0700000000000002E-3</c:v>
                </c:pt>
                <c:pt idx="54">
                  <c:v>2.1083333333333332E-3</c:v>
                </c:pt>
                <c:pt idx="55">
                  <c:v>2.1466666666666665E-3</c:v>
                </c:pt>
                <c:pt idx="56">
                  <c:v>2.1849999999999999E-3</c:v>
                </c:pt>
                <c:pt idx="57">
                  <c:v>2.2233333333333332E-3</c:v>
                </c:pt>
                <c:pt idx="58">
                  <c:v>2.2616666666666666E-3</c:v>
                </c:pt>
                <c:pt idx="59">
                  <c:v>2.3E-3</c:v>
                </c:pt>
                <c:pt idx="60">
                  <c:v>2.3383333333333333E-3</c:v>
                </c:pt>
                <c:pt idx="61">
                  <c:v>2.3766666666666667E-3</c:v>
                </c:pt>
                <c:pt idx="62">
                  <c:v>2.415E-3</c:v>
                </c:pt>
                <c:pt idx="63">
                  <c:v>2.4533333333333334E-3</c:v>
                </c:pt>
                <c:pt idx="64">
                  <c:v>2.4916666666666663E-3</c:v>
                </c:pt>
                <c:pt idx="65">
                  <c:v>2.5300000000000001E-3</c:v>
                </c:pt>
                <c:pt idx="66">
                  <c:v>2.5683333333333331E-3</c:v>
                </c:pt>
                <c:pt idx="67">
                  <c:v>2.6066666666666669E-3</c:v>
                </c:pt>
                <c:pt idx="68">
                  <c:v>2.6449999999999998E-3</c:v>
                </c:pt>
                <c:pt idx="69">
                  <c:v>2.6833333333333331E-3</c:v>
                </c:pt>
                <c:pt idx="70">
                  <c:v>2.7216666666666665E-3</c:v>
                </c:pt>
                <c:pt idx="71">
                  <c:v>2.7599999999999999E-3</c:v>
                </c:pt>
                <c:pt idx="72">
                  <c:v>2.7983333333333332E-3</c:v>
                </c:pt>
                <c:pt idx="73">
                  <c:v>2.8366666666666666E-3</c:v>
                </c:pt>
                <c:pt idx="74">
                  <c:v>2.875E-3</c:v>
                </c:pt>
                <c:pt idx="75">
                  <c:v>2.9133333333333333E-3</c:v>
                </c:pt>
                <c:pt idx="76">
                  <c:v>2.9516666666666667E-3</c:v>
                </c:pt>
                <c:pt idx="77">
                  <c:v>2.99E-3</c:v>
                </c:pt>
                <c:pt idx="78">
                  <c:v>3.0283333333333334E-3</c:v>
                </c:pt>
                <c:pt idx="79">
                  <c:v>3.0666666666666663E-3</c:v>
                </c:pt>
                <c:pt idx="80">
                  <c:v>3.1049999999999993E-3</c:v>
                </c:pt>
                <c:pt idx="81">
                  <c:v>3.1433333333333335E-3</c:v>
                </c:pt>
                <c:pt idx="82">
                  <c:v>3.1816666666666664E-3</c:v>
                </c:pt>
                <c:pt idx="83">
                  <c:v>3.2199999999999998E-3</c:v>
                </c:pt>
                <c:pt idx="84">
                  <c:v>3.2583333333333331E-3</c:v>
                </c:pt>
                <c:pt idx="85">
                  <c:v>3.2966666666666665E-3</c:v>
                </c:pt>
                <c:pt idx="86">
                  <c:v>3.3349999999999999E-3</c:v>
                </c:pt>
                <c:pt idx="87">
                  <c:v>3.3733333333333332E-3</c:v>
                </c:pt>
                <c:pt idx="88">
                  <c:v>3.4116666666666666E-3</c:v>
                </c:pt>
                <c:pt idx="89">
                  <c:v>3.4499999999999999E-3</c:v>
                </c:pt>
                <c:pt idx="90">
                  <c:v>3.4883333333333329E-3</c:v>
                </c:pt>
                <c:pt idx="91">
                  <c:v>3.5266666666666671E-3</c:v>
                </c:pt>
                <c:pt idx="92">
                  <c:v>3.565E-3</c:v>
                </c:pt>
                <c:pt idx="93">
                  <c:v>3.6033333333333334E-3</c:v>
                </c:pt>
                <c:pt idx="94">
                  <c:v>3.6416666666666663E-3</c:v>
                </c:pt>
                <c:pt idx="95">
                  <c:v>3.6800000000000005E-3</c:v>
                </c:pt>
                <c:pt idx="96">
                  <c:v>3.7183333333333335E-3</c:v>
                </c:pt>
                <c:pt idx="97">
                  <c:v>3.7566666666666664E-3</c:v>
                </c:pt>
                <c:pt idx="98">
                  <c:v>3.7949999999999998E-3</c:v>
                </c:pt>
                <c:pt idx="99">
                  <c:v>3.8333333333333331E-3</c:v>
                </c:pt>
                <c:pt idx="100">
                  <c:v>3.8716666666666669E-3</c:v>
                </c:pt>
                <c:pt idx="101">
                  <c:v>3.9100000000000003E-3</c:v>
                </c:pt>
                <c:pt idx="102">
                  <c:v>3.9483333333333332E-3</c:v>
                </c:pt>
                <c:pt idx="103">
                  <c:v>3.986666666666667E-3</c:v>
                </c:pt>
                <c:pt idx="104">
                  <c:v>4.0249999999999999E-3</c:v>
                </c:pt>
                <c:pt idx="105">
                  <c:v>4.0633333333333337E-3</c:v>
                </c:pt>
                <c:pt idx="106">
                  <c:v>4.1016666666666667E-3</c:v>
                </c:pt>
                <c:pt idx="107">
                  <c:v>4.1400000000000005E-3</c:v>
                </c:pt>
                <c:pt idx="108">
                  <c:v>4.1783333333333334E-3</c:v>
                </c:pt>
                <c:pt idx="109">
                  <c:v>4.2166666666666663E-3</c:v>
                </c:pt>
                <c:pt idx="110">
                  <c:v>4.2550000000000001E-3</c:v>
                </c:pt>
                <c:pt idx="111">
                  <c:v>4.293333333333333E-3</c:v>
                </c:pt>
                <c:pt idx="112">
                  <c:v>4.3316666666666668E-3</c:v>
                </c:pt>
                <c:pt idx="113">
                  <c:v>4.3699999999999998E-3</c:v>
                </c:pt>
                <c:pt idx="114">
                  <c:v>4.4083333333333327E-3</c:v>
                </c:pt>
                <c:pt idx="115">
                  <c:v>4.4466666666666665E-3</c:v>
                </c:pt>
                <c:pt idx="116">
                  <c:v>4.4850000000000003E-3</c:v>
                </c:pt>
                <c:pt idx="117">
                  <c:v>4.5233333333333332E-3</c:v>
                </c:pt>
                <c:pt idx="118">
                  <c:v>4.561666666666667E-3</c:v>
                </c:pt>
                <c:pt idx="119">
                  <c:v>4.5999999999999999E-3</c:v>
                </c:pt>
                <c:pt idx="120">
                  <c:v>4.6383333333333337E-3</c:v>
                </c:pt>
                <c:pt idx="121">
                  <c:v>4.6766666666666666E-3</c:v>
                </c:pt>
                <c:pt idx="122">
                  <c:v>4.7150000000000004E-3</c:v>
                </c:pt>
                <c:pt idx="123">
                  <c:v>4.7533333333333334E-3</c:v>
                </c:pt>
                <c:pt idx="124">
                  <c:v>4.7916666666666663E-3</c:v>
                </c:pt>
                <c:pt idx="125">
                  <c:v>4.8300000000000001E-3</c:v>
                </c:pt>
                <c:pt idx="126">
                  <c:v>4.868333333333333E-3</c:v>
                </c:pt>
                <c:pt idx="127">
                  <c:v>4.9066666666666668E-3</c:v>
                </c:pt>
                <c:pt idx="128">
                  <c:v>4.9449999999999997E-3</c:v>
                </c:pt>
                <c:pt idx="129">
                  <c:v>4.9833333333333327E-3</c:v>
                </c:pt>
                <c:pt idx="130">
                  <c:v>5.0216666666666665E-3</c:v>
                </c:pt>
                <c:pt idx="131">
                  <c:v>5.0600000000000003E-3</c:v>
                </c:pt>
                <c:pt idx="132">
                  <c:v>5.0983333333333332E-3</c:v>
                </c:pt>
                <c:pt idx="133">
                  <c:v>5.1366666666666661E-3</c:v>
                </c:pt>
                <c:pt idx="134">
                  <c:v>5.174999999999999E-3</c:v>
                </c:pt>
                <c:pt idx="135">
                  <c:v>5.2133333333333337E-3</c:v>
                </c:pt>
                <c:pt idx="136">
                  <c:v>5.2516666666666666E-3</c:v>
                </c:pt>
                <c:pt idx="137">
                  <c:v>5.2899999999999996E-3</c:v>
                </c:pt>
                <c:pt idx="138">
                  <c:v>5.3283333333333325E-3</c:v>
                </c:pt>
                <c:pt idx="139">
                  <c:v>5.3666666666666663E-3</c:v>
                </c:pt>
                <c:pt idx="140">
                  <c:v>5.4050000000000001E-3</c:v>
                </c:pt>
                <c:pt idx="141">
                  <c:v>5.443333333333333E-3</c:v>
                </c:pt>
                <c:pt idx="142">
                  <c:v>5.4816666666666668E-3</c:v>
                </c:pt>
                <c:pt idx="143">
                  <c:v>5.5199999999999997E-3</c:v>
                </c:pt>
                <c:pt idx="144">
                  <c:v>5.5583333333333335E-3</c:v>
                </c:pt>
                <c:pt idx="145">
                  <c:v>5.5966666666666665E-3</c:v>
                </c:pt>
                <c:pt idx="146">
                  <c:v>5.6350000000000003E-3</c:v>
                </c:pt>
                <c:pt idx="147">
                  <c:v>5.6733333333333332E-3</c:v>
                </c:pt>
                <c:pt idx="148">
                  <c:v>5.711666666666667E-3</c:v>
                </c:pt>
                <c:pt idx="149">
                  <c:v>5.7499999999999999E-3</c:v>
                </c:pt>
              </c:numCache>
            </c:numRef>
          </c:yVal>
          <c:smooth val="1"/>
          <c:extLst>
            <c:ext xmlns:c16="http://schemas.microsoft.com/office/drawing/2014/chart" uri="{C3380CC4-5D6E-409C-BE32-E72D297353CC}">
              <c16:uniqueId val="{00000003-C391-4527-8BBE-DDCDE94A24A4}"/>
            </c:ext>
          </c:extLst>
        </c:ser>
        <c:ser>
          <c:idx val="4"/>
          <c:order val="4"/>
          <c:tx>
            <c:v>D2</c:v>
          </c:tx>
          <c:marker>
            <c:symbol val="none"/>
          </c:marker>
          <c:xVal>
            <c:numRef>
              <c:f>Eff_vs_IOUT!$R$8:$R$157</c:f>
              <c:numCache>
                <c:formatCode>General</c:formatCode>
                <c:ptCount val="150"/>
                <c:pt idx="0">
                  <c:v>0.05</c:v>
                </c:pt>
                <c:pt idx="1">
                  <c:v>0.1</c:v>
                </c:pt>
                <c:pt idx="2">
                  <c:v>0.15000000000000002</c:v>
                </c:pt>
                <c:pt idx="3">
                  <c:v>0.2</c:v>
                </c:pt>
                <c:pt idx="4">
                  <c:v>0.25</c:v>
                </c:pt>
                <c:pt idx="5">
                  <c:v>0.30000000000000004</c:v>
                </c:pt>
                <c:pt idx="6">
                  <c:v>0.35000000000000003</c:v>
                </c:pt>
                <c:pt idx="7">
                  <c:v>0.4</c:v>
                </c:pt>
                <c:pt idx="8">
                  <c:v>0.45</c:v>
                </c:pt>
                <c:pt idx="9">
                  <c:v>0.5</c:v>
                </c:pt>
                <c:pt idx="10">
                  <c:v>0.55000000000000004</c:v>
                </c:pt>
                <c:pt idx="11">
                  <c:v>0.60000000000000009</c:v>
                </c:pt>
                <c:pt idx="12">
                  <c:v>0.65</c:v>
                </c:pt>
                <c:pt idx="13">
                  <c:v>0.70000000000000007</c:v>
                </c:pt>
                <c:pt idx="14">
                  <c:v>0.75</c:v>
                </c:pt>
                <c:pt idx="15">
                  <c:v>0.8</c:v>
                </c:pt>
                <c:pt idx="16">
                  <c:v>0.85000000000000009</c:v>
                </c:pt>
                <c:pt idx="17">
                  <c:v>0.9</c:v>
                </c:pt>
                <c:pt idx="18">
                  <c:v>0.95000000000000007</c:v>
                </c:pt>
                <c:pt idx="19">
                  <c:v>1</c:v>
                </c:pt>
                <c:pt idx="20">
                  <c:v>1.05</c:v>
                </c:pt>
                <c:pt idx="21">
                  <c:v>1.1000000000000001</c:v>
                </c:pt>
                <c:pt idx="22">
                  <c:v>1.1500000000000001</c:v>
                </c:pt>
                <c:pt idx="23">
                  <c:v>1.2000000000000002</c:v>
                </c:pt>
                <c:pt idx="24">
                  <c:v>1.25</c:v>
                </c:pt>
                <c:pt idx="25">
                  <c:v>1.3</c:v>
                </c:pt>
                <c:pt idx="26">
                  <c:v>1.35</c:v>
                </c:pt>
                <c:pt idx="27">
                  <c:v>1.4000000000000001</c:v>
                </c:pt>
                <c:pt idx="28">
                  <c:v>1.4500000000000002</c:v>
                </c:pt>
                <c:pt idx="29">
                  <c:v>1.5</c:v>
                </c:pt>
                <c:pt idx="30">
                  <c:v>1.55</c:v>
                </c:pt>
                <c:pt idx="31">
                  <c:v>1.6</c:v>
                </c:pt>
                <c:pt idx="32">
                  <c:v>1.6500000000000001</c:v>
                </c:pt>
                <c:pt idx="33">
                  <c:v>1.7000000000000002</c:v>
                </c:pt>
                <c:pt idx="34">
                  <c:v>1.75</c:v>
                </c:pt>
                <c:pt idx="35">
                  <c:v>1.8</c:v>
                </c:pt>
                <c:pt idx="36">
                  <c:v>1.85</c:v>
                </c:pt>
                <c:pt idx="37">
                  <c:v>1.9000000000000001</c:v>
                </c:pt>
                <c:pt idx="38">
                  <c:v>1.9500000000000002</c:v>
                </c:pt>
                <c:pt idx="39">
                  <c:v>2</c:v>
                </c:pt>
                <c:pt idx="40">
                  <c:v>2.0500000000000003</c:v>
                </c:pt>
                <c:pt idx="41">
                  <c:v>2.1</c:v>
                </c:pt>
                <c:pt idx="42">
                  <c:v>2.15</c:v>
                </c:pt>
                <c:pt idx="43">
                  <c:v>2.2000000000000002</c:v>
                </c:pt>
                <c:pt idx="44">
                  <c:v>2.25</c:v>
                </c:pt>
                <c:pt idx="45">
                  <c:v>2.3000000000000003</c:v>
                </c:pt>
                <c:pt idx="46">
                  <c:v>2.35</c:v>
                </c:pt>
                <c:pt idx="47">
                  <c:v>2.4000000000000004</c:v>
                </c:pt>
                <c:pt idx="48">
                  <c:v>2.4500000000000002</c:v>
                </c:pt>
                <c:pt idx="49">
                  <c:v>2.5</c:v>
                </c:pt>
                <c:pt idx="50">
                  <c:v>2.5500000000000003</c:v>
                </c:pt>
                <c:pt idx="51">
                  <c:v>2.6</c:v>
                </c:pt>
                <c:pt idx="52">
                  <c:v>2.6500000000000004</c:v>
                </c:pt>
                <c:pt idx="53">
                  <c:v>2.7</c:v>
                </c:pt>
                <c:pt idx="54">
                  <c:v>2.75</c:v>
                </c:pt>
                <c:pt idx="55">
                  <c:v>2.8000000000000003</c:v>
                </c:pt>
                <c:pt idx="56">
                  <c:v>2.85</c:v>
                </c:pt>
                <c:pt idx="57">
                  <c:v>2.9000000000000004</c:v>
                </c:pt>
                <c:pt idx="58">
                  <c:v>2.95</c:v>
                </c:pt>
                <c:pt idx="59">
                  <c:v>3</c:v>
                </c:pt>
                <c:pt idx="60">
                  <c:v>3.0500000000000003</c:v>
                </c:pt>
                <c:pt idx="61">
                  <c:v>3.1</c:v>
                </c:pt>
                <c:pt idx="62">
                  <c:v>3.1500000000000004</c:v>
                </c:pt>
                <c:pt idx="63">
                  <c:v>3.2</c:v>
                </c:pt>
                <c:pt idx="64">
                  <c:v>3.25</c:v>
                </c:pt>
                <c:pt idx="65">
                  <c:v>3.3000000000000003</c:v>
                </c:pt>
                <c:pt idx="66">
                  <c:v>3.35</c:v>
                </c:pt>
                <c:pt idx="67">
                  <c:v>3.4000000000000004</c:v>
                </c:pt>
                <c:pt idx="68">
                  <c:v>3.45</c:v>
                </c:pt>
                <c:pt idx="69">
                  <c:v>3.5</c:v>
                </c:pt>
                <c:pt idx="70">
                  <c:v>3.5500000000000003</c:v>
                </c:pt>
                <c:pt idx="71">
                  <c:v>3.6</c:v>
                </c:pt>
                <c:pt idx="72">
                  <c:v>3.6500000000000004</c:v>
                </c:pt>
                <c:pt idx="73">
                  <c:v>3.7</c:v>
                </c:pt>
                <c:pt idx="74">
                  <c:v>3.75</c:v>
                </c:pt>
                <c:pt idx="75">
                  <c:v>3.8000000000000003</c:v>
                </c:pt>
                <c:pt idx="76">
                  <c:v>3.85</c:v>
                </c:pt>
                <c:pt idx="77">
                  <c:v>3.9000000000000004</c:v>
                </c:pt>
                <c:pt idx="78">
                  <c:v>3.95</c:v>
                </c:pt>
                <c:pt idx="79">
                  <c:v>4</c:v>
                </c:pt>
                <c:pt idx="80">
                  <c:v>4.05</c:v>
                </c:pt>
                <c:pt idx="81">
                  <c:v>4.1000000000000005</c:v>
                </c:pt>
                <c:pt idx="82">
                  <c:v>4.1500000000000004</c:v>
                </c:pt>
                <c:pt idx="83">
                  <c:v>4.2</c:v>
                </c:pt>
                <c:pt idx="84">
                  <c:v>4.25</c:v>
                </c:pt>
                <c:pt idx="85">
                  <c:v>4.3</c:v>
                </c:pt>
                <c:pt idx="86">
                  <c:v>4.3500000000000005</c:v>
                </c:pt>
                <c:pt idx="87">
                  <c:v>4.4000000000000004</c:v>
                </c:pt>
                <c:pt idx="88">
                  <c:v>4.45</c:v>
                </c:pt>
                <c:pt idx="89">
                  <c:v>4.5</c:v>
                </c:pt>
                <c:pt idx="90">
                  <c:v>4.55</c:v>
                </c:pt>
                <c:pt idx="91">
                  <c:v>4.6000000000000005</c:v>
                </c:pt>
                <c:pt idx="92">
                  <c:v>4.6500000000000004</c:v>
                </c:pt>
                <c:pt idx="93">
                  <c:v>4.7</c:v>
                </c:pt>
                <c:pt idx="94">
                  <c:v>4.75</c:v>
                </c:pt>
                <c:pt idx="95">
                  <c:v>4.8000000000000007</c:v>
                </c:pt>
                <c:pt idx="96">
                  <c:v>4.8500000000000005</c:v>
                </c:pt>
                <c:pt idx="97">
                  <c:v>4.9000000000000004</c:v>
                </c:pt>
                <c:pt idx="98">
                  <c:v>4.95</c:v>
                </c:pt>
                <c:pt idx="99">
                  <c:v>5</c:v>
                </c:pt>
                <c:pt idx="100">
                  <c:v>5.0500000000000007</c:v>
                </c:pt>
                <c:pt idx="101">
                  <c:v>5.1000000000000005</c:v>
                </c:pt>
                <c:pt idx="102">
                  <c:v>5.15</c:v>
                </c:pt>
                <c:pt idx="103">
                  <c:v>5.2</c:v>
                </c:pt>
                <c:pt idx="104">
                  <c:v>5.25</c:v>
                </c:pt>
                <c:pt idx="105">
                  <c:v>5.3000000000000007</c:v>
                </c:pt>
                <c:pt idx="106">
                  <c:v>5.3500000000000005</c:v>
                </c:pt>
                <c:pt idx="107">
                  <c:v>5.4</c:v>
                </c:pt>
                <c:pt idx="108">
                  <c:v>5.45</c:v>
                </c:pt>
                <c:pt idx="109">
                  <c:v>5.5</c:v>
                </c:pt>
                <c:pt idx="110">
                  <c:v>5.5500000000000007</c:v>
                </c:pt>
                <c:pt idx="111">
                  <c:v>5.6000000000000005</c:v>
                </c:pt>
                <c:pt idx="112">
                  <c:v>5.65</c:v>
                </c:pt>
                <c:pt idx="113">
                  <c:v>5.7</c:v>
                </c:pt>
                <c:pt idx="114">
                  <c:v>5.75</c:v>
                </c:pt>
                <c:pt idx="115">
                  <c:v>5.8000000000000007</c:v>
                </c:pt>
                <c:pt idx="116">
                  <c:v>5.8500000000000005</c:v>
                </c:pt>
                <c:pt idx="117">
                  <c:v>5.9</c:v>
                </c:pt>
                <c:pt idx="118">
                  <c:v>5.95</c:v>
                </c:pt>
                <c:pt idx="119">
                  <c:v>6</c:v>
                </c:pt>
                <c:pt idx="120">
                  <c:v>6.0500000000000007</c:v>
                </c:pt>
                <c:pt idx="121">
                  <c:v>6.1000000000000005</c:v>
                </c:pt>
                <c:pt idx="122">
                  <c:v>6.15</c:v>
                </c:pt>
                <c:pt idx="123">
                  <c:v>6.2</c:v>
                </c:pt>
                <c:pt idx="124">
                  <c:v>6.25</c:v>
                </c:pt>
                <c:pt idx="125">
                  <c:v>6.3000000000000007</c:v>
                </c:pt>
                <c:pt idx="126">
                  <c:v>6.3500000000000005</c:v>
                </c:pt>
                <c:pt idx="127">
                  <c:v>6.4</c:v>
                </c:pt>
                <c:pt idx="128">
                  <c:v>6.45</c:v>
                </c:pt>
                <c:pt idx="129">
                  <c:v>6.5</c:v>
                </c:pt>
                <c:pt idx="130">
                  <c:v>6.5500000000000007</c:v>
                </c:pt>
                <c:pt idx="131">
                  <c:v>6.6000000000000005</c:v>
                </c:pt>
                <c:pt idx="132">
                  <c:v>6.65</c:v>
                </c:pt>
                <c:pt idx="133">
                  <c:v>6.7</c:v>
                </c:pt>
                <c:pt idx="134">
                  <c:v>6.75</c:v>
                </c:pt>
                <c:pt idx="135">
                  <c:v>6.8000000000000007</c:v>
                </c:pt>
                <c:pt idx="136">
                  <c:v>6.8500000000000005</c:v>
                </c:pt>
                <c:pt idx="137">
                  <c:v>6.9</c:v>
                </c:pt>
                <c:pt idx="138">
                  <c:v>6.95</c:v>
                </c:pt>
                <c:pt idx="139">
                  <c:v>7</c:v>
                </c:pt>
                <c:pt idx="140">
                  <c:v>7.0500000000000007</c:v>
                </c:pt>
                <c:pt idx="141">
                  <c:v>7.1000000000000005</c:v>
                </c:pt>
                <c:pt idx="142">
                  <c:v>7.15</c:v>
                </c:pt>
                <c:pt idx="143">
                  <c:v>7.2</c:v>
                </c:pt>
                <c:pt idx="144">
                  <c:v>7.25</c:v>
                </c:pt>
                <c:pt idx="145">
                  <c:v>7.3000000000000007</c:v>
                </c:pt>
                <c:pt idx="146">
                  <c:v>7.3500000000000005</c:v>
                </c:pt>
                <c:pt idx="147">
                  <c:v>7.4</c:v>
                </c:pt>
                <c:pt idx="148">
                  <c:v>7.45</c:v>
                </c:pt>
                <c:pt idx="149">
                  <c:v>7.5</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C391-4527-8BBE-DDCDE94A24A4}"/>
            </c:ext>
          </c:extLst>
        </c:ser>
        <c:dLbls>
          <c:showLegendKey val="0"/>
          <c:showVal val="0"/>
          <c:showCatName val="0"/>
          <c:showSerName val="0"/>
          <c:showPercent val="0"/>
          <c:showBubbleSize val="0"/>
        </c:dLbls>
        <c:axId val="582788608"/>
        <c:axId val="582786432"/>
      </c:scatterChart>
      <c:valAx>
        <c:axId val="582782976"/>
        <c:scaling>
          <c:orientation val="minMax"/>
        </c:scaling>
        <c:delete val="0"/>
        <c:axPos val="b"/>
        <c:majorGridlines/>
        <c:numFmt formatCode="General" sourceLinked="1"/>
        <c:majorTickMark val="out"/>
        <c:minorTickMark val="none"/>
        <c:tickLblPos val="nextTo"/>
        <c:crossAx val="582784512"/>
        <c:crosses val="autoZero"/>
        <c:crossBetween val="midCat"/>
      </c:valAx>
      <c:valAx>
        <c:axId val="582784512"/>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2782976"/>
        <c:crosses val="autoZero"/>
        <c:crossBetween val="midCat"/>
      </c:valAx>
      <c:valAx>
        <c:axId val="582786432"/>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2788608"/>
        <c:crosses val="max"/>
        <c:crossBetween val="midCat"/>
      </c:valAx>
      <c:valAx>
        <c:axId val="582788608"/>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82786432"/>
        <c:crosses val="autoZero"/>
        <c:crossBetween val="midCat"/>
      </c:valAx>
    </c:plotArea>
    <c:legend>
      <c:legendPos val="r"/>
      <c:layout>
        <c:manualLayout>
          <c:xMode val="edge"/>
          <c:yMode val="edge"/>
          <c:x val="0.49339941826540429"/>
          <c:y val="6.4862204724409449E-3"/>
          <c:w val="0.42227913565687919"/>
          <c:h val="0.1165233360670469"/>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Eff_vs_IOUT!$BZ$7:$BZ$157</c:f>
              <c:numCache>
                <c:formatCode>General</c:formatCode>
                <c:ptCount val="151"/>
                <c:pt idx="0">
                  <c:v>0</c:v>
                </c:pt>
                <c:pt idx="1">
                  <c:v>78.462764772552731</c:v>
                </c:pt>
                <c:pt idx="2">
                  <c:v>85.564317509840961</c:v>
                </c:pt>
                <c:pt idx="3">
                  <c:v>88.156898650888152</c:v>
                </c:pt>
                <c:pt idx="4">
                  <c:v>89.459874665785208</c:v>
                </c:pt>
                <c:pt idx="5">
                  <c:v>90.21976604612189</c:v>
                </c:pt>
                <c:pt idx="6">
                  <c:v>90.701656300592546</c:v>
                </c:pt>
                <c:pt idx="7">
                  <c:v>91.023163178559727</c:v>
                </c:pt>
                <c:pt idx="8">
                  <c:v>91.24432563759926</c:v>
                </c:pt>
                <c:pt idx="9">
                  <c:v>91.398917002639948</c:v>
                </c:pt>
                <c:pt idx="10">
                  <c:v>91.507344238123778</c:v>
                </c:pt>
                <c:pt idx="11">
                  <c:v>91.582634518740747</c:v>
                </c:pt>
                <c:pt idx="12">
                  <c:v>91.63347432974119</c:v>
                </c:pt>
                <c:pt idx="13">
                  <c:v>91.665864440172228</c:v>
                </c:pt>
                <c:pt idx="14">
                  <c:v>91.68407354905267</c:v>
                </c:pt>
                <c:pt idx="15">
                  <c:v>91.691214001392112</c:v>
                </c:pt>
                <c:pt idx="16">
                  <c:v>91.689603192476525</c:v>
                </c:pt>
                <c:pt idx="17">
                  <c:v>91.680998108920321</c:v>
                </c:pt>
                <c:pt idx="18">
                  <c:v>91.666751964035626</c:v>
                </c:pt>
                <c:pt idx="19">
                  <c:v>91.647921448470711</c:v>
                </c:pt>
                <c:pt idx="20">
                  <c:v>91.625341794908323</c:v>
                </c:pt>
                <c:pt idx="21">
                  <c:v>91.599680346551594</c:v>
                </c:pt>
                <c:pt idx="22">
                  <c:v>91.571475453470313</c:v>
                </c:pt>
                <c:pt idx="23">
                  <c:v>91.541165158063194</c:v>
                </c:pt>
                <c:pt idx="24">
                  <c:v>91.509108649076524</c:v>
                </c:pt>
                <c:pt idx="25">
                  <c:v>91.475602512629308</c:v>
                </c:pt>
                <c:pt idx="26">
                  <c:v>91.440893185526065</c:v>
                </c:pt>
                <c:pt idx="27">
                  <c:v>91.405186599986578</c:v>
                </c:pt>
                <c:pt idx="28">
                  <c:v>91.368655726184329</c:v>
                </c:pt>
                <c:pt idx="29">
                  <c:v>91.331446523829186</c:v>
                </c:pt>
                <c:pt idx="30">
                  <c:v>91.293682677358973</c:v>
                </c:pt>
                <c:pt idx="31">
                  <c:v>91.255469392298053</c:v>
                </c:pt>
                <c:pt idx="32">
                  <c:v>91.216896460632427</c:v>
                </c:pt>
                <c:pt idx="33">
                  <c:v>91.178040752375694</c:v>
                </c:pt>
                <c:pt idx="34">
                  <c:v>91.138968253268231</c:v>
                </c:pt>
                <c:pt idx="35">
                  <c:v>91.099735740919513</c:v>
                </c:pt>
                <c:pt idx="36">
                  <c:v>91.06039217100664</c:v>
                </c:pt>
                <c:pt idx="37">
                  <c:v>91.020979829499495</c:v>
                </c:pt>
                <c:pt idx="38">
                  <c:v>90.981535294967472</c:v>
                </c:pt>
                <c:pt idx="39">
                  <c:v>90.942090245872379</c:v>
                </c:pt>
                <c:pt idx="40">
                  <c:v>90.902672140675037</c:v>
                </c:pt>
                <c:pt idx="41">
                  <c:v>90.8633047930728</c:v>
                </c:pt>
                <c:pt idx="42">
                  <c:v>90.824008860364842</c:v>
                </c:pt>
                <c:pt idx="43">
                  <c:v>90.784802259535638</c:v>
                </c:pt>
                <c:pt idx="44">
                  <c:v>90.745700522943864</c:v>
                </c:pt>
                <c:pt idx="45">
                  <c:v>90.706717103348893</c:v>
                </c:pt>
                <c:pt idx="46">
                  <c:v>90.667863636277076</c:v>
                </c:pt>
                <c:pt idx="47">
                  <c:v>90.629150166337652</c:v>
                </c:pt>
                <c:pt idx="48">
                  <c:v>90.590585342969092</c:v>
                </c:pt>
                <c:pt idx="49">
                  <c:v>90.552176590179329</c:v>
                </c:pt>
                <c:pt idx="50">
                  <c:v>90.513930254092401</c:v>
                </c:pt>
                <c:pt idx="51">
                  <c:v>90.475851731499873</c:v>
                </c:pt>
                <c:pt idx="52">
                  <c:v>90.437945582107645</c:v>
                </c:pt>
                <c:pt idx="53">
                  <c:v>90.400215626749898</c:v>
                </c:pt>
                <c:pt idx="54">
                  <c:v>90.362665033494082</c:v>
                </c:pt>
                <c:pt idx="55">
                  <c:v>90.325296393271188</c:v>
                </c:pt>
                <c:pt idx="56">
                  <c:v>90.288111786423656</c:v>
                </c:pt>
                <c:pt idx="57">
                  <c:v>90.251112841359586</c:v>
                </c:pt>
                <c:pt idx="58">
                  <c:v>90.214300786332529</c:v>
                </c:pt>
                <c:pt idx="59">
                  <c:v>90.177676495220837</c:v>
                </c:pt>
                <c:pt idx="60">
                  <c:v>90.141240528059953</c:v>
                </c:pt>
                <c:pt idx="61">
                  <c:v>90.104993166976641</c:v>
                </c:pt>
                <c:pt idx="62">
                  <c:v>90.068934448087717</c:v>
                </c:pt>
                <c:pt idx="63">
                  <c:v>90.03306418984937</c:v>
                </c:pt>
                <c:pt idx="64">
                  <c:v>89.997382018280234</c:v>
                </c:pt>
                <c:pt idx="65">
                  <c:v>89.961887389426479</c:v>
                </c:pt>
                <c:pt idx="66">
                  <c:v>89.926579609389208</c:v>
                </c:pt>
                <c:pt idx="67">
                  <c:v>89.891457852195046</c:v>
                </c:pt>
                <c:pt idx="68">
                  <c:v>89.85652117575485</c:v>
                </c:pt>
                <c:pt idx="69">
                  <c:v>89.821768536126044</c:v>
                </c:pt>
                <c:pt idx="70">
                  <c:v>89.787198800267049</c:v>
                </c:pt>
                <c:pt idx="71">
                  <c:v>89.752810757450504</c:v>
                </c:pt>
                <c:pt idx="72">
                  <c:v>89.718603129481281</c:v>
                </c:pt>
                <c:pt idx="73">
                  <c:v>89.684574579848743</c:v>
                </c:pt>
                <c:pt idx="74">
                  <c:v>89.65072372192742</c:v>
                </c:pt>
                <c:pt idx="75">
                  <c:v>89.617049126327075</c:v>
                </c:pt>
                <c:pt idx="76">
                  <c:v>89.583549327481876</c:v>
                </c:pt>
                <c:pt idx="77">
                  <c:v>89.550222829557981</c:v>
                </c:pt>
                <c:pt idx="78">
                  <c:v>89.517068111750177</c:v>
                </c:pt>
                <c:pt idx="79">
                  <c:v>89.484083633030693</c:v>
                </c:pt>
                <c:pt idx="80">
                  <c:v>89.451267836405705</c:v>
                </c:pt>
                <c:pt idx="81">
                  <c:v>89.418619152729775</c:v>
                </c:pt>
                <c:pt idx="82">
                  <c:v>89.386136004122676</c:v>
                </c:pt>
                <c:pt idx="83">
                  <c:v>89.35381680702838</c:v>
                </c:pt>
                <c:pt idx="84">
                  <c:v>89.321659974951828</c:v>
                </c:pt>
                <c:pt idx="85">
                  <c:v>89.289663920905554</c:v>
                </c:pt>
                <c:pt idx="86">
                  <c:v>89.257827059594675</c:v>
                </c:pt>
                <c:pt idx="87">
                  <c:v>89.226147809365614</c:v>
                </c:pt>
                <c:pt idx="88">
                  <c:v>89.194624593942237</c:v>
                </c:pt>
                <c:pt idx="89">
                  <c:v>89.163255843969552</c:v>
                </c:pt>
                <c:pt idx="90">
                  <c:v>89.132039998383874</c:v>
                </c:pt>
                <c:pt idx="91">
                  <c:v>89.100975505626238</c:v>
                </c:pt>
                <c:pt idx="92">
                  <c:v>89.070060824714076</c:v>
                </c:pt>
                <c:pt idx="93">
                  <c:v>89.039294426184796</c:v>
                </c:pt>
                <c:pt idx="94">
                  <c:v>89.008674792923927</c:v>
                </c:pt>
                <c:pt idx="95">
                  <c:v>88.978200420888228</c:v>
                </c:pt>
                <c:pt idx="96">
                  <c:v>88.947869819734464</c:v>
                </c:pt>
                <c:pt idx="97">
                  <c:v>88.917681513362751</c:v>
                </c:pt>
                <c:pt idx="98">
                  <c:v>88.887634040382366</c:v>
                </c:pt>
                <c:pt idx="99">
                  <c:v>88.857725954507998</c:v>
                </c:pt>
                <c:pt idx="100">
                  <c:v>88.827955824892555</c:v>
                </c:pt>
                <c:pt idx="101">
                  <c:v>88.79832223640328</c:v>
                </c:pt>
                <c:pt idx="102">
                  <c:v>88.768823789846167</c:v>
                </c:pt>
                <c:pt idx="103">
                  <c:v>88.739459102143954</c:v>
                </c:pt>
                <c:pt idx="104">
                  <c:v>88.710226806472278</c:v>
                </c:pt>
                <c:pt idx="105">
                  <c:v>88.681125552357969</c:v>
                </c:pt>
                <c:pt idx="106">
                  <c:v>88.652154005743299</c:v>
                </c:pt>
                <c:pt idx="107">
                  <c:v>88.623310849019688</c:v>
                </c:pt>
                <c:pt idx="108">
                  <c:v>88.594594781033791</c:v>
                </c:pt>
                <c:pt idx="109">
                  <c:v>88.566004517068905</c:v>
                </c:pt>
                <c:pt idx="110">
                  <c:v>88.537538788804284</c:v>
                </c:pt>
                <c:pt idx="111">
                  <c:v>88.509196344254477</c:v>
                </c:pt>
                <c:pt idx="112">
                  <c:v>88.480975947691064</c:v>
                </c:pt>
                <c:pt idx="113">
                  <c:v>88.452876379548556</c:v>
                </c:pt>
                <c:pt idx="114">
                  <c:v>88.424896436316246</c:v>
                </c:pt>
                <c:pt idx="115">
                  <c:v>88.397034930417604</c:v>
                </c:pt>
                <c:pt idx="116">
                  <c:v>88.369290690078628</c:v>
                </c:pt>
                <c:pt idx="117">
                  <c:v>88.34166255918656</c:v>
                </c:pt>
                <c:pt idx="118">
                  <c:v>88.314149397140042</c:v>
                </c:pt>
                <c:pt idx="119">
                  <c:v>88.286750078691881</c:v>
                </c:pt>
                <c:pt idx="120">
                  <c:v>88.259463493785333</c:v>
                </c:pt>
                <c:pt idx="121">
                  <c:v>88.232288547385039</c:v>
                </c:pt>
                <c:pt idx="122">
                  <c:v>88.205224159302915</c:v>
                </c:pt>
                <c:pt idx="123">
                  <c:v>88.178269264020457</c:v>
                </c:pt>
                <c:pt idx="124">
                  <c:v>88.151422810507356</c:v>
                </c:pt>
                <c:pt idx="125">
                  <c:v>88.124683762037762</c:v>
                </c:pt>
                <c:pt idx="126">
                  <c:v>88.098051096004184</c:v>
                </c:pt>
                <c:pt idx="127">
                  <c:v>88.071523803729789</c:v>
                </c:pt>
                <c:pt idx="128">
                  <c:v>88.045100890279642</c:v>
                </c:pt>
                <c:pt idx="129">
                  <c:v>88.018781374270958</c:v>
                </c:pt>
                <c:pt idx="130">
                  <c:v>87.992564287683081</c:v>
                </c:pt>
                <c:pt idx="131">
                  <c:v>87.966448675667394</c:v>
                </c:pt>
                <c:pt idx="132">
                  <c:v>87.94043359635738</c:v>
                </c:pt>
                <c:pt idx="133">
                  <c:v>87.914518120679276</c:v>
                </c:pt>
                <c:pt idx="134">
                  <c:v>87.888701332163279</c:v>
                </c:pt>
                <c:pt idx="135">
                  <c:v>87.862982326755969</c:v>
                </c:pt>
                <c:pt idx="136">
                  <c:v>87.837360212633698</c:v>
                </c:pt>
                <c:pt idx="137">
                  <c:v>87.811834110017301</c:v>
                </c:pt>
                <c:pt idx="138">
                  <c:v>87.78640315098842</c:v>
                </c:pt>
                <c:pt idx="139">
                  <c:v>87.761066479307274</c:v>
                </c:pt>
                <c:pt idx="140">
                  <c:v>87.735823250232315</c:v>
                </c:pt>
                <c:pt idx="141">
                  <c:v>87.710672630341591</c:v>
                </c:pt>
                <c:pt idx="142">
                  <c:v>87.685613797356183</c:v>
                </c:pt>
                <c:pt idx="143">
                  <c:v>87.660645939965505</c:v>
                </c:pt>
                <c:pt idx="144">
                  <c:v>87.63576825765486</c:v>
                </c:pt>
                <c:pt idx="145">
                  <c:v>87.610979960534891</c:v>
                </c:pt>
                <c:pt idx="146">
                  <c:v>87.586280269173528</c:v>
                </c:pt>
                <c:pt idx="147">
                  <c:v>87.561668414429931</c:v>
                </c:pt>
                <c:pt idx="148">
                  <c:v>87.537143637290811</c:v>
                </c:pt>
                <c:pt idx="149">
                  <c:v>87.512705188709063</c:v>
                </c:pt>
                <c:pt idx="150">
                  <c:v>87.488352329444609</c:v>
                </c:pt>
              </c:numCache>
            </c:numRef>
          </c:yVal>
          <c:smooth val="0"/>
          <c:extLst>
            <c:ext xmlns:c16="http://schemas.microsoft.com/office/drawing/2014/chart" uri="{C3380CC4-5D6E-409C-BE32-E72D297353CC}">
              <c16:uniqueId val="{00000000-A180-432B-A347-F5CCD23FB4B3}"/>
            </c:ext>
          </c:extLst>
        </c:ser>
        <c:dLbls>
          <c:showLegendKey val="0"/>
          <c:showVal val="0"/>
          <c:showCatName val="0"/>
          <c:showSerName val="0"/>
          <c:showPercent val="0"/>
          <c:showBubbleSize val="0"/>
        </c:dLbls>
        <c:axId val="582892544"/>
        <c:axId val="58290252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Eff_vs_IOUT!$AJ$7:$AJ$157</c:f>
              <c:numCache>
                <c:formatCode>General</c:formatCode>
                <c:ptCount val="151"/>
                <c:pt idx="0">
                  <c:v>0</c:v>
                </c:pt>
                <c:pt idx="1">
                  <c:v>9.0884607686750557E-4</c:v>
                </c:pt>
                <c:pt idx="2">
                  <c:v>1.3180964385655013E-3</c:v>
                </c:pt>
                <c:pt idx="3">
                  <c:v>1.6544961248710637E-3</c:v>
                </c:pt>
                <c:pt idx="4">
                  <c:v>1.956825272334998E-3</c:v>
                </c:pt>
                <c:pt idx="5">
                  <c:v>2.2396490163671488E-3</c:v>
                </c:pt>
                <c:pt idx="6">
                  <c:v>2.5102134321324399E-3</c:v>
                </c:pt>
                <c:pt idx="7">
                  <c:v>2.7726923303765332E-3</c:v>
                </c:pt>
                <c:pt idx="8">
                  <c:v>3.0297207637297345E-3</c:v>
                </c:pt>
                <c:pt idx="9">
                  <c:v>3.2830707050024652E-3</c:v>
                </c:pt>
                <c:pt idx="10">
                  <c:v>3.5339899745172312E-3</c:v>
                </c:pt>
                <c:pt idx="11">
                  <c:v>3.7833886796696434E-3</c:v>
                </c:pt>
                <c:pt idx="12">
                  <c:v>4.0319491410341791E-3</c:v>
                </c:pt>
                <c:pt idx="13">
                  <c:v>4.2801943181050087E-3</c:v>
                </c:pt>
                <c:pt idx="14">
                  <c:v>4.5285323023533152E-3</c:v>
                </c:pt>
                <c:pt idx="15">
                  <c:v>4.7772863062089804E-3</c:v>
                </c:pt>
                <c:pt idx="16">
                  <c:v>5.026715493469891E-3</c:v>
                </c:pt>
                <c:pt idx="17">
                  <c:v>5.2770298230445153E-3</c:v>
                </c:pt>
                <c:pt idx="18">
                  <c:v>5.5284008620914305E-3</c:v>
                </c:pt>
                <c:pt idx="19">
                  <c:v>5.780969815329863E-3</c:v>
                </c:pt>
                <c:pt idx="20">
                  <c:v>6.0348535882898532E-3</c:v>
                </c:pt>
                <c:pt idx="21">
                  <c:v>6.2901494345080269E-3</c:v>
                </c:pt>
                <c:pt idx="22">
                  <c:v>6.5469385648747082E-3</c:v>
                </c:pt>
                <c:pt idx="23">
                  <c:v>6.805288984381902E-3</c:v>
                </c:pt>
                <c:pt idx="24">
                  <c:v>7.0652577456175002E-3</c:v>
                </c:pt>
                <c:pt idx="25">
                  <c:v>7.3268927563372669E-3</c:v>
                </c:pt>
                <c:pt idx="26">
                  <c:v>7.5902342421677958E-3</c:v>
                </c:pt>
                <c:pt idx="27">
                  <c:v>7.8553159397813967E-3</c:v>
                </c:pt>
                <c:pt idx="28">
                  <c:v>8.1221660773920113E-3</c:v>
                </c:pt>
                <c:pt idx="29">
                  <c:v>8.3908081859429169E-3</c:v>
                </c:pt>
                <c:pt idx="30">
                  <c:v>8.6612617744113683E-3</c:v>
                </c:pt>
                <c:pt idx="31">
                  <c:v>8.9335428952328245E-3</c:v>
                </c:pt>
                <c:pt idx="32">
                  <c:v>9.2076646202493215E-3</c:v>
                </c:pt>
                <c:pt idx="33">
                  <c:v>9.4836374433234644E-3</c:v>
                </c:pt>
                <c:pt idx="34">
                  <c:v>9.7614696224831137E-3</c:v>
                </c:pt>
                <c:pt idx="35">
                  <c:v>1.0041167471922824E-2</c:v>
                </c:pt>
                <c:pt idx="36">
                  <c:v>1.0322735612204578E-2</c:v>
                </c:pt>
                <c:pt idx="37">
                  <c:v>1.0606177185439433E-2</c:v>
                </c:pt>
                <c:pt idx="38">
                  <c:v>1.0891494040994903E-2</c:v>
                </c:pt>
                <c:pt idx="39">
                  <c:v>1.1178686896286165E-2</c:v>
                </c:pt>
                <c:pt idx="40">
                  <c:v>1.1467755476417424E-2</c:v>
                </c:pt>
                <c:pt idx="41">
                  <c:v>1.1758698635800723E-2</c:v>
                </c:pt>
                <c:pt idx="42">
                  <c:v>1.2051514464360407E-2</c:v>
                </c:pt>
                <c:pt idx="43">
                  <c:v>1.2346200380508553E-2</c:v>
                </c:pt>
                <c:pt idx="44">
                  <c:v>1.2642753212729209E-2</c:v>
                </c:pt>
                <c:pt idx="45">
                  <c:v>1.2941169271323671E-2</c:v>
                </c:pt>
                <c:pt idx="46">
                  <c:v>1.3241444411632374E-2</c:v>
                </c:pt>
                <c:pt idx="47">
                  <c:v>1.3543574089852264E-2</c:v>
                </c:pt>
                <c:pt idx="48">
                  <c:v>1.3847553412404769E-2</c:v>
                </c:pt>
                <c:pt idx="49">
                  <c:v>1.415337717967181E-2</c:v>
                </c:pt>
                <c:pt idx="50">
                  <c:v>1.4461039924802143E-2</c:v>
                </c:pt>
                <c:pt idx="51">
                  <c:v>1.4770535948192672E-2</c:v>
                </c:pt>
                <c:pt idx="52">
                  <c:v>1.5081859348167064E-2</c:v>
                </c:pt>
                <c:pt idx="53">
                  <c:v>1.5395004048304035E-2</c:v>
                </c:pt>
                <c:pt idx="54">
                  <c:v>1.5709963821807799E-2</c:v>
                </c:pt>
                <c:pt idx="55">
                  <c:v>1.6026732313262744E-2</c:v>
                </c:pt>
                <c:pt idx="56">
                  <c:v>1.6345303058070134E-2</c:v>
                </c:pt>
                <c:pt idx="57">
                  <c:v>1.6665669499827736E-2</c:v>
                </c:pt>
                <c:pt idx="58">
                  <c:v>1.6987825005880634E-2</c:v>
                </c:pt>
                <c:pt idx="59">
                  <c:v>1.7311762881243798E-2</c:v>
                </c:pt>
                <c:pt idx="60">
                  <c:v>1.7637476381072721E-2</c:v>
                </c:pt>
                <c:pt idx="61">
                  <c:v>1.7964958721837773E-2</c:v>
                </c:pt>
                <c:pt idx="62">
                  <c:v>1.8294203091339334E-2</c:v>
                </c:pt>
                <c:pt idx="63">
                  <c:v>1.8625202657685379E-2</c:v>
                </c:pt>
                <c:pt idx="64">
                  <c:v>1.8957950577338949E-2</c:v>
                </c:pt>
                <c:pt idx="65">
                  <c:v>1.9292440002331098E-2</c:v>
                </c:pt>
                <c:pt idx="66">
                  <c:v>1.9628664086724201E-2</c:v>
                </c:pt>
                <c:pt idx="67">
                  <c:v>1.9966615992401113E-2</c:v>
                </c:pt>
                <c:pt idx="68">
                  <c:v>2.030628889424773E-2</c:v>
                </c:pt>
                <c:pt idx="69">
                  <c:v>2.0647675984788866E-2</c:v>
                </c:pt>
                <c:pt idx="70">
                  <c:v>2.099077047833146E-2</c:v>
                </c:pt>
                <c:pt idx="71">
                  <c:v>2.1335565614663019E-2</c:v>
                </c:pt>
                <c:pt idx="72">
                  <c:v>2.1682054662348616E-2</c:v>
                </c:pt>
                <c:pt idx="73">
                  <c:v>2.2030230921665072E-2</c:v>
                </c:pt>
                <c:pt idx="74">
                  <c:v>2.2380087727207038E-2</c:v>
                </c:pt>
                <c:pt idx="75">
                  <c:v>2.2731618450196341E-2</c:v>
                </c:pt>
                <c:pt idx="76">
                  <c:v>2.3084816500522777E-2</c:v>
                </c:pt>
                <c:pt idx="77">
                  <c:v>2.3439675328541479E-2</c:v>
                </c:pt>
                <c:pt idx="78">
                  <c:v>2.3796188426650149E-2</c:v>
                </c:pt>
                <c:pt idx="79">
                  <c:v>2.4154349330666389E-2</c:v>
                </c:pt>
                <c:pt idx="80">
                  <c:v>2.4514151621024147E-2</c:v>
                </c:pt>
                <c:pt idx="81">
                  <c:v>2.4875588923805987E-2</c:v>
                </c:pt>
                <c:pt idx="82">
                  <c:v>2.5238654911626447E-2</c:v>
                </c:pt>
                <c:pt idx="83">
                  <c:v>2.5603343304380573E-2</c:v>
                </c:pt>
                <c:pt idx="84">
                  <c:v>2.5969647869869935E-2</c:v>
                </c:pt>
                <c:pt idx="85">
                  <c:v>2.6337562424317562E-2</c:v>
                </c:pt>
                <c:pt idx="86">
                  <c:v>2.6707080832782379E-2</c:v>
                </c:pt>
                <c:pt idx="87">
                  <c:v>2.7078197009482226E-2</c:v>
                </c:pt>
                <c:pt idx="88">
                  <c:v>2.7450904918034154E-2</c:v>
                </c:pt>
                <c:pt idx="89">
                  <c:v>2.7825198571619945E-2</c:v>
                </c:pt>
                <c:pt idx="90">
                  <c:v>2.8201072033083543E-2</c:v>
                </c:pt>
                <c:pt idx="91">
                  <c:v>2.8578519414967231E-2</c:v>
                </c:pt>
                <c:pt idx="92">
                  <c:v>2.8957534879492174E-2</c:v>
                </c:pt>
                <c:pt idx="93">
                  <c:v>2.9338112638488789E-2</c:v>
                </c:pt>
                <c:pt idx="94">
                  <c:v>2.9720246953281817E-2</c:v>
                </c:pt>
                <c:pt idx="95">
                  <c:v>3.0103932134534481E-2</c:v>
                </c:pt>
                <c:pt idx="96">
                  <c:v>3.0489162542055963E-2</c:v>
                </c:pt>
                <c:pt idx="97">
                  <c:v>3.0875932584575584E-2</c:v>
                </c:pt>
                <c:pt idx="98">
                  <c:v>3.1264236719487484E-2</c:v>
                </c:pt>
                <c:pt idx="99">
                  <c:v>3.1654069452568608E-2</c:v>
                </c:pt>
                <c:pt idx="100">
                  <c:v>3.2045425337672906E-2</c:v>
                </c:pt>
                <c:pt idx="101">
                  <c:v>3.2438298976404281E-2</c:v>
                </c:pt>
                <c:pt idx="102">
                  <c:v>3.2832685017770841E-2</c:v>
                </c:pt>
                <c:pt idx="103">
                  <c:v>3.3228578157822292E-2</c:v>
                </c:pt>
                <c:pt idx="104">
                  <c:v>3.3625973139272763E-2</c:v>
                </c:pt>
                <c:pt idx="105">
                  <c:v>3.4024864751110578E-2</c:v>
                </c:pt>
                <c:pt idx="106">
                  <c:v>3.4425247828196906E-2</c:v>
                </c:pt>
                <c:pt idx="107">
                  <c:v>3.4827117250854502E-2</c:v>
                </c:pt>
                <c:pt idx="108">
                  <c:v>3.5230467944448181E-2</c:v>
                </c:pt>
                <c:pt idx="109">
                  <c:v>3.563529487895805E-2</c:v>
                </c:pt>
                <c:pt idx="110">
                  <c:v>3.6041593068546859E-2</c:v>
                </c:pt>
                <c:pt idx="111">
                  <c:v>3.6449357571122346E-2</c:v>
                </c:pt>
                <c:pt idx="112">
                  <c:v>3.6858583487895578E-2</c:v>
                </c:pt>
                <c:pt idx="113">
                  <c:v>3.7269265962936227E-2</c:v>
                </c:pt>
                <c:pt idx="114">
                  <c:v>3.7681400182725547E-2</c:v>
                </c:pt>
                <c:pt idx="115">
                  <c:v>3.8094981375707632E-2</c:v>
                </c:pt>
                <c:pt idx="116">
                  <c:v>3.8510004811839936E-2</c:v>
                </c:pt>
                <c:pt idx="117">
                  <c:v>3.892646580214322E-2</c:v>
                </c:pt>
                <c:pt idx="118">
                  <c:v>3.9344359698251979E-2</c:v>
                </c:pt>
                <c:pt idx="119">
                  <c:v>3.9763681891965288E-2</c:v>
                </c:pt>
                <c:pt idx="120">
                  <c:v>4.0184427814799063E-2</c:v>
                </c:pt>
                <c:pt idx="121">
                  <c:v>4.0606592937539689E-2</c:v>
                </c:pt>
                <c:pt idx="122">
                  <c:v>4.1030172769799665E-2</c:v>
                </c:pt>
                <c:pt idx="123">
                  <c:v>4.1455162859575553E-2</c:v>
                </c:pt>
                <c:pt idx="124">
                  <c:v>4.188155879280836E-2</c:v>
                </c:pt>
                <c:pt idx="125">
                  <c:v>4.2309356192946859E-2</c:v>
                </c:pt>
                <c:pt idx="126">
                  <c:v>4.2738550720513954E-2</c:v>
                </c:pt>
                <c:pt idx="127">
                  <c:v>4.3169138072676319E-2</c:v>
                </c:pt>
                <c:pt idx="128">
                  <c:v>4.3601113982817477E-2</c:v>
                </c:pt>
                <c:pt idx="129">
                  <c:v>4.4034474220114674E-2</c:v>
                </c:pt>
                <c:pt idx="130">
                  <c:v>4.4469214589119316E-2</c:v>
                </c:pt>
                <c:pt idx="131">
                  <c:v>4.4905330929341708E-2</c:v>
                </c:pt>
                <c:pt idx="132">
                  <c:v>4.5342819114839339E-2</c:v>
                </c:pt>
                <c:pt idx="133">
                  <c:v>4.5781675053809805E-2</c:v>
                </c:pt>
                <c:pt idx="134">
                  <c:v>4.6221894688187729E-2</c:v>
                </c:pt>
                <c:pt idx="135">
                  <c:v>4.6663473993245989E-2</c:v>
                </c:pt>
                <c:pt idx="136">
                  <c:v>4.7106408977201447E-2</c:v>
                </c:pt>
                <c:pt idx="137">
                  <c:v>4.7550695680824935E-2</c:v>
                </c:pt>
                <c:pt idx="138">
                  <c:v>4.7996330177055957E-2</c:v>
                </c:pt>
                <c:pt idx="139">
                  <c:v>4.844330857062154E-2</c:v>
                </c:pt>
                <c:pt idx="140">
                  <c:v>4.8891626997660066E-2</c:v>
                </c:pt>
                <c:pt idx="141">
                  <c:v>4.9341281625349259E-2</c:v>
                </c:pt>
                <c:pt idx="142">
                  <c:v>4.9792268651538803E-2</c:v>
                </c:pt>
                <c:pt idx="143">
                  <c:v>5.0244584304387788E-2</c:v>
                </c:pt>
                <c:pt idx="144">
                  <c:v>5.0698224842006333E-2</c:v>
                </c:pt>
                <c:pt idx="145">
                  <c:v>5.1153186552102027E-2</c:v>
                </c:pt>
                <c:pt idx="146">
                  <c:v>5.1609465751630834E-2</c:v>
                </c:pt>
                <c:pt idx="147">
                  <c:v>5.2067058786452312E-2</c:v>
                </c:pt>
                <c:pt idx="148">
                  <c:v>5.2525962030989817E-2</c:v>
                </c:pt>
                <c:pt idx="149">
                  <c:v>5.2986171887894548E-2</c:v>
                </c:pt>
                <c:pt idx="150">
                  <c:v>5.3447684787714597E-2</c:v>
                </c:pt>
              </c:numCache>
            </c:numRef>
          </c:yVal>
          <c:smooth val="1"/>
          <c:extLst>
            <c:ext xmlns:c16="http://schemas.microsoft.com/office/drawing/2014/chart" uri="{C3380CC4-5D6E-409C-BE32-E72D297353CC}">
              <c16:uniqueId val="{00000001-A180-432B-A347-F5CCD23FB4B3}"/>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Eff_vs_IOUT!$BU$7:$BU$157</c:f>
              <c:numCache>
                <c:formatCode>General</c:formatCode>
                <c:ptCount val="151"/>
                <c:pt idx="0">
                  <c:v>0</c:v>
                </c:pt>
                <c:pt idx="1">
                  <c:v>1.3250773199998752E-6</c:v>
                </c:pt>
                <c:pt idx="2">
                  <c:v>3.7478846342736349E-6</c:v>
                </c:pt>
                <c:pt idx="3">
                  <c:v>6.885303726590964E-6</c:v>
                </c:pt>
                <c:pt idx="4">
                  <c:v>1.0600618559999005E-5</c:v>
                </c:pt>
                <c:pt idx="5">
                  <c:v>1.4814814814814812E-5</c:v>
                </c:pt>
                <c:pt idx="6">
                  <c:v>1.9474579822405906E-5</c:v>
                </c:pt>
                <c:pt idx="7">
                  <c:v>2.4540775396561373E-5</c:v>
                </c:pt>
                <c:pt idx="8">
                  <c:v>2.998307707418908E-5</c:v>
                </c:pt>
                <c:pt idx="9">
                  <c:v>3.5777087639996639E-5</c:v>
                </c:pt>
                <c:pt idx="10">
                  <c:v>4.1902624070313919E-5</c:v>
                </c:pt>
                <c:pt idx="11">
                  <c:v>4.8342627175142101E-5</c:v>
                </c:pt>
                <c:pt idx="12">
                  <c:v>5.5082429812727726E-5</c:v>
                </c:pt>
                <c:pt idx="13">
                  <c:v>6.2109244875781407E-5</c:v>
                </c:pt>
                <c:pt idx="14">
                  <c:v>6.9411794793938146E-5</c:v>
                </c:pt>
                <c:pt idx="15">
                  <c:v>7.6980035891950082E-5</c:v>
                </c:pt>
                <c:pt idx="16">
                  <c:v>8.4804948479992012E-5</c:v>
                </c:pt>
                <c:pt idx="17">
                  <c:v>9.2878373791987611E-5</c:v>
                </c:pt>
                <c:pt idx="18">
                  <c:v>1.0119288512538813E-4</c:v>
                </c:pt>
                <c:pt idx="19">
                  <c:v>1.0974168447488616E-4</c:v>
                </c:pt>
                <c:pt idx="20">
                  <c:v>1.1851851851851848E-4</c:v>
                </c:pt>
                <c:pt idx="21">
                  <c:v>1.2751760953194166E-4</c:v>
                </c:pt>
                <c:pt idx="22">
                  <c:v>1.3673359798366423E-4</c:v>
                </c:pt>
                <c:pt idx="23">
                  <c:v>1.461614943878892E-4</c:v>
                </c:pt>
                <c:pt idx="24">
                  <c:v>1.5579663857924724E-4</c:v>
                </c:pt>
                <c:pt idx="25">
                  <c:v>1.6563466499998442E-4</c:v>
                </c:pt>
                <c:pt idx="26">
                  <c:v>1.7567147290416349E-4</c:v>
                </c:pt>
                <c:pt idx="27">
                  <c:v>1.8590320061795602E-4</c:v>
                </c:pt>
                <c:pt idx="28">
                  <c:v>1.9632620317249099E-4</c:v>
                </c:pt>
                <c:pt idx="29">
                  <c:v>2.0693703276146769E-4</c:v>
                </c:pt>
                <c:pt idx="30">
                  <c:v>2.1773242158072689E-4</c:v>
                </c:pt>
                <c:pt idx="31">
                  <c:v>2.2870926668897823E-4</c:v>
                </c:pt>
                <c:pt idx="32">
                  <c:v>2.3986461659351264E-4</c:v>
                </c:pt>
                <c:pt idx="33">
                  <c:v>2.5119565931611815E-4</c:v>
                </c:pt>
                <c:pt idx="34">
                  <c:v>2.626997117355735E-4</c:v>
                </c:pt>
                <c:pt idx="35">
                  <c:v>2.7437421003632777E-4</c:v>
                </c:pt>
                <c:pt idx="36">
                  <c:v>2.8621670111997311E-4</c:v>
                </c:pt>
                <c:pt idx="37">
                  <c:v>2.9822483485819932E-4</c:v>
                </c:pt>
                <c:pt idx="38">
                  <c:v>3.1039635708410572E-4</c:v>
                </c:pt>
                <c:pt idx="39">
                  <c:v>3.227291032337712E-4</c:v>
                </c:pt>
                <c:pt idx="40">
                  <c:v>3.3522099256251135E-4</c:v>
                </c:pt>
                <c:pt idx="41">
                  <c:v>3.4787002287071445E-4</c:v>
                </c:pt>
                <c:pt idx="42">
                  <c:v>3.6067426568293719E-4</c:v>
                </c:pt>
                <c:pt idx="43">
                  <c:v>3.736318618313794E-4</c:v>
                </c:pt>
                <c:pt idx="44">
                  <c:v>3.8674101740113686E-4</c:v>
                </c:pt>
                <c:pt idx="45">
                  <c:v>4.0000000000000002E-4</c:v>
                </c:pt>
                <c:pt idx="46">
                  <c:v>4.13407135320144E-4</c:v>
                </c:pt>
                <c:pt idx="47">
                  <c:v>4.2696080396297892E-4</c:v>
                </c:pt>
                <c:pt idx="48">
                  <c:v>4.406594385018217E-4</c:v>
                </c:pt>
                <c:pt idx="49">
                  <c:v>4.5450152075995735E-4</c:v>
                </c:pt>
                <c:pt idx="50">
                  <c:v>4.6848557928420447E-4</c:v>
                </c:pt>
                <c:pt idx="51">
                  <c:v>4.8261018699628875E-4</c:v>
                </c:pt>
                <c:pt idx="52">
                  <c:v>4.9687395900625125E-4</c:v>
                </c:pt>
                <c:pt idx="53">
                  <c:v>5.1127555057379841E-4</c:v>
                </c:pt>
                <c:pt idx="54">
                  <c:v>5.2581365520495949E-4</c:v>
                </c:pt>
                <c:pt idx="55">
                  <c:v>5.4048700287273176E-4</c:v>
                </c:pt>
                <c:pt idx="56">
                  <c:v>5.5529435835150506E-4</c:v>
                </c:pt>
                <c:pt idx="57">
                  <c:v>5.7023451965608637E-4</c:v>
                </c:pt>
                <c:pt idx="58">
                  <c:v>5.8530631657702605E-4</c:v>
                </c:pt>
                <c:pt idx="59">
                  <c:v>6.0050860930473647E-4</c:v>
                </c:pt>
                <c:pt idx="60">
                  <c:v>6.1584028713560065E-4</c:v>
                </c:pt>
                <c:pt idx="61">
                  <c:v>6.3130026725389751E-4</c:v>
                </c:pt>
                <c:pt idx="62">
                  <c:v>6.4688749358391632E-4</c:v>
                </c:pt>
                <c:pt idx="63">
                  <c:v>6.6260093570715722E-4</c:v>
                </c:pt>
                <c:pt idx="64">
                  <c:v>6.7843958783993632E-4</c:v>
                </c:pt>
                <c:pt idx="65">
                  <c:v>6.9440246786713858E-4</c:v>
                </c:pt>
                <c:pt idx="66">
                  <c:v>7.1048861642821154E-4</c:v>
                </c:pt>
                <c:pt idx="67">
                  <c:v>7.2669709605182177E-4</c:v>
                </c:pt>
                <c:pt idx="68">
                  <c:v>7.4302699033590078E-4</c:v>
                </c:pt>
                <c:pt idx="69">
                  <c:v>7.5947740317005208E-4</c:v>
                </c:pt>
                <c:pt idx="70">
                  <c:v>7.7604745799755826E-4</c:v>
                </c:pt>
                <c:pt idx="71">
                  <c:v>7.9273629711442437E-4</c:v>
                </c:pt>
                <c:pt idx="72">
                  <c:v>8.0954308100310507E-4</c:v>
                </c:pt>
                <c:pt idx="73">
                  <c:v>8.2646698769874038E-4</c:v>
                </c:pt>
                <c:pt idx="74">
                  <c:v>8.4350721218588438E-4</c:v>
                </c:pt>
                <c:pt idx="75">
                  <c:v>8.6066296582387042E-4</c:v>
                </c:pt>
                <c:pt idx="76">
                  <c:v>8.7793347579908938E-4</c:v>
                </c:pt>
                <c:pt idx="77">
                  <c:v>8.9531798460257262E-4</c:v>
                </c:pt>
                <c:pt idx="78">
                  <c:v>9.1281574953141153E-4</c:v>
                </c:pt>
                <c:pt idx="79">
                  <c:v>9.3042604221261712E-4</c:v>
                </c:pt>
                <c:pt idx="80">
                  <c:v>9.4814814814814794E-4</c:v>
                </c:pt>
                <c:pt idx="81">
                  <c:v>9.6598136627990927E-4</c:v>
                </c:pt>
                <c:pt idx="82">
                  <c:v>9.8392500857360631E-4</c:v>
                </c:pt>
                <c:pt idx="83">
                  <c:v>1.0019783996204202E-3</c:v>
                </c:pt>
                <c:pt idx="84">
                  <c:v>1.0201408762555337E-3</c:v>
                </c:pt>
                <c:pt idx="85">
                  <c:v>1.038411787192596E-3</c:v>
                </c:pt>
                <c:pt idx="86">
                  <c:v>1.0567904926732938E-3</c:v>
                </c:pt>
                <c:pt idx="87">
                  <c:v>1.0752763641312217E-3</c:v>
                </c:pt>
                <c:pt idx="88">
                  <c:v>1.0938687838693132E-3</c:v>
                </c:pt>
                <c:pt idx="89">
                  <c:v>1.112567144750151E-3</c:v>
                </c:pt>
                <c:pt idx="90">
                  <c:v>1.1313708498984758E-3</c:v>
                </c:pt>
                <c:pt idx="91">
                  <c:v>1.1502793124153127E-3</c:v>
                </c:pt>
                <c:pt idx="92">
                  <c:v>1.1692919551031138E-3</c:v>
                </c:pt>
                <c:pt idx="93">
                  <c:v>1.1884082102013916E-3</c:v>
                </c:pt>
                <c:pt idx="94">
                  <c:v>1.2076275191323306E-3</c:v>
                </c:pt>
                <c:pt idx="95">
                  <c:v>1.2269493322558929E-3</c:v>
                </c:pt>
                <c:pt idx="96">
                  <c:v>1.246373108633978E-3</c:v>
                </c:pt>
                <c:pt idx="97">
                  <c:v>1.2658983158031934E-3</c:v>
                </c:pt>
                <c:pt idx="98">
                  <c:v>1.2855244295558567E-3</c:v>
                </c:pt>
                <c:pt idx="99">
                  <c:v>1.3052509337288364E-3</c:v>
                </c:pt>
                <c:pt idx="100">
                  <c:v>1.3250773199998756E-3</c:v>
                </c:pt>
                <c:pt idx="101">
                  <c:v>1.3450030876910625E-3</c:v>
                </c:pt>
                <c:pt idx="102">
                  <c:v>1.3650277435791338E-3</c:v>
                </c:pt>
                <c:pt idx="103">
                  <c:v>1.3851508017122991E-3</c:v>
                </c:pt>
                <c:pt idx="104">
                  <c:v>1.4053717832333084E-3</c:v>
                </c:pt>
                <c:pt idx="105">
                  <c:v>1.4256902162084837E-3</c:v>
                </c:pt>
                <c:pt idx="106">
                  <c:v>1.4461056354624735E-3</c:v>
                </c:pt>
                <c:pt idx="107">
                  <c:v>1.4666175824184656E-3</c:v>
                </c:pt>
                <c:pt idx="108">
                  <c:v>1.4872256049436483E-3</c:v>
                </c:pt>
                <c:pt idx="109">
                  <c:v>1.507929257199685E-3</c:v>
                </c:pt>
                <c:pt idx="110">
                  <c:v>1.5287280994980067E-3</c:v>
                </c:pt>
                <c:pt idx="111">
                  <c:v>1.5496216981597177E-3</c:v>
                </c:pt>
                <c:pt idx="112">
                  <c:v>1.5706096253799279E-3</c:v>
                </c:pt>
                <c:pt idx="113">
                  <c:v>1.5916914590963346E-3</c:v>
                </c:pt>
                <c:pt idx="114">
                  <c:v>1.6128667828618889E-3</c:v>
                </c:pt>
                <c:pt idx="115">
                  <c:v>1.6341351857213709E-3</c:v>
                </c:pt>
                <c:pt idx="116">
                  <c:v>1.6554962620917411E-3</c:v>
                </c:pt>
                <c:pt idx="117">
                  <c:v>1.676949611646098E-3</c:v>
                </c:pt>
                <c:pt idx="118">
                  <c:v>1.6984948392011288E-3</c:v>
                </c:pt>
                <c:pt idx="119">
                  <c:v>1.720131554607888E-3</c:v>
                </c:pt>
                <c:pt idx="120">
                  <c:v>1.7418593726458151E-3</c:v>
                </c:pt>
                <c:pt idx="121">
                  <c:v>1.7636779129198343E-3</c:v>
                </c:pt>
                <c:pt idx="122">
                  <c:v>1.7855867997604421E-3</c:v>
                </c:pt>
                <c:pt idx="123">
                  <c:v>1.807585662126674E-3</c:v>
                </c:pt>
                <c:pt idx="124">
                  <c:v>1.8296741335118256E-3</c:v>
                </c:pt>
                <c:pt idx="125">
                  <c:v>1.8518518518518519E-3</c:v>
                </c:pt>
                <c:pt idx="126">
                  <c:v>1.874118459436329E-3</c:v>
                </c:pt>
                <c:pt idx="127">
                  <c:v>1.8964736028218997E-3</c:v>
                </c:pt>
                <c:pt idx="128">
                  <c:v>1.9189169327481011E-3</c:v>
                </c:pt>
                <c:pt idx="129">
                  <c:v>1.9414481040555124E-3</c:v>
                </c:pt>
                <c:pt idx="130">
                  <c:v>1.9640667756061088E-3</c:v>
                </c:pt>
                <c:pt idx="131">
                  <c:v>1.9867726102057886E-3</c:v>
                </c:pt>
                <c:pt idx="132">
                  <c:v>2.0095652745289452E-3</c:v>
                </c:pt>
                <c:pt idx="133">
                  <c:v>2.0324444390450659E-3</c:v>
                </c:pt>
                <c:pt idx="134">
                  <c:v>2.0554097779472615E-3</c:v>
                </c:pt>
                <c:pt idx="135">
                  <c:v>2.078460969082653E-3</c:v>
                </c:pt>
                <c:pt idx="136">
                  <c:v>2.101597693884588E-3</c:v>
                </c:pt>
                <c:pt idx="137">
                  <c:v>2.1248196373065821E-3</c:v>
                </c:pt>
                <c:pt idx="138">
                  <c:v>2.1481264877579744E-3</c:v>
                </c:pt>
                <c:pt idx="139">
                  <c:v>2.1715179370411916E-3</c:v>
                </c:pt>
                <c:pt idx="140">
                  <c:v>2.1949936802906221E-3</c:v>
                </c:pt>
                <c:pt idx="141">
                  <c:v>2.2185534159130044E-3</c:v>
                </c:pt>
                <c:pt idx="142">
                  <c:v>2.2421968455292921E-3</c:v>
                </c:pt>
                <c:pt idx="143">
                  <c:v>2.2659236739179787E-3</c:v>
                </c:pt>
                <c:pt idx="144">
                  <c:v>2.2897336089597849E-3</c:v>
                </c:pt>
                <c:pt idx="145">
                  <c:v>2.3136263615837127E-3</c:v>
                </c:pt>
                <c:pt idx="146">
                  <c:v>2.3376016457143938E-3</c:v>
                </c:pt>
                <c:pt idx="147">
                  <c:v>2.3616591782206998E-3</c:v>
                </c:pt>
                <c:pt idx="148">
                  <c:v>2.3857986788655959E-3</c:v>
                </c:pt>
                <c:pt idx="149">
                  <c:v>2.4100198702571513E-3</c:v>
                </c:pt>
                <c:pt idx="150">
                  <c:v>2.4343224778007378E-3</c:v>
                </c:pt>
              </c:numCache>
            </c:numRef>
          </c:yVal>
          <c:smooth val="1"/>
          <c:extLst>
            <c:ext xmlns:c16="http://schemas.microsoft.com/office/drawing/2014/chart" uri="{C3380CC4-5D6E-409C-BE32-E72D297353CC}">
              <c16:uniqueId val="{00000002-A180-432B-A347-F5CCD23FB4B3}"/>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0.05</c:v>
                </c:pt>
                <c:pt idx="2">
                  <c:v>0.1</c:v>
                </c:pt>
                <c:pt idx="3">
                  <c:v>0.15000000000000002</c:v>
                </c:pt>
                <c:pt idx="4">
                  <c:v>0.2</c:v>
                </c:pt>
                <c:pt idx="5">
                  <c:v>0.25</c:v>
                </c:pt>
                <c:pt idx="6">
                  <c:v>0.30000000000000004</c:v>
                </c:pt>
                <c:pt idx="7">
                  <c:v>0.35000000000000003</c:v>
                </c:pt>
                <c:pt idx="8">
                  <c:v>0.4</c:v>
                </c:pt>
                <c:pt idx="9">
                  <c:v>0.45</c:v>
                </c:pt>
                <c:pt idx="10">
                  <c:v>0.5</c:v>
                </c:pt>
                <c:pt idx="11">
                  <c:v>0.55000000000000004</c:v>
                </c:pt>
                <c:pt idx="12">
                  <c:v>0.60000000000000009</c:v>
                </c:pt>
                <c:pt idx="13">
                  <c:v>0.65</c:v>
                </c:pt>
                <c:pt idx="14">
                  <c:v>0.70000000000000007</c:v>
                </c:pt>
                <c:pt idx="15">
                  <c:v>0.75</c:v>
                </c:pt>
                <c:pt idx="16">
                  <c:v>0.8</c:v>
                </c:pt>
                <c:pt idx="17">
                  <c:v>0.85000000000000009</c:v>
                </c:pt>
                <c:pt idx="18">
                  <c:v>0.9</c:v>
                </c:pt>
                <c:pt idx="19">
                  <c:v>0.95000000000000007</c:v>
                </c:pt>
                <c:pt idx="20">
                  <c:v>1</c:v>
                </c:pt>
                <c:pt idx="21">
                  <c:v>1.05</c:v>
                </c:pt>
                <c:pt idx="22">
                  <c:v>1.1000000000000001</c:v>
                </c:pt>
                <c:pt idx="23">
                  <c:v>1.1500000000000001</c:v>
                </c:pt>
                <c:pt idx="24">
                  <c:v>1.2000000000000002</c:v>
                </c:pt>
                <c:pt idx="25">
                  <c:v>1.25</c:v>
                </c:pt>
                <c:pt idx="26">
                  <c:v>1.3</c:v>
                </c:pt>
                <c:pt idx="27">
                  <c:v>1.35</c:v>
                </c:pt>
                <c:pt idx="28">
                  <c:v>1.4000000000000001</c:v>
                </c:pt>
                <c:pt idx="29">
                  <c:v>1.4500000000000002</c:v>
                </c:pt>
                <c:pt idx="30">
                  <c:v>1.5</c:v>
                </c:pt>
                <c:pt idx="31">
                  <c:v>1.55</c:v>
                </c:pt>
                <c:pt idx="32">
                  <c:v>1.6</c:v>
                </c:pt>
                <c:pt idx="33">
                  <c:v>1.6500000000000001</c:v>
                </c:pt>
                <c:pt idx="34">
                  <c:v>1.7000000000000002</c:v>
                </c:pt>
                <c:pt idx="35">
                  <c:v>1.75</c:v>
                </c:pt>
                <c:pt idx="36">
                  <c:v>1.8</c:v>
                </c:pt>
                <c:pt idx="37">
                  <c:v>1.85</c:v>
                </c:pt>
                <c:pt idx="38">
                  <c:v>1.9000000000000001</c:v>
                </c:pt>
                <c:pt idx="39">
                  <c:v>1.9500000000000002</c:v>
                </c:pt>
                <c:pt idx="40">
                  <c:v>2</c:v>
                </c:pt>
                <c:pt idx="41">
                  <c:v>2.0500000000000003</c:v>
                </c:pt>
                <c:pt idx="42">
                  <c:v>2.1</c:v>
                </c:pt>
                <c:pt idx="43">
                  <c:v>2.15</c:v>
                </c:pt>
                <c:pt idx="44">
                  <c:v>2.2000000000000002</c:v>
                </c:pt>
                <c:pt idx="45">
                  <c:v>2.25</c:v>
                </c:pt>
                <c:pt idx="46">
                  <c:v>2.3000000000000003</c:v>
                </c:pt>
                <c:pt idx="47">
                  <c:v>2.35</c:v>
                </c:pt>
                <c:pt idx="48">
                  <c:v>2.4000000000000004</c:v>
                </c:pt>
                <c:pt idx="49">
                  <c:v>2.4500000000000002</c:v>
                </c:pt>
                <c:pt idx="50">
                  <c:v>2.5</c:v>
                </c:pt>
                <c:pt idx="51">
                  <c:v>2.5500000000000003</c:v>
                </c:pt>
                <c:pt idx="52">
                  <c:v>2.6</c:v>
                </c:pt>
                <c:pt idx="53">
                  <c:v>2.6500000000000004</c:v>
                </c:pt>
                <c:pt idx="54">
                  <c:v>2.7</c:v>
                </c:pt>
                <c:pt idx="55">
                  <c:v>2.75</c:v>
                </c:pt>
                <c:pt idx="56">
                  <c:v>2.8000000000000003</c:v>
                </c:pt>
                <c:pt idx="57">
                  <c:v>2.85</c:v>
                </c:pt>
                <c:pt idx="58">
                  <c:v>2.9000000000000004</c:v>
                </c:pt>
                <c:pt idx="59">
                  <c:v>2.95</c:v>
                </c:pt>
                <c:pt idx="60">
                  <c:v>3</c:v>
                </c:pt>
                <c:pt idx="61">
                  <c:v>3.0500000000000003</c:v>
                </c:pt>
                <c:pt idx="62">
                  <c:v>3.1</c:v>
                </c:pt>
                <c:pt idx="63">
                  <c:v>3.1500000000000004</c:v>
                </c:pt>
                <c:pt idx="64">
                  <c:v>3.2</c:v>
                </c:pt>
                <c:pt idx="65">
                  <c:v>3.25</c:v>
                </c:pt>
                <c:pt idx="66">
                  <c:v>3.3000000000000003</c:v>
                </c:pt>
                <c:pt idx="67">
                  <c:v>3.35</c:v>
                </c:pt>
                <c:pt idx="68">
                  <c:v>3.4000000000000004</c:v>
                </c:pt>
                <c:pt idx="69">
                  <c:v>3.45</c:v>
                </c:pt>
                <c:pt idx="70">
                  <c:v>3.5</c:v>
                </c:pt>
                <c:pt idx="71">
                  <c:v>3.5500000000000003</c:v>
                </c:pt>
                <c:pt idx="72">
                  <c:v>3.6</c:v>
                </c:pt>
                <c:pt idx="73">
                  <c:v>3.6500000000000004</c:v>
                </c:pt>
                <c:pt idx="74">
                  <c:v>3.7</c:v>
                </c:pt>
                <c:pt idx="75">
                  <c:v>3.75</c:v>
                </c:pt>
                <c:pt idx="76">
                  <c:v>3.8000000000000003</c:v>
                </c:pt>
                <c:pt idx="77">
                  <c:v>3.85</c:v>
                </c:pt>
                <c:pt idx="78">
                  <c:v>3.9000000000000004</c:v>
                </c:pt>
                <c:pt idx="79">
                  <c:v>3.95</c:v>
                </c:pt>
                <c:pt idx="80">
                  <c:v>4</c:v>
                </c:pt>
                <c:pt idx="81">
                  <c:v>4.05</c:v>
                </c:pt>
                <c:pt idx="82">
                  <c:v>4.1000000000000005</c:v>
                </c:pt>
                <c:pt idx="83">
                  <c:v>4.1500000000000004</c:v>
                </c:pt>
                <c:pt idx="84">
                  <c:v>4.2</c:v>
                </c:pt>
                <c:pt idx="85">
                  <c:v>4.25</c:v>
                </c:pt>
                <c:pt idx="86">
                  <c:v>4.3</c:v>
                </c:pt>
                <c:pt idx="87">
                  <c:v>4.3500000000000005</c:v>
                </c:pt>
                <c:pt idx="88">
                  <c:v>4.4000000000000004</c:v>
                </c:pt>
                <c:pt idx="89">
                  <c:v>4.45</c:v>
                </c:pt>
                <c:pt idx="90">
                  <c:v>4.5</c:v>
                </c:pt>
                <c:pt idx="91">
                  <c:v>4.55</c:v>
                </c:pt>
                <c:pt idx="92">
                  <c:v>4.6000000000000005</c:v>
                </c:pt>
                <c:pt idx="93">
                  <c:v>4.6500000000000004</c:v>
                </c:pt>
                <c:pt idx="94">
                  <c:v>4.7</c:v>
                </c:pt>
                <c:pt idx="95">
                  <c:v>4.75</c:v>
                </c:pt>
                <c:pt idx="96">
                  <c:v>4.8000000000000007</c:v>
                </c:pt>
                <c:pt idx="97">
                  <c:v>4.8500000000000005</c:v>
                </c:pt>
                <c:pt idx="98">
                  <c:v>4.9000000000000004</c:v>
                </c:pt>
                <c:pt idx="99">
                  <c:v>4.95</c:v>
                </c:pt>
                <c:pt idx="100">
                  <c:v>5</c:v>
                </c:pt>
                <c:pt idx="101">
                  <c:v>5.0500000000000007</c:v>
                </c:pt>
                <c:pt idx="102">
                  <c:v>5.1000000000000005</c:v>
                </c:pt>
                <c:pt idx="103">
                  <c:v>5.15</c:v>
                </c:pt>
                <c:pt idx="104">
                  <c:v>5.2</c:v>
                </c:pt>
                <c:pt idx="105">
                  <c:v>5.25</c:v>
                </c:pt>
                <c:pt idx="106">
                  <c:v>5.3000000000000007</c:v>
                </c:pt>
                <c:pt idx="107">
                  <c:v>5.3500000000000005</c:v>
                </c:pt>
                <c:pt idx="108">
                  <c:v>5.4</c:v>
                </c:pt>
                <c:pt idx="109">
                  <c:v>5.45</c:v>
                </c:pt>
                <c:pt idx="110">
                  <c:v>5.5</c:v>
                </c:pt>
                <c:pt idx="111">
                  <c:v>5.5500000000000007</c:v>
                </c:pt>
                <c:pt idx="112">
                  <c:v>5.6000000000000005</c:v>
                </c:pt>
                <c:pt idx="113">
                  <c:v>5.65</c:v>
                </c:pt>
                <c:pt idx="114">
                  <c:v>5.7</c:v>
                </c:pt>
                <c:pt idx="115">
                  <c:v>5.75</c:v>
                </c:pt>
                <c:pt idx="116">
                  <c:v>5.8000000000000007</c:v>
                </c:pt>
                <c:pt idx="117">
                  <c:v>5.8500000000000005</c:v>
                </c:pt>
                <c:pt idx="118">
                  <c:v>5.9</c:v>
                </c:pt>
                <c:pt idx="119">
                  <c:v>5.95</c:v>
                </c:pt>
                <c:pt idx="120">
                  <c:v>6</c:v>
                </c:pt>
                <c:pt idx="121">
                  <c:v>6.0500000000000007</c:v>
                </c:pt>
                <c:pt idx="122">
                  <c:v>6.1000000000000005</c:v>
                </c:pt>
                <c:pt idx="123">
                  <c:v>6.15</c:v>
                </c:pt>
                <c:pt idx="124">
                  <c:v>6.2</c:v>
                </c:pt>
                <c:pt idx="125">
                  <c:v>6.25</c:v>
                </c:pt>
                <c:pt idx="126">
                  <c:v>6.3000000000000007</c:v>
                </c:pt>
                <c:pt idx="127">
                  <c:v>6.3500000000000005</c:v>
                </c:pt>
                <c:pt idx="128">
                  <c:v>6.4</c:v>
                </c:pt>
                <c:pt idx="129">
                  <c:v>6.45</c:v>
                </c:pt>
                <c:pt idx="130">
                  <c:v>6.5</c:v>
                </c:pt>
                <c:pt idx="131">
                  <c:v>6.5500000000000007</c:v>
                </c:pt>
                <c:pt idx="132">
                  <c:v>6.6000000000000005</c:v>
                </c:pt>
                <c:pt idx="133">
                  <c:v>6.65</c:v>
                </c:pt>
                <c:pt idx="134">
                  <c:v>6.7</c:v>
                </c:pt>
                <c:pt idx="135">
                  <c:v>6.75</c:v>
                </c:pt>
                <c:pt idx="136">
                  <c:v>6.8000000000000007</c:v>
                </c:pt>
                <c:pt idx="137">
                  <c:v>6.8500000000000005</c:v>
                </c:pt>
                <c:pt idx="138">
                  <c:v>6.9</c:v>
                </c:pt>
                <c:pt idx="139">
                  <c:v>6.95</c:v>
                </c:pt>
                <c:pt idx="140">
                  <c:v>7</c:v>
                </c:pt>
                <c:pt idx="141">
                  <c:v>7.0500000000000007</c:v>
                </c:pt>
                <c:pt idx="142">
                  <c:v>7.1000000000000005</c:v>
                </c:pt>
                <c:pt idx="143">
                  <c:v>7.15</c:v>
                </c:pt>
                <c:pt idx="144">
                  <c:v>7.2</c:v>
                </c:pt>
                <c:pt idx="145">
                  <c:v>7.25</c:v>
                </c:pt>
                <c:pt idx="146">
                  <c:v>7.3000000000000007</c:v>
                </c:pt>
                <c:pt idx="147">
                  <c:v>7.3500000000000005</c:v>
                </c:pt>
                <c:pt idx="148">
                  <c:v>7.4</c:v>
                </c:pt>
                <c:pt idx="149">
                  <c:v>7.45</c:v>
                </c:pt>
                <c:pt idx="150">
                  <c:v>7.5</c:v>
                </c:pt>
              </c:numCache>
            </c:numRef>
          </c:xVal>
          <c:yVal>
            <c:numRef>
              <c:f>Eff_vs_IOUT!$AY$8:$AY$157</c:f>
              <c:numCache>
                <c:formatCode>General</c:formatCode>
                <c:ptCount val="150"/>
                <c:pt idx="0">
                  <c:v>3.8333333333333334E-5</c:v>
                </c:pt>
                <c:pt idx="1">
                  <c:v>7.6666666666666669E-5</c:v>
                </c:pt>
                <c:pt idx="2">
                  <c:v>1.1500000000000002E-4</c:v>
                </c:pt>
                <c:pt idx="3">
                  <c:v>1.5333333333333334E-4</c:v>
                </c:pt>
                <c:pt idx="4">
                  <c:v>1.9166666666666665E-4</c:v>
                </c:pt>
                <c:pt idx="5">
                  <c:v>2.3000000000000003E-4</c:v>
                </c:pt>
                <c:pt idx="6">
                  <c:v>2.6833333333333331E-4</c:v>
                </c:pt>
                <c:pt idx="7">
                  <c:v>3.0666666666666668E-4</c:v>
                </c:pt>
                <c:pt idx="8">
                  <c:v>3.4499999999999998E-4</c:v>
                </c:pt>
                <c:pt idx="9">
                  <c:v>3.8333333333333329E-4</c:v>
                </c:pt>
                <c:pt idx="10">
                  <c:v>4.2166666666666665E-4</c:v>
                </c:pt>
                <c:pt idx="11">
                  <c:v>4.6000000000000007E-4</c:v>
                </c:pt>
                <c:pt idx="12">
                  <c:v>4.9833333333333338E-4</c:v>
                </c:pt>
                <c:pt idx="13">
                  <c:v>5.3666666666666663E-4</c:v>
                </c:pt>
                <c:pt idx="14">
                  <c:v>5.7499999999999999E-4</c:v>
                </c:pt>
                <c:pt idx="15">
                  <c:v>6.1333333333333335E-4</c:v>
                </c:pt>
                <c:pt idx="16">
                  <c:v>6.5166666666666671E-4</c:v>
                </c:pt>
                <c:pt idx="17">
                  <c:v>6.8999999999999997E-4</c:v>
                </c:pt>
                <c:pt idx="18">
                  <c:v>7.2833333333333333E-4</c:v>
                </c:pt>
                <c:pt idx="19">
                  <c:v>7.6666666666666658E-4</c:v>
                </c:pt>
                <c:pt idx="20">
                  <c:v>8.0499999999999994E-4</c:v>
                </c:pt>
                <c:pt idx="21">
                  <c:v>8.433333333333333E-4</c:v>
                </c:pt>
                <c:pt idx="22">
                  <c:v>8.8166666666666677E-4</c:v>
                </c:pt>
                <c:pt idx="23">
                  <c:v>9.2000000000000014E-4</c:v>
                </c:pt>
                <c:pt idx="24">
                  <c:v>9.5833333333333328E-4</c:v>
                </c:pt>
                <c:pt idx="25">
                  <c:v>9.9666666666666675E-4</c:v>
                </c:pt>
                <c:pt idx="26">
                  <c:v>1.0350000000000001E-3</c:v>
                </c:pt>
                <c:pt idx="27">
                  <c:v>1.0733333333333333E-3</c:v>
                </c:pt>
                <c:pt idx="28">
                  <c:v>1.1116666666666666E-3</c:v>
                </c:pt>
                <c:pt idx="29">
                  <c:v>1.15E-3</c:v>
                </c:pt>
                <c:pt idx="30">
                  <c:v>1.1883333333333333E-3</c:v>
                </c:pt>
                <c:pt idx="31">
                  <c:v>1.2266666666666667E-3</c:v>
                </c:pt>
                <c:pt idx="32">
                  <c:v>1.2650000000000001E-3</c:v>
                </c:pt>
                <c:pt idx="33">
                  <c:v>1.3033333333333334E-3</c:v>
                </c:pt>
                <c:pt idx="34">
                  <c:v>1.3416666666666666E-3</c:v>
                </c:pt>
                <c:pt idx="35">
                  <c:v>1.3799999999999999E-3</c:v>
                </c:pt>
                <c:pt idx="36">
                  <c:v>1.4183333333333333E-3</c:v>
                </c:pt>
                <c:pt idx="37">
                  <c:v>1.4566666666666667E-3</c:v>
                </c:pt>
                <c:pt idx="38">
                  <c:v>1.495E-3</c:v>
                </c:pt>
                <c:pt idx="39">
                  <c:v>1.5333333333333332E-3</c:v>
                </c:pt>
                <c:pt idx="40">
                  <c:v>1.5716666666666667E-3</c:v>
                </c:pt>
                <c:pt idx="41">
                  <c:v>1.6099999999999999E-3</c:v>
                </c:pt>
                <c:pt idx="42">
                  <c:v>1.6483333333333332E-3</c:v>
                </c:pt>
                <c:pt idx="43">
                  <c:v>1.6866666666666666E-3</c:v>
                </c:pt>
                <c:pt idx="44">
                  <c:v>1.725E-3</c:v>
                </c:pt>
                <c:pt idx="45">
                  <c:v>1.7633333333333335E-3</c:v>
                </c:pt>
                <c:pt idx="46">
                  <c:v>1.8016666666666667E-3</c:v>
                </c:pt>
                <c:pt idx="47">
                  <c:v>1.8400000000000003E-3</c:v>
                </c:pt>
                <c:pt idx="48">
                  <c:v>1.8783333333333332E-3</c:v>
                </c:pt>
                <c:pt idx="49">
                  <c:v>1.9166666666666666E-3</c:v>
                </c:pt>
                <c:pt idx="50">
                  <c:v>1.9550000000000001E-3</c:v>
                </c:pt>
                <c:pt idx="51">
                  <c:v>1.9933333333333335E-3</c:v>
                </c:pt>
                <c:pt idx="52">
                  <c:v>2.0316666666666669E-3</c:v>
                </c:pt>
                <c:pt idx="53">
                  <c:v>2.0700000000000002E-3</c:v>
                </c:pt>
                <c:pt idx="54">
                  <c:v>2.1083333333333332E-3</c:v>
                </c:pt>
                <c:pt idx="55">
                  <c:v>2.1466666666666665E-3</c:v>
                </c:pt>
                <c:pt idx="56">
                  <c:v>2.1849999999999999E-3</c:v>
                </c:pt>
                <c:pt idx="57">
                  <c:v>2.2233333333333332E-3</c:v>
                </c:pt>
                <c:pt idx="58">
                  <c:v>2.2616666666666666E-3</c:v>
                </c:pt>
                <c:pt idx="59">
                  <c:v>2.3E-3</c:v>
                </c:pt>
                <c:pt idx="60">
                  <c:v>2.3383333333333333E-3</c:v>
                </c:pt>
                <c:pt idx="61">
                  <c:v>2.3766666666666667E-3</c:v>
                </c:pt>
                <c:pt idx="62">
                  <c:v>2.415E-3</c:v>
                </c:pt>
                <c:pt idx="63">
                  <c:v>2.4533333333333334E-3</c:v>
                </c:pt>
                <c:pt idx="64">
                  <c:v>2.4916666666666663E-3</c:v>
                </c:pt>
                <c:pt idx="65">
                  <c:v>2.5300000000000001E-3</c:v>
                </c:pt>
                <c:pt idx="66">
                  <c:v>2.5683333333333331E-3</c:v>
                </c:pt>
                <c:pt idx="67">
                  <c:v>2.6066666666666669E-3</c:v>
                </c:pt>
                <c:pt idx="68">
                  <c:v>2.6449999999999998E-3</c:v>
                </c:pt>
                <c:pt idx="69">
                  <c:v>2.6833333333333331E-3</c:v>
                </c:pt>
                <c:pt idx="70">
                  <c:v>2.7216666666666665E-3</c:v>
                </c:pt>
                <c:pt idx="71">
                  <c:v>2.7599999999999999E-3</c:v>
                </c:pt>
                <c:pt idx="72">
                  <c:v>2.7983333333333332E-3</c:v>
                </c:pt>
                <c:pt idx="73">
                  <c:v>2.8366666666666666E-3</c:v>
                </c:pt>
                <c:pt idx="74">
                  <c:v>2.875E-3</c:v>
                </c:pt>
                <c:pt idx="75">
                  <c:v>2.9133333333333333E-3</c:v>
                </c:pt>
                <c:pt idx="76">
                  <c:v>2.9516666666666667E-3</c:v>
                </c:pt>
                <c:pt idx="77">
                  <c:v>2.99E-3</c:v>
                </c:pt>
                <c:pt idx="78">
                  <c:v>3.0283333333333334E-3</c:v>
                </c:pt>
                <c:pt idx="79">
                  <c:v>3.0666666666666663E-3</c:v>
                </c:pt>
                <c:pt idx="80">
                  <c:v>3.1049999999999993E-3</c:v>
                </c:pt>
                <c:pt idx="81">
                  <c:v>3.1433333333333335E-3</c:v>
                </c:pt>
                <c:pt idx="82">
                  <c:v>3.1816666666666664E-3</c:v>
                </c:pt>
                <c:pt idx="83">
                  <c:v>3.2199999999999998E-3</c:v>
                </c:pt>
                <c:pt idx="84">
                  <c:v>3.2583333333333331E-3</c:v>
                </c:pt>
                <c:pt idx="85">
                  <c:v>3.2966666666666665E-3</c:v>
                </c:pt>
                <c:pt idx="86">
                  <c:v>3.3349999999999999E-3</c:v>
                </c:pt>
                <c:pt idx="87">
                  <c:v>3.3733333333333332E-3</c:v>
                </c:pt>
                <c:pt idx="88">
                  <c:v>3.4116666666666666E-3</c:v>
                </c:pt>
                <c:pt idx="89">
                  <c:v>3.4499999999999999E-3</c:v>
                </c:pt>
                <c:pt idx="90">
                  <c:v>3.4883333333333329E-3</c:v>
                </c:pt>
                <c:pt idx="91">
                  <c:v>3.5266666666666671E-3</c:v>
                </c:pt>
                <c:pt idx="92">
                  <c:v>3.565E-3</c:v>
                </c:pt>
                <c:pt idx="93">
                  <c:v>3.6033333333333334E-3</c:v>
                </c:pt>
                <c:pt idx="94">
                  <c:v>3.6416666666666663E-3</c:v>
                </c:pt>
                <c:pt idx="95">
                  <c:v>3.6800000000000005E-3</c:v>
                </c:pt>
                <c:pt idx="96">
                  <c:v>3.7183333333333335E-3</c:v>
                </c:pt>
                <c:pt idx="97">
                  <c:v>3.7566666666666664E-3</c:v>
                </c:pt>
                <c:pt idx="98">
                  <c:v>3.7949999999999998E-3</c:v>
                </c:pt>
                <c:pt idx="99">
                  <c:v>3.8333333333333331E-3</c:v>
                </c:pt>
                <c:pt idx="100">
                  <c:v>3.8716666666666669E-3</c:v>
                </c:pt>
                <c:pt idx="101">
                  <c:v>3.9100000000000003E-3</c:v>
                </c:pt>
                <c:pt idx="102">
                  <c:v>3.9483333333333332E-3</c:v>
                </c:pt>
                <c:pt idx="103">
                  <c:v>3.986666666666667E-3</c:v>
                </c:pt>
                <c:pt idx="104">
                  <c:v>4.0249999999999999E-3</c:v>
                </c:pt>
                <c:pt idx="105">
                  <c:v>4.0633333333333337E-3</c:v>
                </c:pt>
                <c:pt idx="106">
                  <c:v>4.1016666666666667E-3</c:v>
                </c:pt>
                <c:pt idx="107">
                  <c:v>4.1400000000000005E-3</c:v>
                </c:pt>
                <c:pt idx="108">
                  <c:v>4.1783333333333334E-3</c:v>
                </c:pt>
                <c:pt idx="109">
                  <c:v>4.2166666666666663E-3</c:v>
                </c:pt>
                <c:pt idx="110">
                  <c:v>4.2550000000000001E-3</c:v>
                </c:pt>
                <c:pt idx="111">
                  <c:v>4.293333333333333E-3</c:v>
                </c:pt>
                <c:pt idx="112">
                  <c:v>4.3316666666666668E-3</c:v>
                </c:pt>
                <c:pt idx="113">
                  <c:v>4.3699999999999998E-3</c:v>
                </c:pt>
                <c:pt idx="114">
                  <c:v>4.4083333333333327E-3</c:v>
                </c:pt>
                <c:pt idx="115">
                  <c:v>4.4466666666666665E-3</c:v>
                </c:pt>
                <c:pt idx="116">
                  <c:v>4.4850000000000003E-3</c:v>
                </c:pt>
                <c:pt idx="117">
                  <c:v>4.5233333333333332E-3</c:v>
                </c:pt>
                <c:pt idx="118">
                  <c:v>4.561666666666667E-3</c:v>
                </c:pt>
                <c:pt idx="119">
                  <c:v>4.5999999999999999E-3</c:v>
                </c:pt>
                <c:pt idx="120">
                  <c:v>4.6383333333333337E-3</c:v>
                </c:pt>
                <c:pt idx="121">
                  <c:v>4.6766666666666666E-3</c:v>
                </c:pt>
                <c:pt idx="122">
                  <c:v>4.7150000000000004E-3</c:v>
                </c:pt>
                <c:pt idx="123">
                  <c:v>4.7533333333333334E-3</c:v>
                </c:pt>
                <c:pt idx="124">
                  <c:v>4.7916666666666663E-3</c:v>
                </c:pt>
                <c:pt idx="125">
                  <c:v>4.8300000000000001E-3</c:v>
                </c:pt>
                <c:pt idx="126">
                  <c:v>4.868333333333333E-3</c:v>
                </c:pt>
                <c:pt idx="127">
                  <c:v>4.9066666666666668E-3</c:v>
                </c:pt>
                <c:pt idx="128">
                  <c:v>4.9449999999999997E-3</c:v>
                </c:pt>
                <c:pt idx="129">
                  <c:v>4.9833333333333327E-3</c:v>
                </c:pt>
                <c:pt idx="130">
                  <c:v>5.0216666666666665E-3</c:v>
                </c:pt>
                <c:pt idx="131">
                  <c:v>5.0600000000000003E-3</c:v>
                </c:pt>
                <c:pt idx="132">
                  <c:v>5.0983333333333332E-3</c:v>
                </c:pt>
                <c:pt idx="133">
                  <c:v>5.1366666666666661E-3</c:v>
                </c:pt>
                <c:pt idx="134">
                  <c:v>5.174999999999999E-3</c:v>
                </c:pt>
                <c:pt idx="135">
                  <c:v>5.2133333333333337E-3</c:v>
                </c:pt>
                <c:pt idx="136">
                  <c:v>5.2516666666666666E-3</c:v>
                </c:pt>
                <c:pt idx="137">
                  <c:v>5.2899999999999996E-3</c:v>
                </c:pt>
                <c:pt idx="138">
                  <c:v>5.3283333333333325E-3</c:v>
                </c:pt>
                <c:pt idx="139">
                  <c:v>5.3666666666666663E-3</c:v>
                </c:pt>
                <c:pt idx="140">
                  <c:v>5.4050000000000001E-3</c:v>
                </c:pt>
                <c:pt idx="141">
                  <c:v>5.443333333333333E-3</c:v>
                </c:pt>
                <c:pt idx="142">
                  <c:v>5.4816666666666668E-3</c:v>
                </c:pt>
                <c:pt idx="143">
                  <c:v>5.5199999999999997E-3</c:v>
                </c:pt>
                <c:pt idx="144">
                  <c:v>5.5583333333333335E-3</c:v>
                </c:pt>
                <c:pt idx="145">
                  <c:v>5.5966666666666665E-3</c:v>
                </c:pt>
                <c:pt idx="146">
                  <c:v>5.6350000000000003E-3</c:v>
                </c:pt>
                <c:pt idx="147">
                  <c:v>5.6733333333333332E-3</c:v>
                </c:pt>
                <c:pt idx="148">
                  <c:v>5.711666666666667E-3</c:v>
                </c:pt>
                <c:pt idx="149">
                  <c:v>5.7499999999999999E-3</c:v>
                </c:pt>
              </c:numCache>
            </c:numRef>
          </c:yVal>
          <c:smooth val="1"/>
          <c:extLst>
            <c:ext xmlns:c16="http://schemas.microsoft.com/office/drawing/2014/chart" uri="{C3380CC4-5D6E-409C-BE32-E72D297353CC}">
              <c16:uniqueId val="{00000003-A180-432B-A347-F5CCD23FB4B3}"/>
            </c:ext>
          </c:extLst>
        </c:ser>
        <c:ser>
          <c:idx val="4"/>
          <c:order val="4"/>
          <c:tx>
            <c:v>D2</c:v>
          </c:tx>
          <c:marker>
            <c:symbol val="none"/>
          </c:marker>
          <c:xVal>
            <c:numRef>
              <c:f>Eff_vs_IOUT!$R$8:$R$157</c:f>
              <c:numCache>
                <c:formatCode>General</c:formatCode>
                <c:ptCount val="150"/>
                <c:pt idx="0">
                  <c:v>0.05</c:v>
                </c:pt>
                <c:pt idx="1">
                  <c:v>0.1</c:v>
                </c:pt>
                <c:pt idx="2">
                  <c:v>0.15000000000000002</c:v>
                </c:pt>
                <c:pt idx="3">
                  <c:v>0.2</c:v>
                </c:pt>
                <c:pt idx="4">
                  <c:v>0.25</c:v>
                </c:pt>
                <c:pt idx="5">
                  <c:v>0.30000000000000004</c:v>
                </c:pt>
                <c:pt idx="6">
                  <c:v>0.35000000000000003</c:v>
                </c:pt>
                <c:pt idx="7">
                  <c:v>0.4</c:v>
                </c:pt>
                <c:pt idx="8">
                  <c:v>0.45</c:v>
                </c:pt>
                <c:pt idx="9">
                  <c:v>0.5</c:v>
                </c:pt>
                <c:pt idx="10">
                  <c:v>0.55000000000000004</c:v>
                </c:pt>
                <c:pt idx="11">
                  <c:v>0.60000000000000009</c:v>
                </c:pt>
                <c:pt idx="12">
                  <c:v>0.65</c:v>
                </c:pt>
                <c:pt idx="13">
                  <c:v>0.70000000000000007</c:v>
                </c:pt>
                <c:pt idx="14">
                  <c:v>0.75</c:v>
                </c:pt>
                <c:pt idx="15">
                  <c:v>0.8</c:v>
                </c:pt>
                <c:pt idx="16">
                  <c:v>0.85000000000000009</c:v>
                </c:pt>
                <c:pt idx="17">
                  <c:v>0.9</c:v>
                </c:pt>
                <c:pt idx="18">
                  <c:v>0.95000000000000007</c:v>
                </c:pt>
                <c:pt idx="19">
                  <c:v>1</c:v>
                </c:pt>
                <c:pt idx="20">
                  <c:v>1.05</c:v>
                </c:pt>
                <c:pt idx="21">
                  <c:v>1.1000000000000001</c:v>
                </c:pt>
                <c:pt idx="22">
                  <c:v>1.1500000000000001</c:v>
                </c:pt>
                <c:pt idx="23">
                  <c:v>1.2000000000000002</c:v>
                </c:pt>
                <c:pt idx="24">
                  <c:v>1.25</c:v>
                </c:pt>
                <c:pt idx="25">
                  <c:v>1.3</c:v>
                </c:pt>
                <c:pt idx="26">
                  <c:v>1.35</c:v>
                </c:pt>
                <c:pt idx="27">
                  <c:v>1.4000000000000001</c:v>
                </c:pt>
                <c:pt idx="28">
                  <c:v>1.4500000000000002</c:v>
                </c:pt>
                <c:pt idx="29">
                  <c:v>1.5</c:v>
                </c:pt>
                <c:pt idx="30">
                  <c:v>1.55</c:v>
                </c:pt>
                <c:pt idx="31">
                  <c:v>1.6</c:v>
                </c:pt>
                <c:pt idx="32">
                  <c:v>1.6500000000000001</c:v>
                </c:pt>
                <c:pt idx="33">
                  <c:v>1.7000000000000002</c:v>
                </c:pt>
                <c:pt idx="34">
                  <c:v>1.75</c:v>
                </c:pt>
                <c:pt idx="35">
                  <c:v>1.8</c:v>
                </c:pt>
                <c:pt idx="36">
                  <c:v>1.85</c:v>
                </c:pt>
                <c:pt idx="37">
                  <c:v>1.9000000000000001</c:v>
                </c:pt>
                <c:pt idx="38">
                  <c:v>1.9500000000000002</c:v>
                </c:pt>
                <c:pt idx="39">
                  <c:v>2</c:v>
                </c:pt>
                <c:pt idx="40">
                  <c:v>2.0500000000000003</c:v>
                </c:pt>
                <c:pt idx="41">
                  <c:v>2.1</c:v>
                </c:pt>
                <c:pt idx="42">
                  <c:v>2.15</c:v>
                </c:pt>
                <c:pt idx="43">
                  <c:v>2.2000000000000002</c:v>
                </c:pt>
                <c:pt idx="44">
                  <c:v>2.25</c:v>
                </c:pt>
                <c:pt idx="45">
                  <c:v>2.3000000000000003</c:v>
                </c:pt>
                <c:pt idx="46">
                  <c:v>2.35</c:v>
                </c:pt>
                <c:pt idx="47">
                  <c:v>2.4000000000000004</c:v>
                </c:pt>
                <c:pt idx="48">
                  <c:v>2.4500000000000002</c:v>
                </c:pt>
                <c:pt idx="49">
                  <c:v>2.5</c:v>
                </c:pt>
                <c:pt idx="50">
                  <c:v>2.5500000000000003</c:v>
                </c:pt>
                <c:pt idx="51">
                  <c:v>2.6</c:v>
                </c:pt>
                <c:pt idx="52">
                  <c:v>2.6500000000000004</c:v>
                </c:pt>
                <c:pt idx="53">
                  <c:v>2.7</c:v>
                </c:pt>
                <c:pt idx="54">
                  <c:v>2.75</c:v>
                </c:pt>
                <c:pt idx="55">
                  <c:v>2.8000000000000003</c:v>
                </c:pt>
                <c:pt idx="56">
                  <c:v>2.85</c:v>
                </c:pt>
                <c:pt idx="57">
                  <c:v>2.9000000000000004</c:v>
                </c:pt>
                <c:pt idx="58">
                  <c:v>2.95</c:v>
                </c:pt>
                <c:pt idx="59">
                  <c:v>3</c:v>
                </c:pt>
                <c:pt idx="60">
                  <c:v>3.0500000000000003</c:v>
                </c:pt>
                <c:pt idx="61">
                  <c:v>3.1</c:v>
                </c:pt>
                <c:pt idx="62">
                  <c:v>3.1500000000000004</c:v>
                </c:pt>
                <c:pt idx="63">
                  <c:v>3.2</c:v>
                </c:pt>
                <c:pt idx="64">
                  <c:v>3.25</c:v>
                </c:pt>
                <c:pt idx="65">
                  <c:v>3.3000000000000003</c:v>
                </c:pt>
                <c:pt idx="66">
                  <c:v>3.35</c:v>
                </c:pt>
                <c:pt idx="67">
                  <c:v>3.4000000000000004</c:v>
                </c:pt>
                <c:pt idx="68">
                  <c:v>3.45</c:v>
                </c:pt>
                <c:pt idx="69">
                  <c:v>3.5</c:v>
                </c:pt>
                <c:pt idx="70">
                  <c:v>3.5500000000000003</c:v>
                </c:pt>
                <c:pt idx="71">
                  <c:v>3.6</c:v>
                </c:pt>
                <c:pt idx="72">
                  <c:v>3.6500000000000004</c:v>
                </c:pt>
                <c:pt idx="73">
                  <c:v>3.7</c:v>
                </c:pt>
                <c:pt idx="74">
                  <c:v>3.75</c:v>
                </c:pt>
                <c:pt idx="75">
                  <c:v>3.8000000000000003</c:v>
                </c:pt>
                <c:pt idx="76">
                  <c:v>3.85</c:v>
                </c:pt>
                <c:pt idx="77">
                  <c:v>3.9000000000000004</c:v>
                </c:pt>
                <c:pt idx="78">
                  <c:v>3.95</c:v>
                </c:pt>
                <c:pt idx="79">
                  <c:v>4</c:v>
                </c:pt>
                <c:pt idx="80">
                  <c:v>4.05</c:v>
                </c:pt>
                <c:pt idx="81">
                  <c:v>4.1000000000000005</c:v>
                </c:pt>
                <c:pt idx="82">
                  <c:v>4.1500000000000004</c:v>
                </c:pt>
                <c:pt idx="83">
                  <c:v>4.2</c:v>
                </c:pt>
                <c:pt idx="84">
                  <c:v>4.25</c:v>
                </c:pt>
                <c:pt idx="85">
                  <c:v>4.3</c:v>
                </c:pt>
                <c:pt idx="86">
                  <c:v>4.3500000000000005</c:v>
                </c:pt>
                <c:pt idx="87">
                  <c:v>4.4000000000000004</c:v>
                </c:pt>
                <c:pt idx="88">
                  <c:v>4.45</c:v>
                </c:pt>
                <c:pt idx="89">
                  <c:v>4.5</c:v>
                </c:pt>
                <c:pt idx="90">
                  <c:v>4.55</c:v>
                </c:pt>
                <c:pt idx="91">
                  <c:v>4.6000000000000005</c:v>
                </c:pt>
                <c:pt idx="92">
                  <c:v>4.6500000000000004</c:v>
                </c:pt>
                <c:pt idx="93">
                  <c:v>4.7</c:v>
                </c:pt>
                <c:pt idx="94">
                  <c:v>4.75</c:v>
                </c:pt>
                <c:pt idx="95">
                  <c:v>4.8000000000000007</c:v>
                </c:pt>
                <c:pt idx="96">
                  <c:v>4.8500000000000005</c:v>
                </c:pt>
                <c:pt idx="97">
                  <c:v>4.9000000000000004</c:v>
                </c:pt>
                <c:pt idx="98">
                  <c:v>4.95</c:v>
                </c:pt>
                <c:pt idx="99">
                  <c:v>5</c:v>
                </c:pt>
                <c:pt idx="100">
                  <c:v>5.0500000000000007</c:v>
                </c:pt>
                <c:pt idx="101">
                  <c:v>5.1000000000000005</c:v>
                </c:pt>
                <c:pt idx="102">
                  <c:v>5.15</c:v>
                </c:pt>
                <c:pt idx="103">
                  <c:v>5.2</c:v>
                </c:pt>
                <c:pt idx="104">
                  <c:v>5.25</c:v>
                </c:pt>
                <c:pt idx="105">
                  <c:v>5.3000000000000007</c:v>
                </c:pt>
                <c:pt idx="106">
                  <c:v>5.3500000000000005</c:v>
                </c:pt>
                <c:pt idx="107">
                  <c:v>5.4</c:v>
                </c:pt>
                <c:pt idx="108">
                  <c:v>5.45</c:v>
                </c:pt>
                <c:pt idx="109">
                  <c:v>5.5</c:v>
                </c:pt>
                <c:pt idx="110">
                  <c:v>5.5500000000000007</c:v>
                </c:pt>
                <c:pt idx="111">
                  <c:v>5.6000000000000005</c:v>
                </c:pt>
                <c:pt idx="112">
                  <c:v>5.65</c:v>
                </c:pt>
                <c:pt idx="113">
                  <c:v>5.7</c:v>
                </c:pt>
                <c:pt idx="114">
                  <c:v>5.75</c:v>
                </c:pt>
                <c:pt idx="115">
                  <c:v>5.8000000000000007</c:v>
                </c:pt>
                <c:pt idx="116">
                  <c:v>5.8500000000000005</c:v>
                </c:pt>
                <c:pt idx="117">
                  <c:v>5.9</c:v>
                </c:pt>
                <c:pt idx="118">
                  <c:v>5.95</c:v>
                </c:pt>
                <c:pt idx="119">
                  <c:v>6</c:v>
                </c:pt>
                <c:pt idx="120">
                  <c:v>6.0500000000000007</c:v>
                </c:pt>
                <c:pt idx="121">
                  <c:v>6.1000000000000005</c:v>
                </c:pt>
                <c:pt idx="122">
                  <c:v>6.15</c:v>
                </c:pt>
                <c:pt idx="123">
                  <c:v>6.2</c:v>
                </c:pt>
                <c:pt idx="124">
                  <c:v>6.25</c:v>
                </c:pt>
                <c:pt idx="125">
                  <c:v>6.3000000000000007</c:v>
                </c:pt>
                <c:pt idx="126">
                  <c:v>6.3500000000000005</c:v>
                </c:pt>
                <c:pt idx="127">
                  <c:v>6.4</c:v>
                </c:pt>
                <c:pt idx="128">
                  <c:v>6.45</c:v>
                </c:pt>
                <c:pt idx="129">
                  <c:v>6.5</c:v>
                </c:pt>
                <c:pt idx="130">
                  <c:v>6.5500000000000007</c:v>
                </c:pt>
                <c:pt idx="131">
                  <c:v>6.6000000000000005</c:v>
                </c:pt>
                <c:pt idx="132">
                  <c:v>6.65</c:v>
                </c:pt>
                <c:pt idx="133">
                  <c:v>6.7</c:v>
                </c:pt>
                <c:pt idx="134">
                  <c:v>6.75</c:v>
                </c:pt>
                <c:pt idx="135">
                  <c:v>6.8000000000000007</c:v>
                </c:pt>
                <c:pt idx="136">
                  <c:v>6.8500000000000005</c:v>
                </c:pt>
                <c:pt idx="137">
                  <c:v>6.9</c:v>
                </c:pt>
                <c:pt idx="138">
                  <c:v>6.95</c:v>
                </c:pt>
                <c:pt idx="139">
                  <c:v>7</c:v>
                </c:pt>
                <c:pt idx="140">
                  <c:v>7.0500000000000007</c:v>
                </c:pt>
                <c:pt idx="141">
                  <c:v>7.1000000000000005</c:v>
                </c:pt>
                <c:pt idx="142">
                  <c:v>7.15</c:v>
                </c:pt>
                <c:pt idx="143">
                  <c:v>7.2</c:v>
                </c:pt>
                <c:pt idx="144">
                  <c:v>7.25</c:v>
                </c:pt>
                <c:pt idx="145">
                  <c:v>7.3000000000000007</c:v>
                </c:pt>
                <c:pt idx="146">
                  <c:v>7.3500000000000005</c:v>
                </c:pt>
                <c:pt idx="147">
                  <c:v>7.4</c:v>
                </c:pt>
                <c:pt idx="148">
                  <c:v>7.45</c:v>
                </c:pt>
                <c:pt idx="149">
                  <c:v>7.5</c:v>
                </c:pt>
              </c:numCache>
            </c:numRef>
          </c:xVal>
          <c:yVal>
            <c:numRef>
              <c:f>Eff_vs_IOUT!$BI$8:$BI$157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4-A180-432B-A347-F5CCD23FB4B3}"/>
            </c:ext>
          </c:extLst>
        </c:ser>
        <c:ser>
          <c:idx val="5"/>
          <c:order val="5"/>
          <c:tx>
            <c:v>D3</c:v>
          </c:tx>
          <c:marker>
            <c:symbol val="none"/>
          </c:marker>
          <c:xVal>
            <c:numRef>
              <c:f>Eff_vs_IOUT!$R$8:$R$157</c:f>
              <c:numCache>
                <c:formatCode>General</c:formatCode>
                <c:ptCount val="150"/>
                <c:pt idx="0">
                  <c:v>0.05</c:v>
                </c:pt>
                <c:pt idx="1">
                  <c:v>0.1</c:v>
                </c:pt>
                <c:pt idx="2">
                  <c:v>0.15000000000000002</c:v>
                </c:pt>
                <c:pt idx="3">
                  <c:v>0.2</c:v>
                </c:pt>
                <c:pt idx="4">
                  <c:v>0.25</c:v>
                </c:pt>
                <c:pt idx="5">
                  <c:v>0.30000000000000004</c:v>
                </c:pt>
                <c:pt idx="6">
                  <c:v>0.35000000000000003</c:v>
                </c:pt>
                <c:pt idx="7">
                  <c:v>0.4</c:v>
                </c:pt>
                <c:pt idx="8">
                  <c:v>0.45</c:v>
                </c:pt>
                <c:pt idx="9">
                  <c:v>0.5</c:v>
                </c:pt>
                <c:pt idx="10">
                  <c:v>0.55000000000000004</c:v>
                </c:pt>
                <c:pt idx="11">
                  <c:v>0.60000000000000009</c:v>
                </c:pt>
                <c:pt idx="12">
                  <c:v>0.65</c:v>
                </c:pt>
                <c:pt idx="13">
                  <c:v>0.70000000000000007</c:v>
                </c:pt>
                <c:pt idx="14">
                  <c:v>0.75</c:v>
                </c:pt>
                <c:pt idx="15">
                  <c:v>0.8</c:v>
                </c:pt>
                <c:pt idx="16">
                  <c:v>0.85000000000000009</c:v>
                </c:pt>
                <c:pt idx="17">
                  <c:v>0.9</c:v>
                </c:pt>
                <c:pt idx="18">
                  <c:v>0.95000000000000007</c:v>
                </c:pt>
                <c:pt idx="19">
                  <c:v>1</c:v>
                </c:pt>
                <c:pt idx="20">
                  <c:v>1.05</c:v>
                </c:pt>
                <c:pt idx="21">
                  <c:v>1.1000000000000001</c:v>
                </c:pt>
                <c:pt idx="22">
                  <c:v>1.1500000000000001</c:v>
                </c:pt>
                <c:pt idx="23">
                  <c:v>1.2000000000000002</c:v>
                </c:pt>
                <c:pt idx="24">
                  <c:v>1.25</c:v>
                </c:pt>
                <c:pt idx="25">
                  <c:v>1.3</c:v>
                </c:pt>
                <c:pt idx="26">
                  <c:v>1.35</c:v>
                </c:pt>
                <c:pt idx="27">
                  <c:v>1.4000000000000001</c:v>
                </c:pt>
                <c:pt idx="28">
                  <c:v>1.4500000000000002</c:v>
                </c:pt>
                <c:pt idx="29">
                  <c:v>1.5</c:v>
                </c:pt>
                <c:pt idx="30">
                  <c:v>1.55</c:v>
                </c:pt>
                <c:pt idx="31">
                  <c:v>1.6</c:v>
                </c:pt>
                <c:pt idx="32">
                  <c:v>1.6500000000000001</c:v>
                </c:pt>
                <c:pt idx="33">
                  <c:v>1.7000000000000002</c:v>
                </c:pt>
                <c:pt idx="34">
                  <c:v>1.75</c:v>
                </c:pt>
                <c:pt idx="35">
                  <c:v>1.8</c:v>
                </c:pt>
                <c:pt idx="36">
                  <c:v>1.85</c:v>
                </c:pt>
                <c:pt idx="37">
                  <c:v>1.9000000000000001</c:v>
                </c:pt>
                <c:pt idx="38">
                  <c:v>1.9500000000000002</c:v>
                </c:pt>
                <c:pt idx="39">
                  <c:v>2</c:v>
                </c:pt>
                <c:pt idx="40">
                  <c:v>2.0500000000000003</c:v>
                </c:pt>
                <c:pt idx="41">
                  <c:v>2.1</c:v>
                </c:pt>
                <c:pt idx="42">
                  <c:v>2.15</c:v>
                </c:pt>
                <c:pt idx="43">
                  <c:v>2.2000000000000002</c:v>
                </c:pt>
                <c:pt idx="44">
                  <c:v>2.25</c:v>
                </c:pt>
                <c:pt idx="45">
                  <c:v>2.3000000000000003</c:v>
                </c:pt>
                <c:pt idx="46">
                  <c:v>2.35</c:v>
                </c:pt>
                <c:pt idx="47">
                  <c:v>2.4000000000000004</c:v>
                </c:pt>
                <c:pt idx="48">
                  <c:v>2.4500000000000002</c:v>
                </c:pt>
                <c:pt idx="49">
                  <c:v>2.5</c:v>
                </c:pt>
                <c:pt idx="50">
                  <c:v>2.5500000000000003</c:v>
                </c:pt>
                <c:pt idx="51">
                  <c:v>2.6</c:v>
                </c:pt>
                <c:pt idx="52">
                  <c:v>2.6500000000000004</c:v>
                </c:pt>
                <c:pt idx="53">
                  <c:v>2.7</c:v>
                </c:pt>
                <c:pt idx="54">
                  <c:v>2.75</c:v>
                </c:pt>
                <c:pt idx="55">
                  <c:v>2.8000000000000003</c:v>
                </c:pt>
                <c:pt idx="56">
                  <c:v>2.85</c:v>
                </c:pt>
                <c:pt idx="57">
                  <c:v>2.9000000000000004</c:v>
                </c:pt>
                <c:pt idx="58">
                  <c:v>2.95</c:v>
                </c:pt>
                <c:pt idx="59">
                  <c:v>3</c:v>
                </c:pt>
                <c:pt idx="60">
                  <c:v>3.0500000000000003</c:v>
                </c:pt>
                <c:pt idx="61">
                  <c:v>3.1</c:v>
                </c:pt>
                <c:pt idx="62">
                  <c:v>3.1500000000000004</c:v>
                </c:pt>
                <c:pt idx="63">
                  <c:v>3.2</c:v>
                </c:pt>
                <c:pt idx="64">
                  <c:v>3.25</c:v>
                </c:pt>
                <c:pt idx="65">
                  <c:v>3.3000000000000003</c:v>
                </c:pt>
                <c:pt idx="66">
                  <c:v>3.35</c:v>
                </c:pt>
                <c:pt idx="67">
                  <c:v>3.4000000000000004</c:v>
                </c:pt>
                <c:pt idx="68">
                  <c:v>3.45</c:v>
                </c:pt>
                <c:pt idx="69">
                  <c:v>3.5</c:v>
                </c:pt>
                <c:pt idx="70">
                  <c:v>3.5500000000000003</c:v>
                </c:pt>
                <c:pt idx="71">
                  <c:v>3.6</c:v>
                </c:pt>
                <c:pt idx="72">
                  <c:v>3.6500000000000004</c:v>
                </c:pt>
                <c:pt idx="73">
                  <c:v>3.7</c:v>
                </c:pt>
                <c:pt idx="74">
                  <c:v>3.75</c:v>
                </c:pt>
                <c:pt idx="75">
                  <c:v>3.8000000000000003</c:v>
                </c:pt>
                <c:pt idx="76">
                  <c:v>3.85</c:v>
                </c:pt>
                <c:pt idx="77">
                  <c:v>3.9000000000000004</c:v>
                </c:pt>
                <c:pt idx="78">
                  <c:v>3.95</c:v>
                </c:pt>
                <c:pt idx="79">
                  <c:v>4</c:v>
                </c:pt>
                <c:pt idx="80">
                  <c:v>4.05</c:v>
                </c:pt>
                <c:pt idx="81">
                  <c:v>4.1000000000000005</c:v>
                </c:pt>
                <c:pt idx="82">
                  <c:v>4.1500000000000004</c:v>
                </c:pt>
                <c:pt idx="83">
                  <c:v>4.2</c:v>
                </c:pt>
                <c:pt idx="84">
                  <c:v>4.25</c:v>
                </c:pt>
                <c:pt idx="85">
                  <c:v>4.3</c:v>
                </c:pt>
                <c:pt idx="86">
                  <c:v>4.3500000000000005</c:v>
                </c:pt>
                <c:pt idx="87">
                  <c:v>4.4000000000000004</c:v>
                </c:pt>
                <c:pt idx="88">
                  <c:v>4.45</c:v>
                </c:pt>
                <c:pt idx="89">
                  <c:v>4.5</c:v>
                </c:pt>
                <c:pt idx="90">
                  <c:v>4.55</c:v>
                </c:pt>
                <c:pt idx="91">
                  <c:v>4.6000000000000005</c:v>
                </c:pt>
                <c:pt idx="92">
                  <c:v>4.6500000000000004</c:v>
                </c:pt>
                <c:pt idx="93">
                  <c:v>4.7</c:v>
                </c:pt>
                <c:pt idx="94">
                  <c:v>4.75</c:v>
                </c:pt>
                <c:pt idx="95">
                  <c:v>4.8000000000000007</c:v>
                </c:pt>
                <c:pt idx="96">
                  <c:v>4.8500000000000005</c:v>
                </c:pt>
                <c:pt idx="97">
                  <c:v>4.9000000000000004</c:v>
                </c:pt>
                <c:pt idx="98">
                  <c:v>4.95</c:v>
                </c:pt>
                <c:pt idx="99">
                  <c:v>5</c:v>
                </c:pt>
                <c:pt idx="100">
                  <c:v>5.0500000000000007</c:v>
                </c:pt>
                <c:pt idx="101">
                  <c:v>5.1000000000000005</c:v>
                </c:pt>
                <c:pt idx="102">
                  <c:v>5.15</c:v>
                </c:pt>
                <c:pt idx="103">
                  <c:v>5.2</c:v>
                </c:pt>
                <c:pt idx="104">
                  <c:v>5.25</c:v>
                </c:pt>
                <c:pt idx="105">
                  <c:v>5.3000000000000007</c:v>
                </c:pt>
                <c:pt idx="106">
                  <c:v>5.3500000000000005</c:v>
                </c:pt>
                <c:pt idx="107">
                  <c:v>5.4</c:v>
                </c:pt>
                <c:pt idx="108">
                  <c:v>5.45</c:v>
                </c:pt>
                <c:pt idx="109">
                  <c:v>5.5</c:v>
                </c:pt>
                <c:pt idx="110">
                  <c:v>5.5500000000000007</c:v>
                </c:pt>
                <c:pt idx="111">
                  <c:v>5.6000000000000005</c:v>
                </c:pt>
                <c:pt idx="112">
                  <c:v>5.65</c:v>
                </c:pt>
                <c:pt idx="113">
                  <c:v>5.7</c:v>
                </c:pt>
                <c:pt idx="114">
                  <c:v>5.75</c:v>
                </c:pt>
                <c:pt idx="115">
                  <c:v>5.8000000000000007</c:v>
                </c:pt>
                <c:pt idx="116">
                  <c:v>5.8500000000000005</c:v>
                </c:pt>
                <c:pt idx="117">
                  <c:v>5.9</c:v>
                </c:pt>
                <c:pt idx="118">
                  <c:v>5.95</c:v>
                </c:pt>
                <c:pt idx="119">
                  <c:v>6</c:v>
                </c:pt>
                <c:pt idx="120">
                  <c:v>6.0500000000000007</c:v>
                </c:pt>
                <c:pt idx="121">
                  <c:v>6.1000000000000005</c:v>
                </c:pt>
                <c:pt idx="122">
                  <c:v>6.15</c:v>
                </c:pt>
                <c:pt idx="123">
                  <c:v>6.2</c:v>
                </c:pt>
                <c:pt idx="124">
                  <c:v>6.25</c:v>
                </c:pt>
                <c:pt idx="125">
                  <c:v>6.3000000000000007</c:v>
                </c:pt>
                <c:pt idx="126">
                  <c:v>6.3500000000000005</c:v>
                </c:pt>
                <c:pt idx="127">
                  <c:v>6.4</c:v>
                </c:pt>
                <c:pt idx="128">
                  <c:v>6.45</c:v>
                </c:pt>
                <c:pt idx="129">
                  <c:v>6.5</c:v>
                </c:pt>
                <c:pt idx="130">
                  <c:v>6.5500000000000007</c:v>
                </c:pt>
                <c:pt idx="131">
                  <c:v>6.6000000000000005</c:v>
                </c:pt>
                <c:pt idx="132">
                  <c:v>6.65</c:v>
                </c:pt>
                <c:pt idx="133">
                  <c:v>6.7</c:v>
                </c:pt>
                <c:pt idx="134">
                  <c:v>6.75</c:v>
                </c:pt>
                <c:pt idx="135">
                  <c:v>6.8000000000000007</c:v>
                </c:pt>
                <c:pt idx="136">
                  <c:v>6.8500000000000005</c:v>
                </c:pt>
                <c:pt idx="137">
                  <c:v>6.9</c:v>
                </c:pt>
                <c:pt idx="138">
                  <c:v>6.95</c:v>
                </c:pt>
                <c:pt idx="139">
                  <c:v>7</c:v>
                </c:pt>
                <c:pt idx="140">
                  <c:v>7.0500000000000007</c:v>
                </c:pt>
                <c:pt idx="141">
                  <c:v>7.1000000000000005</c:v>
                </c:pt>
                <c:pt idx="142">
                  <c:v>7.15</c:v>
                </c:pt>
                <c:pt idx="143">
                  <c:v>7.2</c:v>
                </c:pt>
                <c:pt idx="144">
                  <c:v>7.25</c:v>
                </c:pt>
                <c:pt idx="145">
                  <c:v>7.3000000000000007</c:v>
                </c:pt>
                <c:pt idx="146">
                  <c:v>7.3500000000000005</c:v>
                </c:pt>
                <c:pt idx="147">
                  <c:v>7.4</c:v>
                </c:pt>
                <c:pt idx="148">
                  <c:v>7.45</c:v>
                </c:pt>
                <c:pt idx="149">
                  <c:v>7.5</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A180-432B-A347-F5CCD23FB4B3}"/>
            </c:ext>
          </c:extLst>
        </c:ser>
        <c:dLbls>
          <c:showLegendKey val="0"/>
          <c:showVal val="0"/>
          <c:showCatName val="0"/>
          <c:showSerName val="0"/>
          <c:showPercent val="0"/>
          <c:showBubbleSize val="0"/>
        </c:dLbls>
        <c:axId val="582914816"/>
        <c:axId val="582904448"/>
      </c:scatterChart>
      <c:valAx>
        <c:axId val="582892544"/>
        <c:scaling>
          <c:orientation val="minMax"/>
        </c:scaling>
        <c:delete val="0"/>
        <c:axPos val="b"/>
        <c:majorGridlines/>
        <c:numFmt formatCode="General" sourceLinked="1"/>
        <c:majorTickMark val="out"/>
        <c:minorTickMark val="none"/>
        <c:tickLblPos val="nextTo"/>
        <c:crossAx val="582902528"/>
        <c:crosses val="autoZero"/>
        <c:crossBetween val="midCat"/>
      </c:valAx>
      <c:valAx>
        <c:axId val="58290252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2892544"/>
        <c:crosses val="autoZero"/>
        <c:crossBetween val="midCat"/>
      </c:valAx>
      <c:valAx>
        <c:axId val="58290444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2914816"/>
        <c:crosses val="max"/>
        <c:crossBetween val="midCat"/>
      </c:valAx>
      <c:valAx>
        <c:axId val="582914816"/>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82904448"/>
        <c:crosses val="autoZero"/>
        <c:crossBetween val="midCat"/>
      </c:valAx>
    </c:plotArea>
    <c:legend>
      <c:legendPos val="r"/>
      <c:layout>
        <c:manualLayout>
          <c:xMode val="edge"/>
          <c:yMode val="edge"/>
          <c:x val="0.49723111871774606"/>
          <c:y val="6.4861313959085187E-3"/>
          <c:w val="0.41972466868865133"/>
          <c:h val="0.12461147870492213"/>
        </c:manualLayout>
      </c:layout>
      <c:overlay val="1"/>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Spin" dx="20" fmlaLink="$H$8" max="45" noThreeD="1" page="10" val="15"/>
</file>

<file path=xl/ctrlProps/ctrlProp3.xml><?xml version="1.0" encoding="utf-8"?>
<formControlPr xmlns="http://schemas.microsoft.com/office/spreadsheetml/2009/9/main" objectType="Drop" dropLines="2" dropStyle="combo" dx="20" fmlaLink="Variable_Management!$B$175" fmlaRange="Lists!$I$2:$I$3" noThreeD="1" sel="2" val="0"/>
</file>

<file path=xl/ctrlProps/ctrlProp4.xml><?xml version="1.0" encoding="utf-8"?>
<formControlPr xmlns="http://schemas.microsoft.com/office/spreadsheetml/2009/9/main" objectType="Drop" dropLines="3" dropStyle="combo" dx="20" fmlaLink="Variable_Management!$B$13" fmlaRange="Lists!$L$2:$L$4"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7.gif"/><Relationship Id="rId1" Type="http://schemas.openxmlformats.org/officeDocument/2006/relationships/hyperlink" Target="http://www.ti.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chart" Target="../charts/chart4.xml"/><Relationship Id="rId5" Type="http://schemas.openxmlformats.org/officeDocument/2006/relationships/chart" Target="../charts/chart6.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6.emf"/></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8.emf"/><Relationship Id="rId1" Type="http://schemas.openxmlformats.org/officeDocument/2006/relationships/chart" Target="../charts/chart1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6" Type="http://schemas.openxmlformats.org/officeDocument/2006/relationships/image" Target="../media/image25.emf"/><Relationship Id="rId5" Type="http://schemas.openxmlformats.org/officeDocument/2006/relationships/image" Target="../media/image24.emf"/><Relationship Id="rId4"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114300</xdr:colOff>
          <xdr:row>17</xdr:row>
          <xdr:rowOff>22860</xdr:rowOff>
        </xdr:from>
        <xdr:to>
          <xdr:col>25</xdr:col>
          <xdr:colOff>401955</xdr:colOff>
          <xdr:row>18</xdr:row>
          <xdr:rowOff>167640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17872</xdr:colOff>
          <xdr:row>57</xdr:row>
          <xdr:rowOff>241089</xdr:rowOff>
        </xdr:from>
        <xdr:to>
          <xdr:col>30</xdr:col>
          <xdr:colOff>594018</xdr:colOff>
          <xdr:row>84</xdr:row>
          <xdr:rowOff>170218</xdr:rowOff>
        </xdr:to>
        <xdr:pic>
          <xdr:nvPicPr>
            <xdr:cNvPr id="91" name="Picture 90">
              <a:extLst>
                <a:ext uri="{FF2B5EF4-FFF2-40B4-BE49-F238E27FC236}">
                  <a16:creationId xmlns:a16="http://schemas.microsoft.com/office/drawing/2014/main" id="{00000000-0008-0000-0000-00005B000000}"/>
                </a:ext>
              </a:extLst>
            </xdr:cNvPr>
            <xdr:cNvPicPr>
              <a:picLocks noChangeAspect="1" noChangeArrowheads="1"/>
              <a:extLst>
                <a:ext uri="{84589F7E-364E-4C9E-8A38-B11213B215E9}">
                  <a14:cameraTool cellRange="LoopLookup" spid="_x0000_s1938"/>
                </a:ext>
              </a:extLst>
            </xdr:cNvPicPr>
          </xdr:nvPicPr>
          <xdr:blipFill>
            <a:blip xmlns:r="http://schemas.openxmlformats.org/officeDocument/2006/relationships" r:embed="rId1"/>
            <a:srcRect/>
            <a:stretch>
              <a:fillRect/>
            </a:stretch>
          </xdr:blipFill>
          <xdr:spPr bwMode="auto">
            <a:xfrm>
              <a:off x="5237572" y="12937914"/>
              <a:ext cx="11979476" cy="586891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131952</xdr:colOff>
          <xdr:row>89</xdr:row>
          <xdr:rowOff>282846</xdr:rowOff>
        </xdr:from>
        <xdr:to>
          <xdr:col>30</xdr:col>
          <xdr:colOff>132404</xdr:colOff>
          <xdr:row>119</xdr:row>
          <xdr:rowOff>153490</xdr:rowOff>
        </xdr:to>
        <xdr:pic>
          <xdr:nvPicPr>
            <xdr:cNvPr id="27" name="Picture 8888">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display_eff" spid="_x0000_s1939"/>
                </a:ext>
              </a:extLst>
            </xdr:cNvPicPr>
          </xdr:nvPicPr>
          <xdr:blipFill>
            <a:blip xmlns:r="http://schemas.openxmlformats.org/officeDocument/2006/relationships" r:embed="rId2"/>
            <a:srcRect/>
            <a:stretch>
              <a:fillRect/>
            </a:stretch>
          </xdr:blipFill>
          <xdr:spPr bwMode="auto">
            <a:xfrm>
              <a:off x="5376305" y="19834309"/>
              <a:ext cx="11441658" cy="6199166"/>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7620</xdr:colOff>
          <xdr:row>58</xdr:row>
          <xdr:rowOff>7620</xdr:rowOff>
        </xdr:from>
        <xdr:to>
          <xdr:col>9</xdr:col>
          <xdr:colOff>0</xdr:colOff>
          <xdr:row>59</xdr:row>
          <xdr:rowOff>99060</xdr:rowOff>
        </xdr:to>
        <xdr:sp macro="" textlink="">
          <xdr:nvSpPr>
            <xdr:cNvPr id="1060" name="Spinner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14</xdr:col>
      <xdr:colOff>112060</xdr:colOff>
      <xdr:row>57</xdr:row>
      <xdr:rowOff>125987</xdr:rowOff>
    </xdr:from>
    <xdr:to>
      <xdr:col>16</xdr:col>
      <xdr:colOff>381002</xdr:colOff>
      <xdr:row>59</xdr:row>
      <xdr:rowOff>76044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278472" y="12474869"/>
          <a:ext cx="784412" cy="420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12</xdr:col>
      <xdr:colOff>6735</xdr:colOff>
      <xdr:row>90</xdr:row>
      <xdr:rowOff>145675</xdr:rowOff>
    </xdr:from>
    <xdr:to>
      <xdr:col>13</xdr:col>
      <xdr:colOff>598405</xdr:colOff>
      <xdr:row>93</xdr:row>
      <xdr:rowOff>67234</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6887147" y="19655116"/>
          <a:ext cx="2014817" cy="515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12</xdr:col>
      <xdr:colOff>657935</xdr:colOff>
      <xdr:row>90</xdr:row>
      <xdr:rowOff>145674</xdr:rowOff>
    </xdr:from>
    <xdr:to>
      <xdr:col>13</xdr:col>
      <xdr:colOff>320862</xdr:colOff>
      <xdr:row>93</xdr:row>
      <xdr:rowOff>67234</xdr:rowOff>
    </xdr:to>
    <xdr:sp macro="" textlink="VIN_nom">
      <xdr:nvSpPr>
        <xdr:cNvPr id="10" name="TextBox 9">
          <a:extLst>
            <a:ext uri="{FF2B5EF4-FFF2-40B4-BE49-F238E27FC236}">
              <a16:creationId xmlns:a16="http://schemas.microsoft.com/office/drawing/2014/main" id="{00000000-0008-0000-0000-00000A000000}"/>
            </a:ext>
          </a:extLst>
        </xdr:cNvPr>
        <xdr:cNvSpPr txBox="1"/>
      </xdr:nvSpPr>
      <xdr:spPr>
        <a:xfrm>
          <a:off x="7538347" y="19655115"/>
          <a:ext cx="1086074" cy="515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15</a:t>
          </a:fld>
          <a:endParaRPr lang="en-US" sz="2400"/>
        </a:p>
      </xdr:txBody>
    </xdr:sp>
    <xdr:clientData/>
  </xdr:twoCellAnchor>
  <xdr:twoCellAnchor>
    <xdr:from>
      <xdr:col>12</xdr:col>
      <xdr:colOff>1077104</xdr:colOff>
      <xdr:row>90</xdr:row>
      <xdr:rowOff>145675</xdr:rowOff>
    </xdr:from>
    <xdr:to>
      <xdr:col>13</xdr:col>
      <xdr:colOff>495293</xdr:colOff>
      <xdr:row>93</xdr:row>
      <xdr:rowOff>67234</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7957516" y="19655116"/>
          <a:ext cx="841336" cy="515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p>
      </xdr:txBody>
    </xdr:sp>
    <xdr:clientData/>
  </xdr:twoCellAnchor>
  <mc:AlternateContent xmlns:mc="http://schemas.openxmlformats.org/markup-compatibility/2006">
    <mc:Choice xmlns:a14="http://schemas.microsoft.com/office/drawing/2010/main" Requires="a14">
      <xdr:twoCellAnchor editAs="oneCell">
        <xdr:from>
          <xdr:col>7</xdr:col>
          <xdr:colOff>7620</xdr:colOff>
          <xdr:row>11</xdr:row>
          <xdr:rowOff>0</xdr:rowOff>
        </xdr:from>
        <xdr:to>
          <xdr:col>9</xdr:col>
          <xdr:colOff>19050</xdr:colOff>
          <xdr:row>12</xdr:row>
          <xdr:rowOff>97155</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61602</xdr:colOff>
          <xdr:row>4</xdr:row>
          <xdr:rowOff>179294</xdr:rowOff>
        </xdr:from>
        <xdr:to>
          <xdr:col>30</xdr:col>
          <xdr:colOff>517150</xdr:colOff>
          <xdr:row>36</xdr:row>
          <xdr:rowOff>54684</xdr:rowOff>
        </xdr:to>
        <xdr:pic>
          <xdr:nvPicPr>
            <xdr:cNvPr id="15" name="Picture 14">
              <a:extLst>
                <a:ext uri="{FF2B5EF4-FFF2-40B4-BE49-F238E27FC236}">
                  <a16:creationId xmlns:a16="http://schemas.microsoft.com/office/drawing/2014/main" id="{00000000-0008-0000-0000-00000F000000}"/>
                </a:ext>
              </a:extLst>
            </xdr:cNvPr>
            <xdr:cNvPicPr>
              <a:picLocks noChangeAspect="1"/>
              <a:extLst>
                <a:ext uri="{84589F7E-364E-4C9E-8A38-B11213B215E9}">
                  <a14:cameraTool cellRange="display_Sch" spid="_x0000_s1940"/>
                </a:ext>
              </a:extLst>
            </xdr:cNvPicPr>
          </xdr:nvPicPr>
          <xdr:blipFill rotWithShape="1">
            <a:blip xmlns:r="http://schemas.openxmlformats.org/officeDocument/2006/relationships" r:embed="rId3"/>
            <a:srcRect/>
            <a:stretch>
              <a:fillRect/>
            </a:stretch>
          </xdr:blipFill>
          <xdr:spPr>
            <a:xfrm>
              <a:off x="9485749" y="1333500"/>
              <a:ext cx="7726485" cy="6740001"/>
            </a:xfrm>
            <a:prstGeom prst="rect">
              <a:avLst/>
            </a:prstGeom>
          </xdr:spPr>
        </xdr:pic>
        <xdr:clientData/>
      </xdr:twoCellAnchor>
    </mc:Choice>
    <mc:Fallback/>
  </mc:AlternateContent>
  <xdr:twoCellAnchor>
    <xdr:from>
      <xdr:col>16</xdr:col>
      <xdr:colOff>205633</xdr:colOff>
      <xdr:row>57</xdr:row>
      <xdr:rowOff>140414</xdr:rowOff>
    </xdr:from>
    <xdr:to>
      <xdr:col>18</xdr:col>
      <xdr:colOff>285750</xdr:colOff>
      <xdr:row>59</xdr:row>
      <xdr:rowOff>64839</xdr:rowOff>
    </xdr:to>
    <xdr:sp macro="" textlink="VIN_nom">
      <xdr:nvSpPr>
        <xdr:cNvPr id="3" name="TextBox 2">
          <a:extLst>
            <a:ext uri="{FF2B5EF4-FFF2-40B4-BE49-F238E27FC236}">
              <a16:creationId xmlns:a16="http://schemas.microsoft.com/office/drawing/2014/main" id="{00000000-0008-0000-0000-000003000000}"/>
            </a:ext>
          </a:extLst>
        </xdr:cNvPr>
        <xdr:cNvSpPr txBox="1"/>
      </xdr:nvSpPr>
      <xdr:spPr>
        <a:xfrm>
          <a:off x="9854458" y="12589589"/>
          <a:ext cx="689717" cy="40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15</a:t>
          </a:fld>
          <a:endParaRPr lang="en-US" sz="2400"/>
        </a:p>
      </xdr:txBody>
    </xdr:sp>
    <xdr:clientData/>
  </xdr:twoCellAnchor>
  <mc:AlternateContent xmlns:mc="http://schemas.openxmlformats.org/markup-compatibility/2006">
    <mc:Choice xmlns:a14="http://schemas.microsoft.com/office/drawing/2010/main" Requires="a14">
      <xdr:twoCellAnchor editAs="oneCell">
        <xdr:from>
          <xdr:col>7</xdr:col>
          <xdr:colOff>7620</xdr:colOff>
          <xdr:row>9</xdr:row>
          <xdr:rowOff>30480</xdr:rowOff>
        </xdr:from>
        <xdr:to>
          <xdr:col>9</xdr:col>
          <xdr:colOff>0</xdr:colOff>
          <xdr:row>10</xdr:row>
          <xdr:rowOff>59055</xdr:rowOff>
        </xdr:to>
        <xdr:sp macro="" textlink="">
          <xdr:nvSpPr>
            <xdr:cNvPr id="1157" name="Drop Dow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19</xdr:col>
      <xdr:colOff>0</xdr:colOff>
      <xdr:row>47</xdr:row>
      <xdr:rowOff>0</xdr:rowOff>
    </xdr:from>
    <xdr:to>
      <xdr:col>41</xdr:col>
      <xdr:colOff>436245</xdr:colOff>
      <xdr:row>73</xdr:row>
      <xdr:rowOff>97734</xdr:rowOff>
    </xdr:to>
    <xdr:sp macro="" textlink="">
      <xdr:nvSpPr>
        <xdr:cNvPr id="1296" name="AutoShape 272">
          <a:extLst>
            <a:ext uri="{FF2B5EF4-FFF2-40B4-BE49-F238E27FC236}">
              <a16:creationId xmlns:a16="http://schemas.microsoft.com/office/drawing/2014/main" id="{00000000-0008-0000-0000-000010050000}"/>
            </a:ext>
          </a:extLst>
        </xdr:cNvPr>
        <xdr:cNvSpPr>
          <a:spLocks noChangeAspect="1" noChangeArrowheads="1"/>
        </xdr:cNvSpPr>
      </xdr:nvSpPr>
      <xdr:spPr bwMode="auto">
        <a:xfrm>
          <a:off x="11325225" y="14592300"/>
          <a:ext cx="11887200" cy="5857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126980</xdr:colOff>
      <xdr:row>57</xdr:row>
      <xdr:rowOff>142186</xdr:rowOff>
    </xdr:from>
    <xdr:to>
      <xdr:col>18</xdr:col>
      <xdr:colOff>389655</xdr:colOff>
      <xdr:row>59</xdr:row>
      <xdr:rowOff>56993</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385405" y="12591361"/>
          <a:ext cx="262675" cy="3910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algn="l"/>
          <a:r>
            <a:rPr lang="en-US" sz="2400"/>
            <a:t>V</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6713220</xdr:colOff>
          <xdr:row>5</xdr:row>
          <xdr:rowOff>4732020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6713220</xdr:colOff>
          <xdr:row>5</xdr:row>
          <xdr:rowOff>4732020</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6713220</xdr:colOff>
          <xdr:row>5</xdr:row>
          <xdr:rowOff>4732020</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6469380</xdr:colOff>
          <xdr:row>3</xdr:row>
          <xdr:rowOff>4442460</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6469380</xdr:colOff>
          <xdr:row>3</xdr:row>
          <xdr:rowOff>4442460</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6469380</xdr:colOff>
          <xdr:row>3</xdr:row>
          <xdr:rowOff>4442460</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592455</xdr:colOff>
      <xdr:row>2</xdr:row>
      <xdr:rowOff>83771</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06955" cy="30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91452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3</xdr:col>
      <xdr:colOff>323850</xdr:colOff>
      <xdr:row>1</xdr:row>
      <xdr:rowOff>28575</xdr:rowOff>
    </xdr:from>
    <xdr:ext cx="4719497" cy="254557"/>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6419850" y="209550"/>
          <a:ext cx="47194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 Copyright 2021</a:t>
          </a:r>
          <a:r>
            <a:rPr lang="en-US" sz="1100" b="0" i="0">
              <a:solidFill>
                <a:schemeClr val="tx1"/>
              </a:solidFill>
              <a:effectLst/>
              <a:latin typeface="Arial" panose="020B0604020202020204" pitchFamily="34" charset="0"/>
              <a:ea typeface="+mn-ea"/>
              <a:cs typeface="Arial" panose="020B0604020202020204" pitchFamily="34" charset="0"/>
            </a:rPr>
            <a:t>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086227"/>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5247" y="1114423"/>
          <a:ext cx="11229977" cy="40862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latin typeface="Arial" panose="020B0604020202020204" pitchFamily="34" charset="0"/>
              <a:cs typeface="Arial" panose="020B0604020202020204" pitchFamily="34" charset="0"/>
            </a:rPr>
            <a:t>LICENSE INFORMATION:</a:t>
          </a:r>
        </a:p>
        <a:p>
          <a:r>
            <a:rPr lang="en-US" sz="900">
              <a:solidFill>
                <a:schemeClr val="tx1"/>
              </a:solidFill>
              <a:effectLst/>
              <a:latin typeface="Arial" panose="020B0604020202020204" pitchFamily="34" charset="0"/>
              <a:ea typeface="+mn-ea"/>
              <a:cs typeface="Arial" panose="020B0604020202020204" pitchFamily="34" charset="0"/>
            </a:rPr>
            <a:t>Copyright (c) 2021 Texas Instruments Incorporated</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All rights reserved not granted herein.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Limited License.  </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r>
            <a:rPr lang="en-US" sz="900">
              <a:solidFill>
                <a:schemeClr val="tx1"/>
              </a:solidFill>
              <a:effectLst/>
              <a:latin typeface="Arial" panose="020B0604020202020204" pitchFamily="34" charset="0"/>
              <a:ea typeface="+mn-ea"/>
              <a:cs typeface="Arial" panose="020B0604020202020204" pitchFamily="34" charset="0"/>
            </a:rPr>
            <a:t>*	Any redistribution and use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lang="en-US" sz="1000" b="1">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latin typeface="Arial" panose="020B0604020202020204" pitchFamily="34" charset="0"/>
              <a:cs typeface="Arial" panose="020B0604020202020204" pitchFamily="34" charset="0"/>
            </a:rPr>
            <a:t>DISCLAMER:</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Arial" panose="020B0604020202020204" pitchFamily="34" charset="0"/>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oneCellAnchor>
    <xdr:from>
      <xdr:col>0</xdr:col>
      <xdr:colOff>95247</xdr:colOff>
      <xdr:row>29</xdr:row>
      <xdr:rowOff>47623</xdr:rowOff>
    </xdr:from>
    <xdr:ext cx="11229977" cy="809627"/>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95247" y="5276848"/>
          <a:ext cx="11229977" cy="80962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pPr eaLnBrk="1" fontAlgn="auto" latinLnBrk="0" hangingPunct="1"/>
          <a:r>
            <a:rPr lang="en-US" sz="1100" baseline="0">
              <a:solidFill>
                <a:schemeClr val="tx1"/>
              </a:solidFill>
              <a:effectLst/>
              <a:latin typeface="+mn-lt"/>
              <a:ea typeface="+mn-ea"/>
              <a:cs typeface="+mn-cs"/>
            </a:rPr>
            <a:t>2.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twoCellAnchor editAs="oneCell">
    <xdr:from>
      <xdr:col>0</xdr:col>
      <xdr:colOff>0</xdr:colOff>
      <xdr:row>0</xdr:row>
      <xdr:rowOff>152400</xdr:rowOff>
    </xdr:from>
    <xdr:to>
      <xdr:col>1</xdr:col>
      <xdr:colOff>592455</xdr:colOff>
      <xdr:row>2</xdr:row>
      <xdr:rowOff>93296</xdr:rowOff>
    </xdr:to>
    <xdr:pic>
      <xdr:nvPicPr>
        <xdr:cNvPr id="7" name="Picture 6" descr="ti logo">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06955" cy="30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914525" y="114300"/>
          <a:ext cx="3752850" cy="381708"/>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Arial Black" panose="020B0A04020102020204" pitchFamily="34" charset="0"/>
              <a:ea typeface="+mn-ea"/>
              <a:cs typeface="+mn-cs"/>
            </a:rPr>
            <a:t>About this tool...</a:t>
          </a:r>
        </a:p>
      </xdr:txBody>
    </xdr:sp>
    <xdr:clientData/>
  </xdr:oneCellAnchor>
  <xdr:oneCellAnchor>
    <xdr:from>
      <xdr:col>3</xdr:col>
      <xdr:colOff>323850</xdr:colOff>
      <xdr:row>1</xdr:row>
      <xdr:rowOff>28575</xdr:rowOff>
    </xdr:from>
    <xdr:ext cx="4719497" cy="254557"/>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100-000009000000}"/>
            </a:ext>
          </a:extLst>
        </xdr:cNvPr>
        <xdr:cNvSpPr txBox="1"/>
      </xdr:nvSpPr>
      <xdr:spPr>
        <a:xfrm>
          <a:off x="6419850" y="209550"/>
          <a:ext cx="4719497" cy="25455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hlinkClick xmlns:r="http://schemas.openxmlformats.org/officeDocument/2006/relationships" r:id=""/>
            </a:rPr>
            <a:t>© Copyright 2021</a:t>
          </a: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Texas Instruments Incorporated. All rights reserved.</a:t>
          </a:r>
        </a:p>
      </xdr:txBody>
    </xdr:sp>
    <xdr:clientData/>
  </xdr:oneCellAnchor>
  <xdr:oneCellAnchor>
    <xdr:from>
      <xdr:col>0</xdr:col>
      <xdr:colOff>95247</xdr:colOff>
      <xdr:row>6</xdr:row>
      <xdr:rowOff>47623</xdr:rowOff>
    </xdr:from>
    <xdr:ext cx="11229977" cy="4086227"/>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95247" y="1114423"/>
          <a:ext cx="11229977" cy="4086227"/>
        </a:xfrm>
        <a:prstGeom prst="rect">
          <a:avLst/>
        </a:prstGeom>
        <a:solidFill>
          <a:sysClr val="window" lastClr="FFFFFF">
            <a:lumMod val="85000"/>
          </a:sys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LICENSE INFORMATION: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Copyright (c) 2021 Texas Instruments Incorporated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All rights reserved not granted herein.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Limited License.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Any redistribution and use are licensed by TI for use only with TI Devices.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kumimoji="0" lang="en-U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DISCLAMER: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oneCellAnchor>
    <xdr:from>
      <xdr:col>0</xdr:col>
      <xdr:colOff>95247</xdr:colOff>
      <xdr:row>29</xdr:row>
      <xdr:rowOff>47623</xdr:rowOff>
    </xdr:from>
    <xdr:ext cx="11229977" cy="809627"/>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95247" y="5276848"/>
          <a:ext cx="11229977" cy="809627"/>
        </a:xfrm>
        <a:prstGeom prst="rect">
          <a:avLst/>
        </a:prstGeom>
        <a:solidFill>
          <a:sysClr val="window" lastClr="FFFFFF">
            <a:lumMod val="95000"/>
          </a:sys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IMPORTANT:   </a:t>
          </a: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Do not delete this worksheet!</a:t>
          </a: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Redistributions must retain the above copyright and the following disclaimer.</a:t>
          </a: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xdr:colOff>
          <xdr:row>129</xdr:row>
          <xdr:rowOff>137160</xdr:rowOff>
        </xdr:from>
        <xdr:to>
          <xdr:col>13</xdr:col>
          <xdr:colOff>160020</xdr:colOff>
          <xdr:row>132</xdr:row>
          <xdr:rowOff>22860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xdr:col>
      <xdr:colOff>842683</xdr:colOff>
      <xdr:row>242</xdr:row>
      <xdr:rowOff>17930</xdr:rowOff>
    </xdr:from>
    <xdr:to>
      <xdr:col>14</xdr:col>
      <xdr:colOff>475130</xdr:colOff>
      <xdr:row>250</xdr:row>
      <xdr:rowOff>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9798424" y="23523389"/>
          <a:ext cx="3541059" cy="1335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Loop</a:t>
          </a:r>
          <a:r>
            <a:rPr lang="en-US" sz="1100" baseline="0"/>
            <a:t> compensation is calculated for the minimum input voltage. This ensure stability over the input votlage range</a:t>
          </a:r>
          <a:endParaRPr lang="en-US" sz="1100"/>
        </a:p>
      </xdr:txBody>
    </xdr:sp>
    <xdr:clientData/>
  </xdr:twoCellAnchor>
  <xdr:twoCellAnchor editAs="oneCell">
    <xdr:from>
      <xdr:col>8</xdr:col>
      <xdr:colOff>842683</xdr:colOff>
      <xdr:row>50</xdr:row>
      <xdr:rowOff>62753</xdr:rowOff>
    </xdr:from>
    <xdr:to>
      <xdr:col>12</xdr:col>
      <xdr:colOff>447547</xdr:colOff>
      <xdr:row>53</xdr:row>
      <xdr:rowOff>88800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798424" y="6553200"/>
          <a:ext cx="2392888" cy="563929"/>
        </a:xfrm>
        <a:prstGeom prst="rect">
          <a:avLst/>
        </a:prstGeom>
      </xdr:spPr>
    </xdr:pic>
    <xdr:clientData/>
  </xdr:twoCellAnchor>
  <xdr:twoCellAnchor editAs="oneCell">
    <xdr:from>
      <xdr:col>9</xdr:col>
      <xdr:colOff>0</xdr:colOff>
      <xdr:row>62</xdr:row>
      <xdr:rowOff>0</xdr:rowOff>
    </xdr:from>
    <xdr:to>
      <xdr:col>14</xdr:col>
      <xdr:colOff>721</xdr:colOff>
      <xdr:row>66</xdr:row>
      <xdr:rowOff>31893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9816353" y="7395882"/>
          <a:ext cx="3147333" cy="7849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252153</xdr:colOff>
      <xdr:row>49</xdr:row>
      <xdr:rowOff>50916</xdr:rowOff>
    </xdr:from>
    <xdr:to>
      <xdr:col>38</xdr:col>
      <xdr:colOff>290945</xdr:colOff>
      <xdr:row>73</xdr:row>
      <xdr:rowOff>24247</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1036494</xdr:colOff>
      <xdr:row>20</xdr:row>
      <xdr:rowOff>65809</xdr:rowOff>
    </xdr:from>
    <xdr:to>
      <xdr:col>33</xdr:col>
      <xdr:colOff>315191</xdr:colOff>
      <xdr:row>49</xdr:row>
      <xdr:rowOff>1</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32</xdr:col>
      <xdr:colOff>186690</xdr:colOff>
      <xdr:row>39</xdr:row>
      <xdr:rowOff>167640</xdr:rowOff>
    </xdr:from>
    <xdr:to>
      <xdr:col>34</xdr:col>
      <xdr:colOff>515247</xdr:colOff>
      <xdr:row>45</xdr:row>
      <xdr:rowOff>69934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21541740" y="5482590"/>
          <a:ext cx="1840230" cy="1045293"/>
        </a:xfrm>
        <a:prstGeom prst="rect">
          <a:avLst/>
        </a:prstGeom>
      </xdr:spPr>
    </xdr:pic>
    <xdr:clientData/>
  </xdr:twoCellAnchor>
  <xdr:twoCellAnchor editAs="oneCell">
    <xdr:from>
      <xdr:col>34</xdr:col>
      <xdr:colOff>247650</xdr:colOff>
      <xdr:row>40</xdr:row>
      <xdr:rowOff>60960</xdr:rowOff>
    </xdr:from>
    <xdr:to>
      <xdr:col>38</xdr:col>
      <xdr:colOff>567929</xdr:colOff>
      <xdr:row>44</xdr:row>
      <xdr:rowOff>129612</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23888700" y="5566410"/>
          <a:ext cx="2758679" cy="830649"/>
        </a:xfrm>
        <a:prstGeom prst="rect">
          <a:avLst/>
        </a:prstGeom>
      </xdr:spPr>
    </xdr:pic>
    <xdr:clientData/>
  </xdr:twoCellAnchor>
  <xdr:twoCellAnchor>
    <xdr:from>
      <xdr:col>31</xdr:col>
      <xdr:colOff>30480</xdr:colOff>
      <xdr:row>49</xdr:row>
      <xdr:rowOff>64770</xdr:rowOff>
    </xdr:from>
    <xdr:to>
      <xdr:col>42</xdr:col>
      <xdr:colOff>144780</xdr:colOff>
      <xdr:row>73</xdr:row>
      <xdr:rowOff>38100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7620</xdr:colOff>
      <xdr:row>21</xdr:row>
      <xdr:rowOff>121920</xdr:rowOff>
    </xdr:from>
    <xdr:to>
      <xdr:col>26</xdr:col>
      <xdr:colOff>45720</xdr:colOff>
      <xdr:row>45</xdr:row>
      <xdr:rowOff>80010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147917</xdr:rowOff>
    </xdr:from>
    <xdr:to>
      <xdr:col>13</xdr:col>
      <xdr:colOff>397584</xdr:colOff>
      <xdr:row>49</xdr:row>
      <xdr:rowOff>125762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13</xdr:col>
      <xdr:colOff>397584</xdr:colOff>
      <xdr:row>79</xdr:row>
      <xdr:rowOff>157954</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82</xdr:row>
      <xdr:rowOff>0</xdr:rowOff>
    </xdr:from>
    <xdr:to>
      <xdr:col>13</xdr:col>
      <xdr:colOff>397584</xdr:colOff>
      <xdr:row>108</xdr:row>
      <xdr:rowOff>157953</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548640</xdr:colOff>
      <xdr:row>10</xdr:row>
      <xdr:rowOff>0</xdr:rowOff>
    </xdr:from>
    <xdr:to>
      <xdr:col>12</xdr:col>
      <xdr:colOff>449580</xdr:colOff>
      <xdr:row>12</xdr:row>
      <xdr:rowOff>123546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269480" y="1638300"/>
          <a:ext cx="2948940" cy="489306"/>
        </a:xfrm>
        <a:prstGeom prst="rect">
          <a:avLst/>
        </a:prstGeom>
      </xdr:spPr>
    </xdr:pic>
    <xdr:clientData/>
  </xdr:twoCellAnchor>
  <xdr:twoCellAnchor editAs="oneCell">
    <xdr:from>
      <xdr:col>8</xdr:col>
      <xdr:colOff>7620</xdr:colOff>
      <xdr:row>14</xdr:row>
      <xdr:rowOff>132742</xdr:rowOff>
    </xdr:from>
    <xdr:to>
      <xdr:col>13</xdr:col>
      <xdr:colOff>350520</xdr:colOff>
      <xdr:row>18</xdr:row>
      <xdr:rowOff>76286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7338060" y="2502562"/>
          <a:ext cx="3390900" cy="675064"/>
        </a:xfrm>
        <a:prstGeom prst="rect">
          <a:avLst/>
        </a:prstGeom>
      </xdr:spPr>
    </xdr:pic>
    <xdr:clientData/>
  </xdr:twoCellAnchor>
  <xdr:twoCellAnchor editAs="oneCell">
    <xdr:from>
      <xdr:col>9</xdr:col>
      <xdr:colOff>129540</xdr:colOff>
      <xdr:row>24</xdr:row>
      <xdr:rowOff>0</xdr:rowOff>
    </xdr:from>
    <xdr:to>
      <xdr:col>13</xdr:col>
      <xdr:colOff>76200</xdr:colOff>
      <xdr:row>32</xdr:row>
      <xdr:rowOff>45369</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69580" y="4198620"/>
          <a:ext cx="2385060" cy="152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625927</xdr:colOff>
      <xdr:row>2</xdr:row>
      <xdr:rowOff>0</xdr:rowOff>
    </xdr:from>
    <xdr:to>
      <xdr:col>2</xdr:col>
      <xdr:colOff>9701892</xdr:colOff>
      <xdr:row>3</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31103</xdr:colOff>
      <xdr:row>5</xdr:row>
      <xdr:rowOff>23328</xdr:rowOff>
    </xdr:from>
    <xdr:to>
      <xdr:col>3</xdr:col>
      <xdr:colOff>0</xdr:colOff>
      <xdr:row>5</xdr:row>
      <xdr:rowOff>4803322</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625927</xdr:colOff>
      <xdr:row>8</xdr:row>
      <xdr:rowOff>0</xdr:rowOff>
    </xdr:from>
    <xdr:to>
      <xdr:col>2</xdr:col>
      <xdr:colOff>9701893</xdr:colOff>
      <xdr:row>8</xdr:row>
      <xdr:rowOff>4789714</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absolute">
        <xdr:from>
          <xdr:col>9</xdr:col>
          <xdr:colOff>0</xdr:colOff>
          <xdr:row>2</xdr:row>
          <xdr:rowOff>0</xdr:rowOff>
        </xdr:from>
        <xdr:to>
          <xdr:col>27</xdr:col>
          <xdr:colOff>311243</xdr:colOff>
          <xdr:row>5</xdr:row>
          <xdr:rowOff>681746</xdr:rowOff>
        </xdr:to>
        <xdr:pic>
          <xdr:nvPicPr>
            <xdr:cNvPr id="7" name="Picture 8888">
              <a:extLst>
                <a:ext uri="{FF2B5EF4-FFF2-40B4-BE49-F238E27FC236}">
                  <a16:creationId xmlns:a16="http://schemas.microsoft.com/office/drawing/2014/main" id="{00000000-0008-0000-0700-000007000000}"/>
                </a:ext>
              </a:extLst>
            </xdr:cNvPr>
            <xdr:cNvPicPr>
              <a:picLocks noChangeAspect="1" noChangeArrowheads="1"/>
              <a:extLst>
                <a:ext uri="{84589F7E-364E-4C9E-8A38-B11213B215E9}">
                  <a14:cameraTool cellRange="display_eff" spid="_x0000_s16559"/>
                </a:ext>
              </a:extLst>
            </xdr:cNvPicPr>
          </xdr:nvPicPr>
          <xdr:blipFill>
            <a:blip xmlns:r="http://schemas.openxmlformats.org/officeDocument/2006/relationships" r:embed="rId4"/>
            <a:srcRect/>
            <a:stretch>
              <a:fillRect/>
            </a:stretch>
          </xdr:blipFill>
          <xdr:spPr bwMode="auto">
            <a:xfrm>
              <a:off x="15543244" y="365449"/>
              <a:ext cx="12067815" cy="5875787"/>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281750</xdr:colOff>
      <xdr:row>1</xdr:row>
      <xdr:rowOff>134469</xdr:rowOff>
    </xdr:from>
    <xdr:to>
      <xdr:col>1</xdr:col>
      <xdr:colOff>10245380</xdr:colOff>
      <xdr:row>2</xdr:row>
      <xdr:rowOff>4738487</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76840</xdr:colOff>
          <xdr:row>2</xdr:row>
          <xdr:rowOff>384202</xdr:rowOff>
        </xdr:from>
        <xdr:to>
          <xdr:col>12</xdr:col>
          <xdr:colOff>593884</xdr:colOff>
          <xdr:row>2</xdr:row>
          <xdr:rowOff>2971159</xdr:rowOff>
        </xdr:to>
        <xdr:pic>
          <xdr:nvPicPr>
            <xdr:cNvPr id="6" name="Picture 5">
              <a:extLst>
                <a:ext uri="{FF2B5EF4-FFF2-40B4-BE49-F238E27FC236}">
                  <a16:creationId xmlns:a16="http://schemas.microsoft.com/office/drawing/2014/main" id="{00000000-0008-0000-0900-000006000000}"/>
                </a:ext>
              </a:extLst>
            </xdr:cNvPr>
            <xdr:cNvPicPr>
              <a:picLocks noChangeAspect="1" noChangeArrowheads="1"/>
              <a:extLst>
                <a:ext uri="{84589F7E-364E-4C9E-8A38-B11213B215E9}">
                  <a14:cameraTool cellRange="LoopLookup" spid="_x0000_s18613"/>
                </a:ext>
              </a:extLst>
            </xdr:cNvPicPr>
          </xdr:nvPicPr>
          <xdr:blipFill>
            <a:blip xmlns:r="http://schemas.openxmlformats.org/officeDocument/2006/relationships" r:embed="rId2"/>
            <a:srcRect/>
            <a:stretch>
              <a:fillRect/>
            </a:stretch>
          </xdr:blipFill>
          <xdr:spPr bwMode="auto">
            <a:xfrm>
              <a:off x="13690386" y="749194"/>
              <a:ext cx="6164809" cy="258695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3</xdr:row>
      <xdr:rowOff>0</xdr:rowOff>
    </xdr:from>
    <xdr:to>
      <xdr:col>1</xdr:col>
      <xdr:colOff>10808874</xdr:colOff>
      <xdr:row>3</xdr:row>
      <xdr:rowOff>4386303</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8" Type="http://schemas.openxmlformats.org/officeDocument/2006/relationships/package" Target="../embeddings/Microsoft_Visio_Drawing2.vsdx"/><Relationship Id="rId13" Type="http://schemas.openxmlformats.org/officeDocument/2006/relationships/image" Target="../media/image24.emf"/><Relationship Id="rId3" Type="http://schemas.openxmlformats.org/officeDocument/2006/relationships/vmlDrawing" Target="../drawings/vmlDrawing8.vml"/><Relationship Id="rId7" Type="http://schemas.openxmlformats.org/officeDocument/2006/relationships/image" Target="../media/image21.emf"/><Relationship Id="rId12" Type="http://schemas.openxmlformats.org/officeDocument/2006/relationships/package" Target="../embeddings/Microsoft_Visio_Drawing4.vsdx"/><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package" Target="../embeddings/Microsoft_Visio_Drawing1.vsdx"/><Relationship Id="rId11" Type="http://schemas.openxmlformats.org/officeDocument/2006/relationships/image" Target="../media/image23.emf"/><Relationship Id="rId5" Type="http://schemas.openxmlformats.org/officeDocument/2006/relationships/image" Target="../media/image20.emf"/><Relationship Id="rId15" Type="http://schemas.openxmlformats.org/officeDocument/2006/relationships/image" Target="../media/image25.emf"/><Relationship Id="rId10" Type="http://schemas.openxmlformats.org/officeDocument/2006/relationships/package" Target="../embeddings/Microsoft_Visio_Drawing3.vsdx"/><Relationship Id="rId4" Type="http://schemas.openxmlformats.org/officeDocument/2006/relationships/package" Target="../embeddings/Microsoft_Visio_Drawing.vsdx"/><Relationship Id="rId9" Type="http://schemas.openxmlformats.org/officeDocument/2006/relationships/image" Target="../media/image22.emf"/><Relationship Id="rId14" Type="http://schemas.openxmlformats.org/officeDocument/2006/relationships/package" Target="../embeddings/Microsoft_Visio_Drawing5.vsd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F123"/>
  <sheetViews>
    <sheetView tabSelected="1" topLeftCell="C1" zoomScale="90" zoomScaleNormal="90" workbookViewId="0">
      <selection activeCell="H35" sqref="H35"/>
    </sheetView>
  </sheetViews>
  <sheetFormatPr defaultColWidth="8.88671875" defaultRowHeight="14.4" x14ac:dyDescent="0.3"/>
  <cols>
    <col min="1" max="6" width="8.88671875" style="103" customWidth="1"/>
    <col min="7" max="7" width="8.88671875" style="157" customWidth="1"/>
    <col min="8" max="8" width="12" style="103" bestFit="1" customWidth="1"/>
    <col min="9" max="9" width="4.33203125" style="103" customWidth="1"/>
    <col min="10" max="10" width="2.6640625" style="103" customWidth="1"/>
    <col min="11" max="11" width="6" style="103" customWidth="1"/>
    <col min="12" max="12" width="15.88671875" style="103" customWidth="1"/>
    <col min="13" max="13" width="21.33203125" style="103" customWidth="1"/>
    <col min="14" max="14" width="12.88671875" style="103" customWidth="1"/>
    <col min="15" max="16" width="3.88671875" style="103" customWidth="1"/>
    <col min="17" max="17" width="6.109375" style="103" customWidth="1"/>
    <col min="18" max="18" width="3" style="103" customWidth="1"/>
    <col min="19" max="19" width="14.33203125" style="103" customWidth="1"/>
    <col min="20" max="20" width="14.109375" style="103" customWidth="1"/>
    <col min="21" max="21" width="4.109375" style="103" customWidth="1"/>
    <col min="22" max="22" width="9.6640625" style="103" customWidth="1"/>
    <col min="23" max="23" width="4.6640625" style="103" customWidth="1"/>
    <col min="24" max="24" width="3" style="107" customWidth="1"/>
    <col min="25" max="25" width="7.33203125" style="103" hidden="1" customWidth="1"/>
    <col min="26" max="26" width="7.33203125" style="103" customWidth="1"/>
    <col min="27" max="27" width="13.6640625" style="103" customWidth="1"/>
    <col min="28" max="28" width="10.88671875" style="103" customWidth="1"/>
    <col min="29" max="29" width="4.88671875" style="103" customWidth="1"/>
    <col min="30" max="31" width="8.88671875" style="103" customWidth="1"/>
    <col min="32" max="32" width="1.6640625" style="158" customWidth="1"/>
    <col min="33" max="16384" width="8.88671875" style="103"/>
  </cols>
  <sheetData>
    <row r="1" spans="1:32" ht="46.95" customHeight="1" x14ac:dyDescent="0.3">
      <c r="A1" s="98"/>
      <c r="B1" s="98"/>
      <c r="C1" s="98"/>
      <c r="D1" s="98"/>
      <c r="E1" s="99" t="s">
        <v>670</v>
      </c>
      <c r="F1" s="98"/>
      <c r="G1" s="100"/>
      <c r="H1" s="98"/>
      <c r="I1" s="98"/>
      <c r="J1" s="98"/>
      <c r="K1" s="98"/>
      <c r="L1" s="98"/>
      <c r="M1" s="98"/>
      <c r="N1" s="98"/>
      <c r="O1" s="98"/>
      <c r="P1" s="98"/>
      <c r="Q1" s="98"/>
      <c r="R1" s="98"/>
      <c r="S1" s="98"/>
      <c r="T1" s="98"/>
      <c r="U1" s="98"/>
      <c r="V1" s="98"/>
      <c r="W1" s="98"/>
      <c r="X1" s="101"/>
      <c r="Y1" s="98"/>
      <c r="Z1" s="98"/>
      <c r="AA1" s="98"/>
      <c r="AB1" s="98"/>
      <c r="AC1" s="98"/>
      <c r="AD1" s="98"/>
      <c r="AE1" s="98"/>
      <c r="AF1" s="102"/>
    </row>
    <row r="2" spans="1:32" s="107" customFormat="1" x14ac:dyDescent="0.3">
      <c r="A2" s="104"/>
      <c r="B2" s="104"/>
      <c r="C2" s="104"/>
      <c r="D2" s="104"/>
      <c r="E2" s="104"/>
      <c r="F2" s="104"/>
      <c r="G2" s="105"/>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6"/>
    </row>
    <row r="3" spans="1:32" s="107" customFormat="1" x14ac:dyDescent="0.3">
      <c r="A3" s="108" t="s">
        <v>1</v>
      </c>
      <c r="B3" s="104"/>
      <c r="C3" s="104"/>
      <c r="D3" s="104"/>
      <c r="E3" s="109"/>
      <c r="F3" s="110" t="s">
        <v>2</v>
      </c>
      <c r="G3" s="105"/>
      <c r="H3" s="104"/>
      <c r="I3" s="104"/>
      <c r="J3" s="104"/>
      <c r="K3" s="104"/>
      <c r="L3" s="104"/>
      <c r="M3" s="104"/>
      <c r="N3" s="104"/>
      <c r="O3" s="104"/>
      <c r="P3" s="277" t="s">
        <v>0</v>
      </c>
      <c r="Q3" s="277"/>
      <c r="R3" s="277"/>
      <c r="S3" s="104"/>
      <c r="T3" s="104"/>
      <c r="U3" s="104"/>
      <c r="V3" s="104"/>
      <c r="W3" s="104"/>
      <c r="X3" s="104"/>
      <c r="Y3" s="104"/>
      <c r="Z3" s="104"/>
      <c r="AA3" s="104"/>
      <c r="AB3" s="104"/>
      <c r="AC3" s="104"/>
      <c r="AD3" s="104"/>
      <c r="AE3" s="104"/>
      <c r="AF3" s="106"/>
    </row>
    <row r="4" spans="1:32" s="114" customFormat="1" x14ac:dyDescent="0.3">
      <c r="A4" s="111"/>
      <c r="B4" s="111"/>
      <c r="C4" s="111"/>
      <c r="D4" s="111"/>
      <c r="E4" s="111"/>
      <c r="F4" s="111"/>
      <c r="G4" s="112"/>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3"/>
    </row>
    <row r="5" spans="1:32" s="107" customFormat="1" x14ac:dyDescent="0.3">
      <c r="A5" s="118"/>
      <c r="B5" s="118"/>
      <c r="C5" s="118"/>
      <c r="D5" s="118"/>
      <c r="E5" s="118"/>
      <c r="F5" s="118"/>
      <c r="G5" s="132"/>
      <c r="H5" s="118"/>
      <c r="I5" s="118"/>
      <c r="J5" s="118"/>
      <c r="K5" s="118"/>
      <c r="L5" s="118"/>
      <c r="M5" s="118"/>
      <c r="N5" s="118"/>
      <c r="O5" s="118"/>
      <c r="P5" s="132" t="s">
        <v>706</v>
      </c>
      <c r="Q5" s="272" t="s">
        <v>710</v>
      </c>
      <c r="R5" s="118"/>
      <c r="S5" s="118"/>
      <c r="T5" s="118"/>
      <c r="U5" s="118"/>
      <c r="V5" s="118"/>
      <c r="W5" s="118"/>
      <c r="X5" s="118"/>
      <c r="Y5" s="118"/>
      <c r="Z5" s="118"/>
      <c r="AA5" s="118"/>
      <c r="AB5" s="118"/>
      <c r="AC5" s="118"/>
      <c r="AD5" s="118" t="s">
        <v>3</v>
      </c>
      <c r="AE5" s="247" t="s">
        <v>698</v>
      </c>
      <c r="AF5" s="106"/>
    </row>
    <row r="6" spans="1:32" ht="18.600000000000001" thickBot="1" x14ac:dyDescent="0.4">
      <c r="A6" s="249" t="s">
        <v>4</v>
      </c>
      <c r="B6" s="115"/>
      <c r="C6" s="115"/>
      <c r="D6" s="115"/>
      <c r="E6" s="115"/>
      <c r="F6" s="115"/>
      <c r="G6" s="116"/>
      <c r="H6" s="115"/>
      <c r="I6" s="115"/>
      <c r="J6" s="115"/>
      <c r="K6" s="115"/>
      <c r="L6" s="115"/>
      <c r="M6" s="234" t="s">
        <v>644</v>
      </c>
      <c r="N6" s="231"/>
      <c r="O6" s="231"/>
      <c r="P6" s="115"/>
      <c r="Q6" s="115"/>
      <c r="R6" s="115"/>
      <c r="S6" s="115"/>
      <c r="T6" s="115"/>
      <c r="U6" s="115"/>
      <c r="V6" s="115"/>
      <c r="W6" s="115"/>
      <c r="X6" s="118"/>
      <c r="Y6" s="115"/>
      <c r="Z6" s="115"/>
      <c r="AA6" s="115"/>
      <c r="AB6" s="115"/>
      <c r="AC6" s="115"/>
      <c r="AD6" s="115"/>
      <c r="AE6" s="115"/>
      <c r="AF6" s="102"/>
    </row>
    <row r="7" spans="1:32" ht="15" x14ac:dyDescent="0.35">
      <c r="A7" s="119"/>
      <c r="B7" s="120"/>
      <c r="C7" s="120"/>
      <c r="D7" s="120"/>
      <c r="E7" s="120"/>
      <c r="F7" s="120"/>
      <c r="G7" s="121" t="s">
        <v>5</v>
      </c>
      <c r="H7" s="160">
        <v>14</v>
      </c>
      <c r="I7" s="183" t="s">
        <v>11</v>
      </c>
      <c r="J7" s="115"/>
      <c r="K7" s="115"/>
      <c r="L7" s="245"/>
      <c r="M7" s="121" t="s">
        <v>8</v>
      </c>
      <c r="N7" s="160">
        <v>1500</v>
      </c>
      <c r="O7" s="122" t="s">
        <v>11</v>
      </c>
      <c r="P7" s="115"/>
      <c r="Q7" s="115"/>
      <c r="R7" s="117"/>
      <c r="S7" s="115"/>
      <c r="T7" s="115"/>
      <c r="U7" s="115"/>
      <c r="V7" s="115"/>
      <c r="W7" s="115"/>
      <c r="X7" s="118"/>
      <c r="Y7" s="115"/>
      <c r="Z7" s="115"/>
      <c r="AA7" s="115"/>
      <c r="AB7" s="115"/>
      <c r="AC7" s="115"/>
      <c r="AD7" s="115"/>
      <c r="AE7" s="115"/>
      <c r="AF7" s="102"/>
    </row>
    <row r="8" spans="1:32" ht="15" x14ac:dyDescent="0.35">
      <c r="A8" s="123"/>
      <c r="B8" s="118"/>
      <c r="C8" s="118"/>
      <c r="D8" s="118"/>
      <c r="E8" s="118"/>
      <c r="F8" s="118"/>
      <c r="G8" s="124" t="s">
        <v>6</v>
      </c>
      <c r="H8" s="161">
        <v>15</v>
      </c>
      <c r="I8" s="163" t="s">
        <v>11</v>
      </c>
      <c r="J8" s="115"/>
      <c r="K8" s="115"/>
      <c r="L8" s="123"/>
      <c r="M8" s="124" t="s">
        <v>9</v>
      </c>
      <c r="N8" s="161">
        <v>5.0000000000000001E-3</v>
      </c>
      <c r="O8" s="125" t="s">
        <v>12</v>
      </c>
      <c r="P8" s="115"/>
      <c r="Q8" s="115"/>
      <c r="R8" s="117"/>
      <c r="S8" s="115"/>
      <c r="T8" s="115"/>
      <c r="U8" s="115"/>
      <c r="V8" s="115"/>
      <c r="W8" s="115"/>
      <c r="X8" s="118"/>
      <c r="Y8" s="115"/>
      <c r="Z8" s="115"/>
      <c r="AA8" s="115"/>
      <c r="AB8" s="115"/>
      <c r="AC8" s="115"/>
      <c r="AD8" s="115"/>
      <c r="AE8" s="115"/>
      <c r="AF8" s="102"/>
    </row>
    <row r="9" spans="1:32" ht="15.6" x14ac:dyDescent="0.35">
      <c r="A9" s="123"/>
      <c r="B9" s="118"/>
      <c r="C9" s="118"/>
      <c r="D9" s="118"/>
      <c r="E9" s="118"/>
      <c r="F9" s="118"/>
      <c r="G9" s="124" t="s">
        <v>7</v>
      </c>
      <c r="H9" s="161">
        <v>16.8</v>
      </c>
      <c r="I9" s="163" t="s">
        <v>11</v>
      </c>
      <c r="J9" s="115"/>
      <c r="K9" s="115"/>
      <c r="L9" s="123"/>
      <c r="M9" s="132" t="s">
        <v>678</v>
      </c>
      <c r="N9" s="162">
        <f>Variable_Management!B53</f>
        <v>6.8389057750759941</v>
      </c>
      <c r="O9" s="125"/>
      <c r="P9" s="115"/>
      <c r="Q9" s="115"/>
      <c r="R9" s="117"/>
      <c r="S9" s="115"/>
      <c r="T9" s="115"/>
      <c r="U9" s="115"/>
      <c r="V9" s="115"/>
      <c r="W9" s="115"/>
      <c r="X9" s="118"/>
      <c r="Y9" s="115"/>
      <c r="Z9" s="115"/>
      <c r="AA9" s="115"/>
      <c r="AB9" s="115"/>
      <c r="AC9" s="115"/>
      <c r="AD9" s="115"/>
      <c r="AE9" s="115"/>
      <c r="AF9" s="102"/>
    </row>
    <row r="10" spans="1:32" ht="15.6" x14ac:dyDescent="0.35">
      <c r="A10" s="123"/>
      <c r="B10" s="118"/>
      <c r="C10" s="118"/>
      <c r="D10" s="118"/>
      <c r="E10" s="118"/>
      <c r="F10" s="118"/>
      <c r="G10" s="124" t="s">
        <v>642</v>
      </c>
      <c r="H10" s="163"/>
      <c r="I10" s="163"/>
      <c r="J10" s="115"/>
      <c r="K10" s="115"/>
      <c r="L10" s="123"/>
      <c r="M10" s="132" t="s">
        <v>677</v>
      </c>
      <c r="N10" s="161">
        <v>8</v>
      </c>
      <c r="O10" s="125"/>
      <c r="P10" s="115"/>
      <c r="Q10" s="115"/>
      <c r="R10" s="117"/>
      <c r="S10" s="115"/>
      <c r="T10" s="115"/>
      <c r="U10" s="115"/>
      <c r="V10" s="115"/>
      <c r="W10" s="115"/>
      <c r="X10" s="118"/>
      <c r="Y10" s="115"/>
      <c r="Z10" s="115"/>
      <c r="AA10" s="115"/>
      <c r="AB10" s="115"/>
      <c r="AC10" s="115"/>
      <c r="AD10" s="115"/>
      <c r="AE10" s="115"/>
      <c r="AF10" s="102"/>
    </row>
    <row r="11" spans="1:32" ht="16.2" thickBot="1" x14ac:dyDescent="0.4">
      <c r="A11" s="123"/>
      <c r="B11" s="118"/>
      <c r="C11" s="118"/>
      <c r="D11" s="118"/>
      <c r="E11" s="118"/>
      <c r="F11" s="118"/>
      <c r="G11" s="124"/>
      <c r="H11" s="163"/>
      <c r="I11" s="163"/>
      <c r="J11" s="115"/>
      <c r="K11" s="115"/>
      <c r="L11" s="130"/>
      <c r="M11" s="134" t="s">
        <v>676</v>
      </c>
      <c r="N11" s="166">
        <v>27000</v>
      </c>
      <c r="O11" s="128" t="s">
        <v>81</v>
      </c>
      <c r="P11" s="115"/>
      <c r="Q11" s="115"/>
      <c r="R11" s="117"/>
      <c r="S11" s="115"/>
      <c r="T11" s="115"/>
      <c r="U11" s="115"/>
      <c r="V11" s="115"/>
      <c r="W11" s="115"/>
      <c r="X11" s="118"/>
      <c r="Y11" s="115"/>
      <c r="Z11" s="115"/>
      <c r="AA11" s="115"/>
      <c r="AB11" s="115"/>
      <c r="AC11" s="115"/>
      <c r="AD11" s="115"/>
      <c r="AE11" s="115"/>
      <c r="AF11" s="102"/>
    </row>
    <row r="12" spans="1:32" x14ac:dyDescent="0.3">
      <c r="A12" s="123"/>
      <c r="B12" s="118"/>
      <c r="C12" s="118"/>
      <c r="D12" s="118"/>
      <c r="E12" s="118"/>
      <c r="F12" s="118"/>
      <c r="G12" s="229" t="s">
        <v>513</v>
      </c>
      <c r="H12" s="163"/>
      <c r="I12" s="163"/>
      <c r="J12" s="115"/>
      <c r="K12" s="115"/>
      <c r="L12" s="118"/>
      <c r="M12" s="118"/>
      <c r="N12" s="118"/>
      <c r="O12" s="118"/>
      <c r="P12" s="115"/>
      <c r="Q12" s="115"/>
      <c r="R12" s="117"/>
      <c r="S12" s="115"/>
      <c r="T12" s="115"/>
      <c r="U12" s="115"/>
      <c r="V12" s="115"/>
      <c r="W12" s="115"/>
      <c r="X12" s="118"/>
      <c r="Y12" s="115"/>
      <c r="Z12" s="115"/>
      <c r="AA12" s="115"/>
      <c r="AB12" s="115"/>
      <c r="AC12" s="115"/>
      <c r="AD12" s="115"/>
      <c r="AE12" s="115"/>
      <c r="AF12" s="102"/>
    </row>
    <row r="13" spans="1:32" ht="16.2" thickBot="1" x14ac:dyDescent="0.35">
      <c r="A13" s="123"/>
      <c r="B13" s="118"/>
      <c r="C13" s="118"/>
      <c r="D13" s="118"/>
      <c r="E13" s="118"/>
      <c r="F13" s="118"/>
      <c r="G13" s="124"/>
      <c r="H13" s="190"/>
      <c r="I13" s="163"/>
      <c r="J13" s="115"/>
      <c r="K13" s="115"/>
      <c r="L13" s="118"/>
      <c r="M13" s="234" t="s">
        <v>643</v>
      </c>
      <c r="N13" s="231"/>
      <c r="O13" s="231"/>
      <c r="P13" s="115"/>
      <c r="Q13" s="115"/>
      <c r="R13" s="117"/>
      <c r="S13" s="115"/>
      <c r="T13" s="115"/>
      <c r="U13" s="115"/>
      <c r="V13" s="115"/>
      <c r="W13" s="115"/>
      <c r="X13" s="118"/>
      <c r="Y13" s="115"/>
      <c r="Z13" s="115"/>
      <c r="AA13" s="115"/>
      <c r="AB13" s="115"/>
      <c r="AC13" s="115"/>
      <c r="AD13" s="115"/>
      <c r="AE13" s="115"/>
      <c r="AF13" s="102"/>
    </row>
    <row r="14" spans="1:32" ht="15" x14ac:dyDescent="0.35">
      <c r="A14" s="123"/>
      <c r="B14" s="118"/>
      <c r="C14" s="118"/>
      <c r="D14" s="118"/>
      <c r="E14" s="118"/>
      <c r="F14" s="118"/>
      <c r="G14" s="124" t="s">
        <v>10</v>
      </c>
      <c r="H14" s="160">
        <v>100</v>
      </c>
      <c r="I14" s="183" t="s">
        <v>13</v>
      </c>
      <c r="J14" s="115"/>
      <c r="K14" s="115"/>
      <c r="L14" s="119"/>
      <c r="M14" s="121" t="s">
        <v>640</v>
      </c>
      <c r="N14" s="160">
        <v>10</v>
      </c>
      <c r="O14" s="122" t="s">
        <v>11</v>
      </c>
      <c r="P14" s="115"/>
      <c r="Q14" s="115"/>
      <c r="R14" s="117"/>
      <c r="S14" s="115"/>
      <c r="T14" s="115"/>
      <c r="U14" s="115"/>
      <c r="V14" s="115"/>
      <c r="W14" s="115"/>
      <c r="X14" s="118"/>
      <c r="Y14" s="115"/>
      <c r="Z14" s="115"/>
      <c r="AA14" s="115"/>
      <c r="AB14" s="115"/>
      <c r="AC14" s="115"/>
      <c r="AD14" s="115"/>
      <c r="AE14" s="115"/>
      <c r="AF14" s="102"/>
    </row>
    <row r="15" spans="1:32" ht="15.6" thickBot="1" x14ac:dyDescent="0.4">
      <c r="A15" s="123"/>
      <c r="B15" s="118"/>
      <c r="C15" s="118"/>
      <c r="D15" s="118"/>
      <c r="E15" s="118"/>
      <c r="F15" s="118"/>
      <c r="G15" s="124" t="s">
        <v>67</v>
      </c>
      <c r="H15" s="165">
        <f>RT/1000</f>
        <v>220.04499999999999</v>
      </c>
      <c r="I15" s="177" t="s">
        <v>68</v>
      </c>
      <c r="J15" s="115"/>
      <c r="K15" s="115"/>
      <c r="L15" s="123"/>
      <c r="M15" s="124" t="s">
        <v>639</v>
      </c>
      <c r="N15" s="161">
        <v>0.02</v>
      </c>
      <c r="O15" s="125" t="s">
        <v>12</v>
      </c>
      <c r="P15" s="115"/>
      <c r="Q15" s="115"/>
      <c r="R15" s="117"/>
      <c r="S15" s="115"/>
      <c r="T15" s="115"/>
      <c r="U15" s="115"/>
      <c r="V15" s="115"/>
      <c r="W15" s="115"/>
      <c r="X15" s="118"/>
      <c r="Y15" s="115"/>
      <c r="Z15" s="115"/>
      <c r="AA15" s="115"/>
      <c r="AB15" s="115"/>
      <c r="AC15" s="115"/>
      <c r="AD15" s="115"/>
      <c r="AE15" s="115"/>
      <c r="AF15" s="102"/>
    </row>
    <row r="16" spans="1:32" ht="16.2" thickBot="1" x14ac:dyDescent="0.4">
      <c r="A16" s="123"/>
      <c r="B16" s="118"/>
      <c r="C16" s="118"/>
      <c r="D16" s="118"/>
      <c r="E16" s="118"/>
      <c r="F16" s="118"/>
      <c r="G16" s="124"/>
      <c r="H16" s="190"/>
      <c r="I16" s="163"/>
      <c r="J16" s="115"/>
      <c r="K16" s="115"/>
      <c r="L16" s="123"/>
      <c r="M16" s="132" t="s">
        <v>638</v>
      </c>
      <c r="N16" s="162">
        <f>Variable_Management!B63</f>
        <v>0</v>
      </c>
      <c r="O16" s="125"/>
      <c r="P16" s="115"/>
      <c r="Q16" s="115"/>
      <c r="R16" s="117"/>
      <c r="S16" s="115"/>
      <c r="T16" s="115"/>
      <c r="U16" s="115"/>
      <c r="V16" s="115"/>
      <c r="W16" s="115"/>
      <c r="X16" s="118"/>
      <c r="Y16" s="115"/>
      <c r="Z16" s="115"/>
      <c r="AA16" s="115"/>
      <c r="AB16" s="115"/>
      <c r="AC16" s="115"/>
      <c r="AD16" s="115"/>
      <c r="AE16" s="115"/>
      <c r="AF16" s="102"/>
    </row>
    <row r="17" spans="1:32" ht="15.6" x14ac:dyDescent="0.35">
      <c r="A17" s="123"/>
      <c r="B17" s="118"/>
      <c r="C17" s="118"/>
      <c r="D17" s="118"/>
      <c r="E17" s="118"/>
      <c r="F17" s="118"/>
      <c r="G17" s="132" t="s">
        <v>445</v>
      </c>
      <c r="H17" s="160">
        <v>94</v>
      </c>
      <c r="I17" s="183" t="s">
        <v>14</v>
      </c>
      <c r="J17" s="115"/>
      <c r="K17" s="115"/>
      <c r="L17" s="123"/>
      <c r="M17" s="132" t="s">
        <v>641</v>
      </c>
      <c r="N17" s="161">
        <v>0.6</v>
      </c>
      <c r="O17" s="125"/>
      <c r="P17" s="115"/>
      <c r="Q17" s="115"/>
      <c r="R17" s="117"/>
      <c r="S17" s="115"/>
      <c r="T17" s="115"/>
      <c r="U17" s="115"/>
      <c r="V17" s="115"/>
      <c r="W17" s="115"/>
      <c r="X17" s="118"/>
      <c r="Y17" s="115"/>
      <c r="Z17" s="115"/>
      <c r="AA17" s="115"/>
      <c r="AB17" s="115"/>
      <c r="AC17" s="115"/>
      <c r="AD17" s="115"/>
      <c r="AE17" s="115"/>
      <c r="AF17" s="102"/>
    </row>
    <row r="18" spans="1:32" ht="15.6" x14ac:dyDescent="0.35">
      <c r="A18" s="123"/>
      <c r="B18" s="118"/>
      <c r="C18" s="118"/>
      <c r="D18" s="118"/>
      <c r="E18" s="118"/>
      <c r="F18" s="118"/>
      <c r="G18" s="132" t="s">
        <v>472</v>
      </c>
      <c r="H18" s="203">
        <f>Variable_Management!B57*100</f>
        <v>93.052109181141446</v>
      </c>
      <c r="I18" s="163" t="s">
        <v>14</v>
      </c>
      <c r="J18" s="115"/>
      <c r="K18" s="115"/>
      <c r="L18" s="123"/>
      <c r="M18" s="132" t="s">
        <v>603</v>
      </c>
      <c r="N18" s="161">
        <v>12</v>
      </c>
      <c r="O18" s="125" t="s">
        <v>81</v>
      </c>
      <c r="P18" s="115"/>
      <c r="Q18" s="115"/>
      <c r="R18" s="117"/>
      <c r="S18" s="115"/>
      <c r="T18" s="115"/>
      <c r="U18" s="115"/>
      <c r="V18" s="115"/>
      <c r="W18" s="115"/>
      <c r="X18" s="118"/>
      <c r="Y18" s="115"/>
      <c r="Z18" s="115"/>
      <c r="AA18" s="115"/>
      <c r="AB18" s="115"/>
      <c r="AC18" s="115"/>
      <c r="AD18" s="115"/>
      <c r="AE18" s="115"/>
      <c r="AF18" s="102"/>
    </row>
    <row r="19" spans="1:32" ht="16.2" thickBot="1" x14ac:dyDescent="0.4">
      <c r="A19" s="130"/>
      <c r="B19" s="127"/>
      <c r="C19" s="127"/>
      <c r="D19" s="127"/>
      <c r="E19" s="127"/>
      <c r="F19" s="127"/>
      <c r="G19" s="131" t="s">
        <v>15</v>
      </c>
      <c r="H19" s="177">
        <f>POUT_Total</f>
        <v>7.5</v>
      </c>
      <c r="I19" s="177" t="s">
        <v>36</v>
      </c>
      <c r="J19" s="115"/>
      <c r="K19" s="115"/>
      <c r="L19" s="130"/>
      <c r="M19" s="134" t="s">
        <v>467</v>
      </c>
      <c r="N19" s="165">
        <f>Variable_Management!B65</f>
        <v>0</v>
      </c>
      <c r="O19" s="128" t="s">
        <v>11</v>
      </c>
      <c r="P19" s="115"/>
      <c r="Q19" s="115"/>
      <c r="R19" s="117"/>
      <c r="S19" s="115"/>
      <c r="T19" s="115"/>
      <c r="U19" s="115"/>
      <c r="V19" s="115"/>
      <c r="W19" s="115"/>
      <c r="X19" s="118"/>
      <c r="Y19" s="115"/>
      <c r="Z19" s="115"/>
      <c r="AA19" s="115"/>
      <c r="AB19" s="115"/>
      <c r="AC19" s="115"/>
      <c r="AD19" s="115"/>
      <c r="AE19" s="115"/>
      <c r="AF19" s="102"/>
    </row>
    <row r="20" spans="1:32" x14ac:dyDescent="0.3">
      <c r="A20" s="115"/>
      <c r="B20" s="115"/>
      <c r="C20" s="115"/>
      <c r="D20" s="115"/>
      <c r="E20" s="115"/>
      <c r="F20" s="115"/>
      <c r="G20" s="116"/>
      <c r="H20" s="115"/>
      <c r="I20" s="115"/>
      <c r="J20" s="115"/>
      <c r="K20" s="115"/>
      <c r="L20" s="118"/>
      <c r="M20" s="118"/>
      <c r="N20" s="118"/>
      <c r="O20" s="118"/>
      <c r="P20" s="115"/>
      <c r="Q20" s="115"/>
      <c r="R20" s="117"/>
      <c r="S20" s="115"/>
      <c r="T20" s="115"/>
      <c r="U20" s="115"/>
      <c r="V20" s="115"/>
      <c r="W20" s="115"/>
      <c r="X20" s="118"/>
      <c r="Y20" s="115"/>
      <c r="Z20" s="115"/>
      <c r="AA20" s="115"/>
      <c r="AB20" s="115"/>
      <c r="AC20" s="115"/>
      <c r="AD20" s="115"/>
      <c r="AE20" s="115"/>
      <c r="AF20" s="102"/>
    </row>
    <row r="21" spans="1:32" ht="18.600000000000001" thickBot="1" x14ac:dyDescent="0.4">
      <c r="A21" s="248" t="s">
        <v>438</v>
      </c>
      <c r="B21" s="129"/>
      <c r="C21" s="129"/>
      <c r="D21" s="129"/>
      <c r="E21" s="126"/>
      <c r="F21" s="115"/>
      <c r="G21" s="116"/>
      <c r="H21" s="118"/>
      <c r="I21" s="115"/>
      <c r="J21" s="115"/>
      <c r="K21" s="115"/>
      <c r="L21" s="118"/>
      <c r="M21" s="234" t="s">
        <v>645</v>
      </c>
      <c r="N21" s="141"/>
      <c r="O21" s="118"/>
      <c r="P21" s="115"/>
      <c r="Q21" s="115"/>
      <c r="R21" s="117"/>
      <c r="S21" s="115"/>
      <c r="T21" s="115"/>
      <c r="U21" s="115"/>
      <c r="V21" s="115"/>
      <c r="W21" s="115"/>
      <c r="X21" s="118"/>
      <c r="Y21" s="115"/>
      <c r="Z21" s="115"/>
      <c r="AA21" s="115"/>
      <c r="AB21" s="115"/>
      <c r="AC21" s="115"/>
      <c r="AD21" s="115"/>
      <c r="AE21" s="115"/>
      <c r="AF21" s="102"/>
    </row>
    <row r="22" spans="1:32" ht="15" x14ac:dyDescent="0.35">
      <c r="A22" s="233"/>
      <c r="B22" s="202"/>
      <c r="C22" s="202"/>
      <c r="D22" s="202"/>
      <c r="E22" s="202"/>
      <c r="F22" s="120"/>
      <c r="G22" s="121" t="s">
        <v>412</v>
      </c>
      <c r="H22" s="160">
        <v>70</v>
      </c>
      <c r="I22" s="122" t="s">
        <v>14</v>
      </c>
      <c r="J22" s="118"/>
      <c r="K22" s="115"/>
      <c r="L22" s="119"/>
      <c r="M22" s="121" t="s">
        <v>8</v>
      </c>
      <c r="N22" s="160">
        <v>-7</v>
      </c>
      <c r="O22" s="122" t="s">
        <v>11</v>
      </c>
      <c r="P22" s="115"/>
      <c r="Q22" s="115"/>
      <c r="R22" s="117"/>
      <c r="S22" s="115"/>
      <c r="T22" s="115"/>
      <c r="U22" s="115"/>
      <c r="V22" s="115"/>
      <c r="W22" s="115"/>
      <c r="X22" s="118"/>
      <c r="Y22" s="115"/>
      <c r="Z22" s="115"/>
      <c r="AA22" s="115"/>
      <c r="AB22" s="115"/>
      <c r="AC22" s="115"/>
      <c r="AD22" s="115"/>
      <c r="AE22" s="115"/>
      <c r="AF22" s="102"/>
    </row>
    <row r="23" spans="1:32" ht="15" x14ac:dyDescent="0.35">
      <c r="A23" s="123"/>
      <c r="B23" s="118"/>
      <c r="C23" s="118"/>
      <c r="D23" s="118"/>
      <c r="E23" s="118"/>
      <c r="F23" s="118"/>
      <c r="G23" s="124" t="s">
        <v>439</v>
      </c>
      <c r="H23" s="204">
        <f>Variable_Management!B75*(10^6)</f>
        <v>452.81944794840439</v>
      </c>
      <c r="I23" s="125" t="s">
        <v>79</v>
      </c>
      <c r="J23" s="118"/>
      <c r="K23" s="115"/>
      <c r="L23" s="123"/>
      <c r="M23" s="124" t="s">
        <v>9</v>
      </c>
      <c r="N23" s="161">
        <v>1</v>
      </c>
      <c r="O23" s="125" t="s">
        <v>12</v>
      </c>
      <c r="P23" s="115"/>
      <c r="Q23" s="115"/>
      <c r="R23" s="117"/>
      <c r="S23" s="115"/>
      <c r="T23" s="115"/>
      <c r="U23" s="115"/>
      <c r="V23" s="115"/>
      <c r="W23" s="115"/>
      <c r="X23" s="118"/>
      <c r="Y23" s="115"/>
      <c r="Z23" s="115"/>
      <c r="AA23" s="115"/>
      <c r="AB23" s="115"/>
      <c r="AC23" s="115"/>
      <c r="AD23" s="115"/>
      <c r="AE23" s="115"/>
      <c r="AF23" s="102"/>
    </row>
    <row r="24" spans="1:32" ht="15.6" x14ac:dyDescent="0.35">
      <c r="A24" s="123"/>
      <c r="B24" s="118"/>
      <c r="C24" s="118"/>
      <c r="D24" s="118"/>
      <c r="E24" s="118"/>
      <c r="F24" s="118"/>
      <c r="G24" s="124" t="s">
        <v>440</v>
      </c>
      <c r="H24" s="161">
        <v>45</v>
      </c>
      <c r="I24" s="125" t="s">
        <v>79</v>
      </c>
      <c r="J24" s="118"/>
      <c r="K24" s="115"/>
      <c r="L24" s="123"/>
      <c r="M24" s="132" t="s">
        <v>461</v>
      </c>
      <c r="N24" s="162">
        <f>Variable_Management!B68</f>
        <v>0</v>
      </c>
      <c r="O24" s="125"/>
      <c r="P24" s="115"/>
      <c r="Q24" s="115"/>
      <c r="R24" s="117"/>
      <c r="S24" s="115"/>
      <c r="T24" s="115"/>
      <c r="U24" s="115"/>
      <c r="V24" s="115"/>
      <c r="W24" s="115"/>
      <c r="X24" s="118"/>
      <c r="Y24" s="115"/>
      <c r="Z24" s="115"/>
      <c r="AA24" s="115"/>
      <c r="AB24" s="115"/>
      <c r="AC24" s="115"/>
      <c r="AD24" s="115"/>
      <c r="AE24" s="115"/>
      <c r="AF24" s="102"/>
    </row>
    <row r="25" spans="1:32" ht="15.6" x14ac:dyDescent="0.35">
      <c r="A25" s="123"/>
      <c r="B25" s="118"/>
      <c r="C25" s="118"/>
      <c r="D25" s="118"/>
      <c r="E25" s="118"/>
      <c r="F25" s="118"/>
      <c r="G25" s="124" t="s">
        <v>697</v>
      </c>
      <c r="H25" s="161">
        <v>1150</v>
      </c>
      <c r="I25" s="125" t="s">
        <v>81</v>
      </c>
      <c r="J25" s="118"/>
      <c r="K25" s="115"/>
      <c r="L25" s="123"/>
      <c r="M25" s="132" t="s">
        <v>462</v>
      </c>
      <c r="N25" s="161">
        <v>0.42</v>
      </c>
      <c r="O25" s="125"/>
      <c r="P25" s="115"/>
      <c r="Q25" s="115"/>
      <c r="R25" s="117"/>
      <c r="S25" s="115"/>
      <c r="T25" s="115"/>
      <c r="U25" s="115"/>
      <c r="V25" s="115"/>
      <c r="W25" s="115"/>
      <c r="X25" s="118"/>
      <c r="Y25" s="115"/>
      <c r="Z25" s="115"/>
      <c r="AA25" s="115"/>
      <c r="AB25" s="115"/>
      <c r="AC25" s="115"/>
      <c r="AD25" s="115"/>
      <c r="AE25" s="115"/>
      <c r="AF25" s="102"/>
    </row>
    <row r="26" spans="1:32" ht="15.6" thickBot="1" x14ac:dyDescent="0.4">
      <c r="A26" s="130"/>
      <c r="B26" s="127"/>
      <c r="C26" s="127"/>
      <c r="D26" s="127"/>
      <c r="E26" s="127"/>
      <c r="F26" s="127"/>
      <c r="G26" s="131" t="s">
        <v>672</v>
      </c>
      <c r="H26" s="205">
        <f>ILp_VINmin</f>
        <v>2.0231915396431526</v>
      </c>
      <c r="I26" s="128" t="s">
        <v>12</v>
      </c>
      <c r="J26" s="118"/>
      <c r="K26" s="115"/>
      <c r="L26" s="123"/>
      <c r="M26" s="132" t="s">
        <v>603</v>
      </c>
      <c r="N26" s="161">
        <v>100</v>
      </c>
      <c r="O26" s="125" t="s">
        <v>81</v>
      </c>
      <c r="P26" s="115"/>
      <c r="Q26" s="115"/>
      <c r="R26" s="117"/>
      <c r="S26" s="115"/>
      <c r="T26" s="115"/>
      <c r="U26" s="115"/>
      <c r="V26" s="115"/>
      <c r="W26" s="115"/>
      <c r="X26" s="118"/>
      <c r="Y26" s="115"/>
      <c r="Z26" s="115"/>
      <c r="AA26" s="115"/>
      <c r="AB26" s="115"/>
      <c r="AC26" s="115"/>
      <c r="AD26" s="115"/>
      <c r="AE26" s="115"/>
      <c r="AF26" s="102"/>
    </row>
    <row r="27" spans="1:32" ht="16.2" thickBot="1" x14ac:dyDescent="0.4">
      <c r="A27" s="118"/>
      <c r="B27" s="118"/>
      <c r="C27" s="118"/>
      <c r="D27" s="115"/>
      <c r="E27" s="115"/>
      <c r="F27" s="115"/>
      <c r="G27" s="116"/>
      <c r="H27" s="115"/>
      <c r="I27" s="115"/>
      <c r="J27" s="115"/>
      <c r="K27" s="115"/>
      <c r="L27" s="130"/>
      <c r="M27" s="134" t="s">
        <v>467</v>
      </c>
      <c r="N27" s="165">
        <f>Variable_Management!B70</f>
        <v>0</v>
      </c>
      <c r="O27" s="128" t="s">
        <v>11</v>
      </c>
      <c r="P27" s="115"/>
      <c r="Q27" s="115"/>
      <c r="R27" s="117"/>
      <c r="S27" s="115"/>
      <c r="T27" s="115"/>
      <c r="U27" s="115"/>
      <c r="V27" s="115"/>
      <c r="W27" s="115"/>
      <c r="X27" s="118"/>
      <c r="Y27" s="115"/>
      <c r="Z27" s="115"/>
      <c r="AA27" s="115"/>
      <c r="AB27" s="115"/>
      <c r="AC27" s="115"/>
      <c r="AD27" s="115"/>
      <c r="AE27" s="115"/>
      <c r="AF27" s="102"/>
    </row>
    <row r="28" spans="1:32" x14ac:dyDescent="0.3">
      <c r="A28" s="118"/>
      <c r="B28" s="118"/>
      <c r="C28" s="118"/>
      <c r="D28" s="115"/>
      <c r="E28" s="115"/>
      <c r="F28" s="115"/>
      <c r="G28" s="116"/>
      <c r="H28" s="115"/>
      <c r="I28" s="115"/>
      <c r="J28" s="115"/>
      <c r="K28" s="115"/>
      <c r="L28" s="118"/>
      <c r="M28" s="132"/>
      <c r="N28" s="182"/>
      <c r="O28" s="118"/>
      <c r="P28" s="115"/>
      <c r="Q28" s="115"/>
      <c r="R28" s="117"/>
      <c r="S28" s="115"/>
      <c r="T28" s="115"/>
      <c r="U28" s="115"/>
      <c r="V28" s="115"/>
      <c r="W28" s="115"/>
      <c r="X28" s="118"/>
      <c r="Y28" s="115"/>
      <c r="Z28" s="115"/>
      <c r="AA28" s="115"/>
      <c r="AB28" s="115"/>
      <c r="AC28" s="115"/>
      <c r="AD28" s="115"/>
      <c r="AE28" s="115"/>
      <c r="AF28" s="102"/>
    </row>
    <row r="29" spans="1:32" ht="18.600000000000001" thickBot="1" x14ac:dyDescent="0.4">
      <c r="A29" s="248" t="s">
        <v>97</v>
      </c>
      <c r="B29" s="118"/>
      <c r="C29" s="118"/>
      <c r="D29" s="115"/>
      <c r="E29" s="115"/>
      <c r="F29" s="115"/>
      <c r="G29" s="116"/>
      <c r="H29" s="115"/>
      <c r="I29" s="115"/>
      <c r="J29" s="115"/>
      <c r="K29" s="115"/>
      <c r="L29" s="115"/>
      <c r="M29" s="115"/>
      <c r="N29" s="115"/>
      <c r="O29" s="115"/>
      <c r="P29" s="115"/>
      <c r="Q29" s="115"/>
      <c r="R29" s="117"/>
      <c r="S29" s="115"/>
      <c r="T29" s="115"/>
      <c r="U29" s="115"/>
      <c r="V29" s="115"/>
      <c r="W29" s="115"/>
      <c r="X29" s="118"/>
      <c r="Y29" s="115"/>
      <c r="Z29" s="115"/>
      <c r="AA29" s="115"/>
      <c r="AB29" s="115"/>
      <c r="AC29" s="115"/>
      <c r="AD29" s="115"/>
      <c r="AE29" s="115"/>
      <c r="AF29" s="102"/>
    </row>
    <row r="30" spans="1:32" x14ac:dyDescent="0.3">
      <c r="A30" s="119"/>
      <c r="B30" s="120"/>
      <c r="C30" s="120"/>
      <c r="D30" s="120"/>
      <c r="E30" s="120"/>
      <c r="F30" s="120"/>
      <c r="G30" s="255" t="s">
        <v>413</v>
      </c>
      <c r="H30" s="160">
        <v>10</v>
      </c>
      <c r="I30" s="122" t="s">
        <v>14</v>
      </c>
      <c r="J30" s="115"/>
      <c r="K30" s="115"/>
      <c r="L30" s="115"/>
      <c r="M30" s="115"/>
      <c r="N30" s="115"/>
      <c r="O30" s="115"/>
      <c r="P30" s="115"/>
      <c r="Q30" s="115"/>
      <c r="R30" s="115"/>
      <c r="S30" s="115"/>
      <c r="T30" s="115"/>
      <c r="U30" s="115"/>
      <c r="V30" s="115"/>
      <c r="W30" s="115"/>
      <c r="X30" s="118"/>
      <c r="Y30" s="115"/>
      <c r="Z30" s="115"/>
      <c r="AA30" s="115"/>
      <c r="AB30" s="115"/>
      <c r="AC30" s="115"/>
      <c r="AD30" s="115"/>
      <c r="AE30" s="115"/>
      <c r="AF30" s="102"/>
    </row>
    <row r="31" spans="1:32" ht="15.6" x14ac:dyDescent="0.35">
      <c r="A31" s="123"/>
      <c r="B31" s="118"/>
      <c r="C31" s="118"/>
      <c r="D31" s="118"/>
      <c r="E31" s="118"/>
      <c r="F31" s="118"/>
      <c r="G31" s="132" t="s">
        <v>158</v>
      </c>
      <c r="H31" s="162">
        <f>Ipk_selected</f>
        <v>2.2255106936074682</v>
      </c>
      <c r="I31" s="125" t="s">
        <v>12</v>
      </c>
      <c r="J31" s="118"/>
      <c r="K31" s="115"/>
      <c r="L31" s="118"/>
      <c r="M31" s="115"/>
      <c r="N31" s="115"/>
      <c r="O31" s="115"/>
      <c r="P31" s="115"/>
      <c r="Q31" s="115"/>
      <c r="R31" s="115"/>
      <c r="S31" s="115"/>
      <c r="T31" s="115"/>
      <c r="U31" s="115"/>
      <c r="V31" s="115"/>
      <c r="W31" s="115"/>
      <c r="X31" s="115"/>
      <c r="Y31" s="115"/>
      <c r="Z31" s="115"/>
      <c r="AA31" s="115"/>
      <c r="AB31" s="115"/>
      <c r="AC31" s="118"/>
      <c r="AD31" s="115"/>
      <c r="AE31" s="115"/>
      <c r="AF31" s="102"/>
    </row>
    <row r="32" spans="1:32" ht="15.6" x14ac:dyDescent="0.35">
      <c r="A32" s="123"/>
      <c r="B32" s="118"/>
      <c r="C32" s="118"/>
      <c r="D32" s="118"/>
      <c r="E32" s="118"/>
      <c r="F32" s="118"/>
      <c r="G32" s="132" t="s">
        <v>417</v>
      </c>
      <c r="H32" s="162">
        <f>Variable_Management!B106*1000</f>
        <v>3.9745715658315799</v>
      </c>
      <c r="I32" s="125" t="s">
        <v>81</v>
      </c>
      <c r="J32" s="118"/>
      <c r="K32" s="118"/>
      <c r="L32" s="118"/>
      <c r="M32" s="132"/>
      <c r="N32" s="225"/>
      <c r="O32" s="118"/>
      <c r="P32" s="118"/>
      <c r="Q32" s="115"/>
      <c r="R32" s="115"/>
      <c r="S32" s="115"/>
      <c r="T32" s="115"/>
      <c r="U32" s="115"/>
      <c r="V32" s="115"/>
      <c r="W32" s="115"/>
      <c r="X32" s="115"/>
      <c r="Y32" s="115"/>
      <c r="Z32" s="115"/>
      <c r="AA32" s="115"/>
      <c r="AB32" s="115"/>
      <c r="AC32" s="115"/>
      <c r="AD32" s="115"/>
      <c r="AE32" s="115"/>
      <c r="AF32" s="102"/>
    </row>
    <row r="33" spans="1:32" ht="15.6" x14ac:dyDescent="0.35">
      <c r="A33" s="123"/>
      <c r="B33" s="118"/>
      <c r="C33" s="118"/>
      <c r="D33" s="118"/>
      <c r="E33" s="118"/>
      <c r="F33" s="118"/>
      <c r="G33" s="132" t="s">
        <v>130</v>
      </c>
      <c r="H33" s="164">
        <f>Variable_Management!B107</f>
        <v>3265.3584921357033</v>
      </c>
      <c r="I33" s="133" t="s">
        <v>35</v>
      </c>
      <c r="J33" s="118"/>
      <c r="K33" s="118"/>
      <c r="L33" s="118"/>
      <c r="M33" s="115"/>
      <c r="N33" s="115"/>
      <c r="O33" s="115"/>
      <c r="P33" s="115"/>
      <c r="Q33" s="115"/>
      <c r="R33" s="115"/>
      <c r="S33" s="115"/>
      <c r="T33" s="115"/>
      <c r="U33" s="115"/>
      <c r="V33" s="115"/>
      <c r="W33" s="115"/>
      <c r="X33" s="118"/>
      <c r="Y33" s="115"/>
      <c r="Z33" s="115"/>
      <c r="AA33" s="115"/>
      <c r="AB33" s="115"/>
      <c r="AC33" s="115"/>
      <c r="AD33" s="115"/>
      <c r="AE33" s="115"/>
      <c r="AF33" s="102"/>
    </row>
    <row r="34" spans="1:32" ht="15.6" x14ac:dyDescent="0.35">
      <c r="A34" s="123"/>
      <c r="B34" s="118"/>
      <c r="C34" s="118"/>
      <c r="D34" s="118"/>
      <c r="E34" s="118"/>
      <c r="F34" s="118"/>
      <c r="G34" s="132" t="s">
        <v>418</v>
      </c>
      <c r="H34" s="273">
        <v>4</v>
      </c>
      <c r="I34" s="125" t="s">
        <v>81</v>
      </c>
      <c r="J34" s="118"/>
      <c r="K34" s="118"/>
      <c r="L34" s="118"/>
      <c r="M34" s="115"/>
      <c r="N34" s="115"/>
      <c r="O34" s="115"/>
      <c r="P34" s="115"/>
      <c r="Q34" s="115"/>
      <c r="R34" s="115"/>
      <c r="S34" s="115"/>
      <c r="T34" s="115"/>
      <c r="U34" s="115"/>
      <c r="V34" s="115"/>
      <c r="W34" s="115"/>
      <c r="X34" s="118"/>
      <c r="Y34" s="115"/>
      <c r="Z34" s="115"/>
      <c r="AA34" s="115"/>
      <c r="AB34" s="115"/>
      <c r="AC34" s="115"/>
      <c r="AD34" s="115"/>
      <c r="AE34" s="115"/>
      <c r="AF34" s="102"/>
    </row>
    <row r="35" spans="1:32" ht="15.6" x14ac:dyDescent="0.35">
      <c r="A35" s="123"/>
      <c r="B35" s="118"/>
      <c r="C35" s="118"/>
      <c r="D35" s="118"/>
      <c r="E35" s="118"/>
      <c r="F35" s="118"/>
      <c r="G35" s="132" t="s">
        <v>133</v>
      </c>
      <c r="H35" s="274">
        <v>3250</v>
      </c>
      <c r="I35" s="133" t="s">
        <v>35</v>
      </c>
      <c r="J35" s="118"/>
      <c r="K35" s="118"/>
      <c r="L35" s="118"/>
      <c r="M35" s="115"/>
      <c r="N35" s="115"/>
      <c r="O35" s="115"/>
      <c r="P35" s="115"/>
      <c r="Q35" s="115"/>
      <c r="R35" s="115"/>
      <c r="S35" s="115"/>
      <c r="T35" s="115"/>
      <c r="U35" s="115"/>
      <c r="V35" s="115"/>
      <c r="W35" s="115"/>
      <c r="X35" s="118"/>
      <c r="Y35" s="115"/>
      <c r="Z35" s="115"/>
      <c r="AA35" s="115"/>
      <c r="AB35" s="115"/>
      <c r="AC35" s="115"/>
      <c r="AD35" s="115"/>
      <c r="AE35" s="115"/>
      <c r="AF35" s="102"/>
    </row>
    <row r="36" spans="1:32" ht="15" thickBot="1" x14ac:dyDescent="0.35">
      <c r="A36" s="130"/>
      <c r="B36" s="127"/>
      <c r="C36" s="127"/>
      <c r="D36" s="127"/>
      <c r="E36" s="127"/>
      <c r="F36" s="127"/>
      <c r="G36" s="134" t="s">
        <v>137</v>
      </c>
      <c r="H36" s="165">
        <f>IL_pk_max</f>
        <v>2.6294052863436166</v>
      </c>
      <c r="I36" s="135" t="s">
        <v>12</v>
      </c>
      <c r="J36" s="118"/>
      <c r="K36" s="118"/>
      <c r="L36" s="118"/>
      <c r="M36" s="115"/>
      <c r="N36" s="115"/>
      <c r="O36" s="115"/>
      <c r="P36" s="115"/>
      <c r="Q36" s="115"/>
      <c r="R36" s="115"/>
      <c r="S36" s="115"/>
      <c r="T36" s="115"/>
      <c r="U36" s="115"/>
      <c r="V36" s="115"/>
      <c r="W36" s="115"/>
      <c r="X36" s="118"/>
      <c r="Y36" s="115"/>
      <c r="Z36" s="115"/>
      <c r="AA36" s="115"/>
      <c r="AB36" s="115"/>
      <c r="AC36" s="115"/>
      <c r="AD36" s="115"/>
      <c r="AE36" s="115"/>
      <c r="AF36" s="102"/>
    </row>
    <row r="37" spans="1:32" x14ac:dyDescent="0.3">
      <c r="A37" s="118"/>
      <c r="B37" s="118"/>
      <c r="C37" s="118"/>
      <c r="D37" s="118"/>
      <c r="E37" s="118"/>
      <c r="F37" s="118"/>
      <c r="G37" s="132"/>
      <c r="H37" s="182"/>
      <c r="I37" s="226"/>
      <c r="J37" s="226"/>
      <c r="K37" s="115"/>
      <c r="L37" s="115"/>
      <c r="M37" s="115"/>
      <c r="N37" s="115"/>
      <c r="O37" s="115"/>
      <c r="P37" s="115"/>
      <c r="Q37" s="115"/>
      <c r="R37" s="115"/>
      <c r="S37" s="115"/>
      <c r="T37" s="115"/>
      <c r="U37" s="115"/>
      <c r="V37" s="115"/>
      <c r="W37" s="115"/>
      <c r="X37" s="118"/>
      <c r="Y37" s="115"/>
      <c r="Z37" s="115"/>
      <c r="AA37" s="115"/>
      <c r="AB37" s="115"/>
      <c r="AC37" s="115"/>
      <c r="AD37" s="115"/>
      <c r="AE37" s="115"/>
      <c r="AF37" s="102"/>
    </row>
    <row r="38" spans="1:32" ht="18" x14ac:dyDescent="0.35">
      <c r="A38" s="248" t="s">
        <v>146</v>
      </c>
      <c r="B38" s="118"/>
      <c r="C38" s="118"/>
      <c r="D38" s="118"/>
      <c r="E38" s="115"/>
      <c r="F38" s="115"/>
      <c r="G38" s="115"/>
      <c r="H38" s="115"/>
      <c r="I38" s="115"/>
      <c r="J38" s="115"/>
      <c r="K38" s="115"/>
      <c r="L38" s="115"/>
      <c r="M38" s="115"/>
      <c r="N38" s="115"/>
      <c r="O38" s="115"/>
      <c r="P38" s="115"/>
      <c r="Q38" s="115"/>
      <c r="R38" s="115"/>
      <c r="S38" s="115"/>
      <c r="T38" s="115"/>
      <c r="U38" s="115"/>
      <c r="V38" s="115"/>
      <c r="W38" s="115"/>
      <c r="X38" s="118"/>
      <c r="Y38" s="115"/>
      <c r="Z38" s="115"/>
      <c r="AA38" s="115"/>
      <c r="AB38" s="115"/>
      <c r="AC38" s="115"/>
      <c r="AD38" s="115"/>
      <c r="AE38" s="115"/>
      <c r="AF38" s="102"/>
    </row>
    <row r="39" spans="1:32" ht="15" thickBot="1" x14ac:dyDescent="0.35">
      <c r="A39" s="118"/>
      <c r="B39" s="118"/>
      <c r="C39" s="118"/>
      <c r="D39" s="118"/>
      <c r="E39" s="115"/>
      <c r="F39" s="118"/>
      <c r="G39" s="118"/>
      <c r="H39" s="238" t="s">
        <v>644</v>
      </c>
      <c r="I39" s="118"/>
      <c r="J39" s="115"/>
      <c r="K39" s="115"/>
      <c r="L39" s="230"/>
      <c r="M39" s="230"/>
      <c r="N39" s="238" t="s">
        <v>671</v>
      </c>
      <c r="O39" s="231"/>
      <c r="P39" s="232"/>
      <c r="Q39" s="115"/>
      <c r="R39" s="115"/>
      <c r="S39" s="118"/>
      <c r="T39" s="118"/>
      <c r="U39" s="118"/>
      <c r="V39" s="238" t="s">
        <v>679</v>
      </c>
      <c r="W39" s="118"/>
      <c r="X39" s="118"/>
      <c r="Y39" s="115"/>
      <c r="Z39" s="115"/>
      <c r="AA39" s="115"/>
      <c r="AB39" s="115"/>
      <c r="AC39" s="115"/>
      <c r="AD39" s="115"/>
      <c r="AE39" s="115"/>
      <c r="AF39" s="102"/>
    </row>
    <row r="40" spans="1:32" ht="15.6" x14ac:dyDescent="0.35">
      <c r="A40" s="119"/>
      <c r="B40" s="120"/>
      <c r="C40" s="120"/>
      <c r="D40" s="120"/>
      <c r="E40" s="120"/>
      <c r="F40" s="120"/>
      <c r="G40" s="136" t="s">
        <v>590</v>
      </c>
      <c r="H40" s="160">
        <v>100000</v>
      </c>
      <c r="I40" s="122" t="s">
        <v>147</v>
      </c>
      <c r="J40" s="115"/>
      <c r="K40" s="118"/>
      <c r="L40" s="119"/>
      <c r="M40" s="136" t="s">
        <v>590</v>
      </c>
      <c r="N40" s="160">
        <v>100</v>
      </c>
      <c r="O40" s="122" t="s">
        <v>147</v>
      </c>
      <c r="P40" s="115"/>
      <c r="Q40" s="118"/>
      <c r="R40" s="119"/>
      <c r="S40" s="120"/>
      <c r="T40" s="120"/>
      <c r="U40" s="136" t="s">
        <v>590</v>
      </c>
      <c r="V40" s="160">
        <v>700</v>
      </c>
      <c r="W40" s="122" t="s">
        <v>147</v>
      </c>
      <c r="X40" s="118"/>
      <c r="Y40" s="115"/>
      <c r="Z40" s="115"/>
      <c r="AA40" s="115"/>
      <c r="AB40" s="115"/>
      <c r="AC40" s="115"/>
      <c r="AD40" s="115"/>
      <c r="AE40" s="115"/>
      <c r="AF40" s="102"/>
    </row>
    <row r="41" spans="1:32" x14ac:dyDescent="0.3">
      <c r="A41" s="123"/>
      <c r="B41" s="118"/>
      <c r="C41" s="118"/>
      <c r="D41" s="118"/>
      <c r="E41" s="118"/>
      <c r="F41" s="118"/>
      <c r="G41" s="132" t="s">
        <v>680</v>
      </c>
      <c r="H41" s="164">
        <f>Cout1_min*10^6</f>
        <v>2.3131377551020412E-4</v>
      </c>
      <c r="I41" s="125" t="s">
        <v>148</v>
      </c>
      <c r="J41" s="115"/>
      <c r="K41" s="118"/>
      <c r="L41" s="123"/>
      <c r="M41" s="132" t="s">
        <v>681</v>
      </c>
      <c r="N41" s="164">
        <f>Cout2_min*(10^6)</f>
        <v>0</v>
      </c>
      <c r="O41" s="125" t="s">
        <v>148</v>
      </c>
      <c r="P41" s="115"/>
      <c r="Q41" s="118"/>
      <c r="R41" s="123"/>
      <c r="S41" s="118"/>
      <c r="T41" s="118"/>
      <c r="U41" s="132" t="s">
        <v>682</v>
      </c>
      <c r="V41" s="164">
        <f>Cout3_min*(10^6)</f>
        <v>0</v>
      </c>
      <c r="W41" s="125" t="s">
        <v>148</v>
      </c>
      <c r="X41" s="118"/>
      <c r="Y41" s="115"/>
      <c r="Z41" s="115"/>
      <c r="AA41" s="115"/>
      <c r="AB41" s="115"/>
      <c r="AC41" s="115"/>
      <c r="AD41" s="115"/>
      <c r="AE41" s="115"/>
      <c r="AF41" s="102"/>
    </row>
    <row r="42" spans="1:32" ht="15.6" x14ac:dyDescent="0.35">
      <c r="A42" s="123"/>
      <c r="B42" s="118"/>
      <c r="C42" s="118"/>
      <c r="D42" s="237"/>
      <c r="E42" s="118"/>
      <c r="F42" s="118"/>
      <c r="G42" s="132" t="s">
        <v>149</v>
      </c>
      <c r="H42" s="161">
        <v>0.3</v>
      </c>
      <c r="I42" s="125" t="s">
        <v>148</v>
      </c>
      <c r="J42" s="115"/>
      <c r="K42" s="118"/>
      <c r="L42" s="123"/>
      <c r="M42" s="132" t="s">
        <v>149</v>
      </c>
      <c r="N42" s="161">
        <v>2</v>
      </c>
      <c r="O42" s="125" t="s">
        <v>148</v>
      </c>
      <c r="P42" s="115"/>
      <c r="Q42" s="118"/>
      <c r="R42" s="123"/>
      <c r="S42" s="118"/>
      <c r="T42" s="118"/>
      <c r="U42" s="132" t="s">
        <v>149</v>
      </c>
      <c r="V42" s="161">
        <v>100</v>
      </c>
      <c r="W42" s="125" t="s">
        <v>148</v>
      </c>
      <c r="X42" s="118"/>
      <c r="Y42" s="115"/>
      <c r="Z42" s="115"/>
      <c r="AA42" s="115"/>
      <c r="AB42" s="115"/>
      <c r="AC42" s="115"/>
      <c r="AD42" s="115"/>
      <c r="AE42" s="115"/>
      <c r="AF42" s="102"/>
    </row>
    <row r="43" spans="1:32" ht="16.2" thickBot="1" x14ac:dyDescent="0.4">
      <c r="A43" s="130"/>
      <c r="B43" s="127"/>
      <c r="C43" s="127"/>
      <c r="D43" s="127"/>
      <c r="E43" s="127"/>
      <c r="F43" s="127"/>
      <c r="G43" s="134" t="s">
        <v>155</v>
      </c>
      <c r="H43" s="166">
        <v>0.01</v>
      </c>
      <c r="I43" s="128" t="s">
        <v>81</v>
      </c>
      <c r="J43" s="115"/>
      <c r="K43" s="118"/>
      <c r="L43" s="130"/>
      <c r="M43" s="134" t="s">
        <v>155</v>
      </c>
      <c r="N43" s="166">
        <v>1</v>
      </c>
      <c r="O43" s="128" t="s">
        <v>81</v>
      </c>
      <c r="P43" s="115"/>
      <c r="Q43" s="118"/>
      <c r="R43" s="130"/>
      <c r="S43" s="127"/>
      <c r="T43" s="127"/>
      <c r="U43" s="134" t="s">
        <v>155</v>
      </c>
      <c r="V43" s="166">
        <v>2</v>
      </c>
      <c r="W43" s="128" t="s">
        <v>81</v>
      </c>
      <c r="X43" s="118"/>
      <c r="Y43" s="115"/>
      <c r="Z43" s="115"/>
      <c r="AA43" s="115"/>
      <c r="AB43" s="115"/>
      <c r="AC43" s="115"/>
      <c r="AD43" s="115"/>
      <c r="AE43" s="115"/>
      <c r="AF43" s="102"/>
    </row>
    <row r="44" spans="1:32" x14ac:dyDescent="0.3">
      <c r="A44" s="118"/>
      <c r="B44" s="118"/>
      <c r="C44" s="118"/>
      <c r="D44" s="118"/>
      <c r="E44" s="118"/>
      <c r="F44" s="118"/>
      <c r="G44" s="132"/>
      <c r="H44" s="182"/>
      <c r="I44" s="226"/>
      <c r="J44" s="226"/>
      <c r="K44" s="115"/>
      <c r="L44" s="115"/>
      <c r="M44" s="115"/>
      <c r="N44" s="115"/>
      <c r="O44" s="115"/>
      <c r="P44" s="115"/>
      <c r="Q44" s="115"/>
      <c r="R44" s="115"/>
      <c r="S44" s="115"/>
      <c r="T44" s="115"/>
      <c r="U44" s="115"/>
      <c r="V44" s="115"/>
      <c r="W44" s="115"/>
      <c r="X44" s="118"/>
      <c r="Y44" s="115"/>
      <c r="Z44" s="115"/>
      <c r="AA44" s="115"/>
      <c r="AB44" s="115"/>
      <c r="AC44" s="115"/>
      <c r="AD44" s="115"/>
      <c r="AE44" s="115"/>
      <c r="AF44" s="102"/>
    </row>
    <row r="45" spans="1:32" x14ac:dyDescent="0.3">
      <c r="A45" s="115"/>
      <c r="B45" s="115"/>
      <c r="C45" s="115"/>
      <c r="D45" s="115"/>
      <c r="E45" s="115"/>
      <c r="F45" s="115"/>
      <c r="G45" s="115"/>
      <c r="H45" s="115"/>
      <c r="I45" s="115"/>
      <c r="J45" s="226"/>
      <c r="K45" s="115"/>
      <c r="L45" s="115"/>
      <c r="M45" s="115"/>
      <c r="N45" s="115"/>
      <c r="O45" s="115"/>
      <c r="P45" s="115"/>
      <c r="Q45" s="115"/>
      <c r="R45" s="115"/>
      <c r="S45" s="115"/>
      <c r="T45" s="115"/>
      <c r="U45" s="115"/>
      <c r="V45" s="115"/>
      <c r="W45" s="115"/>
      <c r="X45" s="118"/>
      <c r="Y45" s="115"/>
      <c r="Z45" s="115"/>
      <c r="AA45" s="115"/>
      <c r="AB45" s="115"/>
      <c r="AC45" s="115"/>
      <c r="AD45" s="115"/>
      <c r="AE45" s="115"/>
      <c r="AF45" s="102"/>
    </row>
    <row r="46" spans="1:32" ht="18.600000000000001" thickBot="1" x14ac:dyDescent="0.4">
      <c r="A46" s="248" t="s">
        <v>272</v>
      </c>
      <c r="B46" s="115"/>
      <c r="C46" s="115"/>
      <c r="D46" s="115"/>
      <c r="E46" s="115"/>
      <c r="F46" s="115"/>
      <c r="G46" s="116"/>
      <c r="H46" s="115"/>
      <c r="I46" s="115"/>
      <c r="J46" s="115"/>
      <c r="K46" s="115"/>
      <c r="L46" s="115"/>
      <c r="M46" s="115"/>
      <c r="N46" s="115"/>
      <c r="O46" s="115"/>
      <c r="P46" s="115"/>
      <c r="Q46" s="115"/>
      <c r="R46" s="115"/>
      <c r="S46" s="115"/>
      <c r="T46" s="115"/>
      <c r="U46" s="115"/>
      <c r="V46" s="115"/>
      <c r="W46" s="115"/>
      <c r="X46" s="118"/>
      <c r="Y46" s="115"/>
      <c r="Z46" s="115"/>
      <c r="AA46" s="115"/>
      <c r="AB46" s="115"/>
      <c r="AC46" s="115"/>
      <c r="AD46" s="115"/>
      <c r="AE46" s="115"/>
      <c r="AF46" s="102"/>
    </row>
    <row r="47" spans="1:32" ht="15.6" x14ac:dyDescent="0.35">
      <c r="A47" s="119"/>
      <c r="B47" s="120"/>
      <c r="C47" s="120"/>
      <c r="D47" s="120"/>
      <c r="E47" s="120"/>
      <c r="F47" s="120"/>
      <c r="G47" s="136" t="s">
        <v>294</v>
      </c>
      <c r="H47" s="169">
        <f>Variable_Management!B156*(10^9)</f>
        <v>900</v>
      </c>
      <c r="I47" s="122" t="s">
        <v>172</v>
      </c>
      <c r="J47" s="118"/>
      <c r="K47" s="115"/>
      <c r="L47" s="115"/>
      <c r="M47" s="115"/>
      <c r="N47" s="115"/>
      <c r="O47" s="115"/>
      <c r="P47" s="115"/>
      <c r="Q47" s="115"/>
      <c r="R47" s="115"/>
      <c r="S47" s="115"/>
      <c r="T47" s="115"/>
      <c r="U47" s="115"/>
      <c r="V47" s="115"/>
      <c r="W47" s="115"/>
      <c r="X47" s="118"/>
      <c r="Y47" s="115"/>
      <c r="Z47" s="115"/>
      <c r="AA47" s="115"/>
      <c r="AB47" s="115"/>
      <c r="AC47" s="115"/>
      <c r="AD47" s="115"/>
      <c r="AE47" s="115"/>
      <c r="AF47" s="102"/>
    </row>
    <row r="48" spans="1:32" ht="15.6" x14ac:dyDescent="0.35">
      <c r="A48" s="123"/>
      <c r="B48" s="118"/>
      <c r="C48" s="118"/>
      <c r="D48" s="118"/>
      <c r="E48" s="118"/>
      <c r="F48" s="118"/>
      <c r="G48" s="132" t="s">
        <v>299</v>
      </c>
      <c r="H48" s="161">
        <v>0.1</v>
      </c>
      <c r="I48" s="125" t="s">
        <v>295</v>
      </c>
      <c r="J48" s="118"/>
      <c r="K48" s="115"/>
      <c r="L48" s="115"/>
      <c r="M48" s="115"/>
      <c r="N48" s="115"/>
      <c r="O48" s="115"/>
      <c r="P48" s="115"/>
      <c r="Q48" s="115"/>
      <c r="R48" s="115"/>
      <c r="S48" s="115"/>
      <c r="T48" s="115"/>
      <c r="U48" s="115"/>
      <c r="V48" s="115"/>
      <c r="W48" s="115"/>
      <c r="X48" s="118"/>
      <c r="Y48" s="115"/>
      <c r="Z48" s="115"/>
      <c r="AA48" s="115"/>
      <c r="AB48" s="115"/>
      <c r="AC48" s="115"/>
      <c r="AD48" s="115"/>
      <c r="AE48" s="115"/>
      <c r="AF48" s="102"/>
    </row>
    <row r="49" spans="1:32" ht="16.2" thickBot="1" x14ac:dyDescent="0.4">
      <c r="A49" s="130"/>
      <c r="B49" s="127"/>
      <c r="C49" s="127"/>
      <c r="D49" s="127"/>
      <c r="E49" s="127"/>
      <c r="F49" s="127"/>
      <c r="G49" s="134" t="s">
        <v>298</v>
      </c>
      <c r="H49" s="170">
        <f>Variable_Management!B158*(10^9)</f>
        <v>1</v>
      </c>
      <c r="I49" s="128" t="s">
        <v>172</v>
      </c>
      <c r="J49" s="118"/>
      <c r="K49" s="115"/>
      <c r="L49" s="115"/>
      <c r="M49" s="115"/>
      <c r="N49" s="115"/>
      <c r="O49" s="115"/>
      <c r="P49" s="115"/>
      <c r="Q49" s="115"/>
      <c r="R49" s="115"/>
      <c r="S49" s="115"/>
      <c r="T49" s="115"/>
      <c r="U49" s="115"/>
      <c r="V49" s="115"/>
      <c r="W49" s="115"/>
      <c r="X49" s="118"/>
      <c r="Y49" s="115"/>
      <c r="Z49" s="115"/>
      <c r="AA49" s="115"/>
      <c r="AB49" s="115"/>
      <c r="AC49" s="115"/>
      <c r="AD49" s="115"/>
      <c r="AE49" s="115"/>
      <c r="AF49" s="102"/>
    </row>
    <row r="50" spans="1:32" x14ac:dyDescent="0.3">
      <c r="A50" s="115"/>
      <c r="B50" s="115"/>
      <c r="C50" s="115"/>
      <c r="D50" s="115"/>
      <c r="E50" s="115"/>
      <c r="F50" s="115"/>
      <c r="G50" s="116"/>
      <c r="H50" s="115"/>
      <c r="I50" s="115"/>
      <c r="J50" s="115"/>
      <c r="K50" s="115"/>
      <c r="L50" s="115"/>
      <c r="M50" s="115"/>
      <c r="N50" s="115"/>
      <c r="O50" s="115"/>
      <c r="P50" s="115"/>
      <c r="Q50" s="115"/>
      <c r="R50" s="115"/>
      <c r="S50" s="115"/>
      <c r="T50" s="115"/>
      <c r="U50" s="115"/>
      <c r="V50" s="115"/>
      <c r="W50" s="115"/>
      <c r="X50" s="118"/>
      <c r="Y50" s="115"/>
      <c r="Z50" s="115"/>
      <c r="AA50" s="115"/>
      <c r="AB50" s="115"/>
      <c r="AC50" s="115"/>
      <c r="AD50" s="115"/>
      <c r="AE50" s="115"/>
      <c r="AF50" s="102"/>
    </row>
    <row r="51" spans="1:32" ht="18.600000000000001" thickBot="1" x14ac:dyDescent="0.4">
      <c r="A51" s="248" t="s">
        <v>273</v>
      </c>
      <c r="B51" s="115"/>
      <c r="C51" s="115"/>
      <c r="D51" s="115"/>
      <c r="E51" s="115"/>
      <c r="F51" s="115"/>
      <c r="G51" s="116"/>
      <c r="H51" s="115"/>
      <c r="I51" s="115"/>
      <c r="J51" s="115"/>
      <c r="K51" s="115"/>
      <c r="L51" s="115"/>
      <c r="M51" s="115"/>
      <c r="N51" s="115"/>
      <c r="O51" s="115"/>
      <c r="P51" s="115"/>
      <c r="Q51" s="115"/>
      <c r="R51" s="115"/>
      <c r="S51" s="115"/>
      <c r="T51" s="115"/>
      <c r="U51" s="115"/>
      <c r="V51" s="115"/>
      <c r="W51" s="115"/>
      <c r="X51" s="118"/>
      <c r="Y51" s="115"/>
      <c r="Z51" s="115"/>
      <c r="AA51" s="115"/>
      <c r="AB51" s="115"/>
      <c r="AC51" s="115"/>
      <c r="AD51" s="115"/>
      <c r="AE51" s="115"/>
      <c r="AF51" s="102"/>
    </row>
    <row r="52" spans="1:32" ht="15.6" x14ac:dyDescent="0.35">
      <c r="A52" s="119"/>
      <c r="B52" s="120"/>
      <c r="C52" s="120"/>
      <c r="D52" s="120"/>
      <c r="E52" s="120"/>
      <c r="F52" s="120"/>
      <c r="G52" s="136" t="s">
        <v>301</v>
      </c>
      <c r="H52" s="160">
        <v>12</v>
      </c>
      <c r="I52" s="122" t="s">
        <v>11</v>
      </c>
      <c r="J52" s="118"/>
      <c r="K52" s="115"/>
      <c r="L52" s="115"/>
      <c r="M52" s="115"/>
      <c r="N52" s="115"/>
      <c r="O52" s="115"/>
      <c r="P52" s="115"/>
      <c r="Q52" s="115"/>
      <c r="R52" s="115"/>
      <c r="S52" s="115"/>
      <c r="T52" s="115"/>
      <c r="U52" s="115"/>
      <c r="V52" s="115"/>
      <c r="W52" s="115"/>
      <c r="X52" s="118"/>
      <c r="Y52" s="115"/>
      <c r="Z52" s="115"/>
      <c r="AA52" s="115"/>
      <c r="AB52" s="115"/>
      <c r="AC52" s="115"/>
      <c r="AD52" s="115"/>
      <c r="AE52" s="115"/>
      <c r="AF52" s="102"/>
    </row>
    <row r="53" spans="1:32" ht="15.6" x14ac:dyDescent="0.35">
      <c r="A53" s="123"/>
      <c r="B53" s="118"/>
      <c r="C53" s="118"/>
      <c r="D53" s="118"/>
      <c r="E53" s="118"/>
      <c r="F53" s="118"/>
      <c r="G53" s="132" t="s">
        <v>300</v>
      </c>
      <c r="H53" s="161">
        <v>11.5</v>
      </c>
      <c r="I53" s="125" t="s">
        <v>11</v>
      </c>
      <c r="J53" s="118"/>
      <c r="K53" s="115"/>
      <c r="L53" s="115"/>
      <c r="M53" s="115"/>
      <c r="N53" s="115"/>
      <c r="O53" s="115"/>
      <c r="P53" s="115"/>
      <c r="Q53" s="115"/>
      <c r="R53" s="115"/>
      <c r="S53" s="159"/>
      <c r="T53" s="115"/>
      <c r="U53" s="115"/>
      <c r="V53" s="115"/>
      <c r="W53" s="115"/>
      <c r="X53" s="118"/>
      <c r="Y53" s="115"/>
      <c r="Z53" s="115"/>
      <c r="AA53" s="115"/>
      <c r="AB53" s="115"/>
      <c r="AC53" s="115"/>
      <c r="AD53" s="115"/>
      <c r="AE53" s="115"/>
      <c r="AF53" s="102"/>
    </row>
    <row r="54" spans="1:32" ht="15.6" x14ac:dyDescent="0.35">
      <c r="A54" s="123"/>
      <c r="B54" s="118"/>
      <c r="C54" s="118"/>
      <c r="D54" s="118"/>
      <c r="E54" s="118"/>
      <c r="F54" s="118"/>
      <c r="G54" s="132" t="s">
        <v>389</v>
      </c>
      <c r="H54" s="167">
        <f>Ruvlo_top_calc/1000</f>
        <v>20.799999999999844</v>
      </c>
      <c r="I54" s="133" t="s">
        <v>169</v>
      </c>
      <c r="J54" s="226"/>
      <c r="K54" s="115"/>
      <c r="L54" s="115"/>
      <c r="M54" s="115"/>
      <c r="N54" s="115"/>
      <c r="O54" s="115"/>
      <c r="P54" s="115"/>
      <c r="Q54" s="115"/>
      <c r="R54" s="115"/>
      <c r="S54" s="115"/>
      <c r="T54" s="115"/>
      <c r="U54" s="115"/>
      <c r="V54" s="115"/>
      <c r="W54" s="115"/>
      <c r="X54" s="118"/>
      <c r="Y54" s="115"/>
      <c r="Z54" s="115"/>
      <c r="AA54" s="115"/>
      <c r="AB54" s="115"/>
      <c r="AC54" s="115"/>
      <c r="AD54" s="115"/>
      <c r="AE54" s="115"/>
      <c r="AF54" s="102"/>
    </row>
    <row r="55" spans="1:32" ht="15.6" x14ac:dyDescent="0.35">
      <c r="A55" s="123"/>
      <c r="B55" s="118"/>
      <c r="C55" s="118"/>
      <c r="D55" s="118"/>
      <c r="E55" s="118"/>
      <c r="F55" s="118"/>
      <c r="G55" s="132" t="s">
        <v>390</v>
      </c>
      <c r="H55" s="273">
        <f>H54</f>
        <v>20.799999999999844</v>
      </c>
      <c r="I55" s="133" t="s">
        <v>169</v>
      </c>
      <c r="J55" s="226"/>
      <c r="K55" s="115"/>
      <c r="L55" s="115"/>
      <c r="M55" s="115"/>
      <c r="N55" s="115"/>
      <c r="O55" s="115"/>
      <c r="P55" s="115"/>
      <c r="Q55" s="115"/>
      <c r="R55" s="115"/>
      <c r="S55" s="115"/>
      <c r="T55" s="115"/>
      <c r="U55" s="115"/>
      <c r="V55" s="115"/>
      <c r="W55" s="115"/>
      <c r="X55" s="118"/>
      <c r="Y55" s="115"/>
      <c r="Z55" s="115"/>
      <c r="AA55" s="115"/>
      <c r="AB55" s="115"/>
      <c r="AC55" s="115"/>
      <c r="AD55" s="115"/>
      <c r="AE55" s="115"/>
      <c r="AF55" s="102"/>
    </row>
    <row r="56" spans="1:32" ht="16.2" thickBot="1" x14ac:dyDescent="0.4">
      <c r="A56" s="130"/>
      <c r="B56" s="127"/>
      <c r="C56" s="127"/>
      <c r="D56" s="127"/>
      <c r="E56" s="127"/>
      <c r="F56" s="127"/>
      <c r="G56" s="134" t="s">
        <v>391</v>
      </c>
      <c r="H56" s="168">
        <f>Ruvlo_bottom_calc/1000</f>
        <v>2.9714285714285493</v>
      </c>
      <c r="I56" s="135" t="s">
        <v>169</v>
      </c>
      <c r="J56" s="226"/>
      <c r="K56" s="115"/>
      <c r="L56" s="115"/>
      <c r="M56" s="115"/>
      <c r="N56" s="115"/>
      <c r="O56" s="115"/>
      <c r="P56" s="115"/>
      <c r="Q56" s="115"/>
      <c r="R56" s="115"/>
      <c r="S56" s="115"/>
      <c r="T56" s="115"/>
      <c r="U56" s="115"/>
      <c r="V56" s="115"/>
      <c r="W56" s="115"/>
      <c r="X56" s="118"/>
      <c r="Y56" s="115"/>
      <c r="Z56" s="115"/>
      <c r="AA56" s="115"/>
      <c r="AB56" s="115"/>
      <c r="AC56" s="115"/>
      <c r="AD56" s="115"/>
      <c r="AE56" s="115"/>
      <c r="AF56" s="102"/>
    </row>
    <row r="57" spans="1:32" x14ac:dyDescent="0.3">
      <c r="A57" s="115"/>
      <c r="B57" s="115"/>
      <c r="C57" s="115"/>
      <c r="D57" s="115"/>
      <c r="E57" s="115"/>
      <c r="F57" s="115"/>
      <c r="G57" s="116"/>
      <c r="H57" s="115"/>
      <c r="I57" s="115"/>
      <c r="J57" s="115"/>
      <c r="K57" s="115"/>
      <c r="L57" s="115"/>
      <c r="M57" s="115"/>
      <c r="N57" s="115"/>
      <c r="O57" s="115"/>
      <c r="P57" s="115"/>
      <c r="Q57" s="115"/>
      <c r="R57" s="115"/>
      <c r="S57" s="115"/>
      <c r="T57" s="115"/>
      <c r="U57" s="115"/>
      <c r="V57" s="115"/>
      <c r="W57" s="115"/>
      <c r="X57" s="118"/>
      <c r="Y57" s="115"/>
      <c r="Z57" s="115"/>
      <c r="AA57" s="115"/>
      <c r="AB57" s="115"/>
      <c r="AC57" s="115"/>
      <c r="AD57" s="115"/>
      <c r="AE57" s="115"/>
      <c r="AF57" s="102"/>
    </row>
    <row r="58" spans="1:32" ht="18.600000000000001" thickBot="1" x14ac:dyDescent="0.4">
      <c r="A58" s="248" t="s">
        <v>324</v>
      </c>
      <c r="B58" s="115"/>
      <c r="C58" s="115"/>
      <c r="D58" s="115"/>
      <c r="E58" s="115"/>
      <c r="F58" s="115"/>
      <c r="G58" s="115"/>
      <c r="H58" s="115"/>
      <c r="I58" s="115"/>
      <c r="J58" s="115"/>
      <c r="K58" s="115"/>
      <c r="L58" s="115"/>
      <c r="M58" s="115"/>
      <c r="N58" s="115"/>
      <c r="O58" s="115"/>
      <c r="P58" s="115"/>
      <c r="Q58" s="115"/>
      <c r="R58" s="115"/>
      <c r="S58" s="115"/>
      <c r="T58" s="115"/>
      <c r="U58" s="115"/>
      <c r="V58" s="115"/>
      <c r="W58" s="115"/>
      <c r="X58" s="118"/>
      <c r="Y58" s="115"/>
      <c r="Z58" s="115"/>
      <c r="AA58" s="115"/>
      <c r="AB58" s="115"/>
      <c r="AC58" s="115"/>
      <c r="AD58" s="115"/>
      <c r="AE58" s="115"/>
      <c r="AF58" s="102"/>
    </row>
    <row r="59" spans="1:32" ht="15.6" x14ac:dyDescent="0.35">
      <c r="A59" s="137"/>
      <c r="B59" s="120"/>
      <c r="C59" s="120"/>
      <c r="D59" s="120"/>
      <c r="E59" s="120"/>
      <c r="F59" s="120"/>
      <c r="G59" s="138" t="s">
        <v>414</v>
      </c>
      <c r="H59" s="199">
        <f>VIN_nom</f>
        <v>15</v>
      </c>
      <c r="I59" s="183"/>
      <c r="J59" s="118"/>
      <c r="K59" s="115"/>
      <c r="L59" s="115"/>
      <c r="M59" s="115"/>
      <c r="N59" s="115"/>
      <c r="O59" s="115"/>
      <c r="P59" s="115"/>
      <c r="Q59" s="115"/>
      <c r="R59" s="115"/>
      <c r="S59" s="115"/>
      <c r="T59" s="115"/>
      <c r="U59" s="115"/>
      <c r="V59" s="115"/>
      <c r="W59" s="115"/>
      <c r="X59" s="118"/>
      <c r="Y59" s="115"/>
      <c r="Z59" s="115"/>
      <c r="AA59" s="115"/>
      <c r="AB59" s="115"/>
      <c r="AC59" s="115"/>
      <c r="AD59" s="115"/>
      <c r="AE59" s="115"/>
      <c r="AF59" s="102"/>
    </row>
    <row r="60" spans="1:32" x14ac:dyDescent="0.3">
      <c r="A60" s="139"/>
      <c r="B60" s="118"/>
      <c r="C60" s="118"/>
      <c r="D60" s="118"/>
      <c r="E60" s="118"/>
      <c r="F60" s="118"/>
      <c r="G60" s="198"/>
      <c r="H60" s="189"/>
      <c r="I60" s="163"/>
      <c r="J60" s="118"/>
      <c r="K60" s="115"/>
      <c r="L60" s="115"/>
      <c r="M60" s="115"/>
      <c r="N60" s="115"/>
      <c r="O60" s="115"/>
      <c r="P60" s="115"/>
      <c r="Q60" s="115"/>
      <c r="R60" s="115"/>
      <c r="S60" s="115"/>
      <c r="T60" s="115"/>
      <c r="U60" s="115"/>
      <c r="V60" s="115"/>
      <c r="W60" s="115"/>
      <c r="X60" s="118"/>
      <c r="Y60" s="115"/>
      <c r="Z60" s="115"/>
      <c r="AA60" s="115"/>
      <c r="AB60" s="115"/>
      <c r="AC60" s="115"/>
      <c r="AD60" s="115"/>
      <c r="AE60" s="115"/>
      <c r="AF60" s="102"/>
    </row>
    <row r="61" spans="1:32" ht="15" thickBot="1" x14ac:dyDescent="0.35">
      <c r="A61" s="139"/>
      <c r="B61" s="118"/>
      <c r="C61" s="118"/>
      <c r="D61" s="118"/>
      <c r="E61" s="118"/>
      <c r="F61" s="118"/>
      <c r="G61" s="140" t="s">
        <v>170</v>
      </c>
      <c r="H61" s="163"/>
      <c r="I61" s="163"/>
      <c r="J61" s="118"/>
      <c r="K61" s="115"/>
      <c r="L61" s="115"/>
      <c r="M61" s="115"/>
      <c r="N61" s="115"/>
      <c r="O61" s="115"/>
      <c r="P61" s="115"/>
      <c r="Q61" s="115"/>
      <c r="R61" s="115"/>
      <c r="S61" s="115"/>
      <c r="T61" s="115"/>
      <c r="U61" s="115"/>
      <c r="V61" s="115"/>
      <c r="W61" s="115"/>
      <c r="X61" s="118"/>
      <c r="Y61" s="115"/>
      <c r="Z61" s="115"/>
      <c r="AA61" s="115"/>
      <c r="AB61" s="115"/>
      <c r="AC61" s="115"/>
      <c r="AD61" s="115"/>
      <c r="AE61" s="115"/>
      <c r="AF61" s="102"/>
    </row>
    <row r="62" spans="1:32" ht="15.6" x14ac:dyDescent="0.35">
      <c r="A62" s="139"/>
      <c r="B62" s="118"/>
      <c r="C62" s="118"/>
      <c r="D62" s="118"/>
      <c r="E62" s="118"/>
      <c r="F62" s="118"/>
      <c r="G62" s="116" t="s">
        <v>508</v>
      </c>
      <c r="H62" s="160">
        <v>6</v>
      </c>
      <c r="I62" s="183" t="s">
        <v>11</v>
      </c>
      <c r="J62" s="118"/>
      <c r="K62" s="115"/>
      <c r="L62" s="115"/>
      <c r="M62" s="115"/>
      <c r="N62" s="115"/>
      <c r="O62" s="115"/>
      <c r="P62" s="115"/>
      <c r="Q62" s="115"/>
      <c r="R62" s="115"/>
      <c r="S62" s="115"/>
      <c r="T62" s="115"/>
      <c r="U62" s="115"/>
      <c r="V62" s="115"/>
      <c r="W62" s="115"/>
      <c r="X62" s="118"/>
      <c r="Y62" s="115"/>
      <c r="Z62" s="115"/>
      <c r="AA62" s="115"/>
      <c r="AB62" s="115"/>
      <c r="AC62" s="115"/>
      <c r="AD62" s="115"/>
      <c r="AE62" s="115"/>
      <c r="AF62" s="102"/>
    </row>
    <row r="63" spans="1:32" ht="15.6" x14ac:dyDescent="0.35">
      <c r="A63" s="139"/>
      <c r="B63" s="118"/>
      <c r="C63" s="118"/>
      <c r="D63" s="118"/>
      <c r="E63" s="118"/>
      <c r="F63" s="118"/>
      <c r="G63" s="132" t="s">
        <v>270</v>
      </c>
      <c r="H63" s="161">
        <v>30000</v>
      </c>
      <c r="I63" s="197" t="s">
        <v>169</v>
      </c>
      <c r="J63" s="226"/>
      <c r="K63" s="115"/>
      <c r="L63" s="115"/>
      <c r="M63" s="115"/>
      <c r="N63" s="115"/>
      <c r="O63" s="115"/>
      <c r="P63" s="115"/>
      <c r="Q63" s="115"/>
      <c r="R63" s="115"/>
      <c r="S63" s="115"/>
      <c r="T63" s="115"/>
      <c r="U63" s="115"/>
      <c r="V63" s="115"/>
      <c r="W63" s="115"/>
      <c r="X63" s="118"/>
      <c r="Y63" s="115"/>
      <c r="Z63" s="115"/>
      <c r="AA63" s="115"/>
      <c r="AB63" s="115"/>
      <c r="AC63" s="115"/>
      <c r="AD63" s="115"/>
      <c r="AE63" s="115"/>
      <c r="AF63" s="102"/>
    </row>
    <row r="64" spans="1:32" ht="15.6" x14ac:dyDescent="0.35">
      <c r="A64" s="139"/>
      <c r="B64" s="118"/>
      <c r="C64" s="118"/>
      <c r="D64" s="118"/>
      <c r="E64" s="118"/>
      <c r="F64" s="118"/>
      <c r="G64" s="132" t="s">
        <v>246</v>
      </c>
      <c r="H64" s="167">
        <f>CHOOSE(FB_type,RFBB_iso_calc/1000,RFBB_calc/1000)</f>
        <v>20.013342228152101</v>
      </c>
      <c r="I64" s="197" t="s">
        <v>169</v>
      </c>
      <c r="J64" s="226"/>
      <c r="K64" s="115"/>
      <c r="L64" s="115"/>
      <c r="M64" s="115"/>
      <c r="N64" s="115"/>
      <c r="O64" s="115"/>
      <c r="P64" s="115"/>
      <c r="Q64" s="115"/>
      <c r="R64" s="115"/>
      <c r="S64" s="115"/>
      <c r="T64" s="115"/>
      <c r="U64" s="115"/>
      <c r="V64" s="115"/>
      <c r="W64" s="115"/>
      <c r="X64" s="118"/>
      <c r="Y64" s="115"/>
      <c r="Z64" s="115"/>
      <c r="AA64" s="115"/>
      <c r="AB64" s="115"/>
      <c r="AC64" s="115"/>
      <c r="AD64" s="115"/>
      <c r="AE64" s="115"/>
      <c r="AF64" s="102"/>
    </row>
    <row r="65" spans="1:32" ht="16.2" thickBot="1" x14ac:dyDescent="0.4">
      <c r="A65" s="139"/>
      <c r="B65" s="118"/>
      <c r="C65" s="118"/>
      <c r="D65" s="118"/>
      <c r="E65" s="118"/>
      <c r="F65" s="118"/>
      <c r="G65" s="132" t="s">
        <v>271</v>
      </c>
      <c r="H65" s="302">
        <f>H64</f>
        <v>20.013342228152101</v>
      </c>
      <c r="I65" s="252" t="s">
        <v>169</v>
      </c>
      <c r="J65" s="226"/>
      <c r="K65" s="115"/>
      <c r="L65" s="115"/>
      <c r="M65" s="115"/>
      <c r="N65" s="115"/>
      <c r="O65" s="115"/>
      <c r="P65" s="115"/>
      <c r="Q65" s="115"/>
      <c r="R65" s="115"/>
      <c r="S65" s="115"/>
      <c r="T65" s="115"/>
      <c r="U65" s="115"/>
      <c r="V65" s="115"/>
      <c r="W65" s="115"/>
      <c r="X65" s="118"/>
      <c r="Y65" s="115"/>
      <c r="Z65" s="115"/>
      <c r="AA65" s="115"/>
      <c r="AB65" s="115"/>
      <c r="AC65" s="115"/>
      <c r="AD65" s="115"/>
      <c r="AE65" s="115"/>
      <c r="AF65" s="102"/>
    </row>
    <row r="66" spans="1:32" x14ac:dyDescent="0.3">
      <c r="A66" s="123"/>
      <c r="B66" s="118"/>
      <c r="C66" s="118"/>
      <c r="D66" s="118"/>
      <c r="E66" s="118"/>
      <c r="F66" s="118"/>
      <c r="G66" s="132"/>
      <c r="H66" s="163"/>
      <c r="I66" s="163"/>
      <c r="J66" s="118"/>
      <c r="K66" s="115"/>
      <c r="L66" s="115"/>
      <c r="M66" s="115"/>
      <c r="N66" s="115"/>
      <c r="O66" s="115"/>
      <c r="P66" s="115"/>
      <c r="Q66" s="115"/>
      <c r="R66" s="115"/>
      <c r="S66" s="115"/>
      <c r="T66" s="115"/>
      <c r="U66" s="115"/>
      <c r="V66" s="115"/>
      <c r="W66" s="115"/>
      <c r="X66" s="118"/>
      <c r="Y66" s="115"/>
      <c r="Z66" s="115"/>
      <c r="AA66" s="115"/>
      <c r="AB66" s="115"/>
      <c r="AC66" s="115"/>
      <c r="AD66" s="115"/>
      <c r="AE66" s="115"/>
      <c r="AF66" s="102"/>
    </row>
    <row r="67" spans="1:32" ht="15" thickBot="1" x14ac:dyDescent="0.35">
      <c r="A67" s="123"/>
      <c r="B67" s="118"/>
      <c r="C67" s="118"/>
      <c r="D67" s="118"/>
      <c r="E67" s="118"/>
      <c r="F67" s="118"/>
      <c r="G67" s="140" t="s">
        <v>509</v>
      </c>
      <c r="H67" s="163"/>
      <c r="I67" s="163"/>
      <c r="J67" s="118"/>
      <c r="K67" s="115"/>
      <c r="L67" s="115"/>
      <c r="M67" s="115"/>
      <c r="N67" s="115"/>
      <c r="O67" s="115"/>
      <c r="P67" s="115"/>
      <c r="Q67" s="115"/>
      <c r="R67" s="115"/>
      <c r="S67" s="115"/>
      <c r="T67" s="115"/>
      <c r="U67" s="115"/>
      <c r="V67" s="115"/>
      <c r="W67" s="115"/>
      <c r="X67" s="118"/>
      <c r="Y67" s="115"/>
      <c r="Z67" s="115"/>
      <c r="AA67" s="115"/>
      <c r="AB67" s="115"/>
      <c r="AC67" s="115"/>
      <c r="AD67" s="115"/>
      <c r="AE67" s="115"/>
      <c r="AF67" s="102"/>
    </row>
    <row r="68" spans="1:32" ht="15.6" x14ac:dyDescent="0.35">
      <c r="A68" s="123"/>
      <c r="B68" s="118"/>
      <c r="C68" s="118"/>
      <c r="D68" s="118"/>
      <c r="E68" s="118"/>
      <c r="F68" s="118"/>
      <c r="G68" s="132" t="s">
        <v>510</v>
      </c>
      <c r="H68" s="160">
        <v>1</v>
      </c>
      <c r="I68" s="183" t="s">
        <v>528</v>
      </c>
      <c r="J68" s="118"/>
      <c r="K68" s="115"/>
      <c r="L68" s="115"/>
      <c r="M68" s="115"/>
      <c r="N68" s="115"/>
      <c r="O68" s="115"/>
      <c r="P68" s="115"/>
      <c r="Q68" s="115"/>
      <c r="R68" s="115"/>
      <c r="S68" s="115"/>
      <c r="T68" s="115"/>
      <c r="U68" s="115"/>
      <c r="V68" s="115"/>
      <c r="W68" s="115"/>
      <c r="X68" s="118"/>
      <c r="Y68" s="115"/>
      <c r="Z68" s="115"/>
      <c r="AA68" s="115"/>
      <c r="AB68" s="115"/>
      <c r="AC68" s="115"/>
      <c r="AD68" s="115"/>
      <c r="AE68" s="115"/>
      <c r="AF68" s="102"/>
    </row>
    <row r="69" spans="1:32" ht="15.6" x14ac:dyDescent="0.35">
      <c r="A69" s="123"/>
      <c r="B69" s="118"/>
      <c r="C69" s="118"/>
      <c r="D69" s="118"/>
      <c r="E69" s="118"/>
      <c r="F69" s="118"/>
      <c r="G69" s="132" t="s">
        <v>511</v>
      </c>
      <c r="H69" s="161">
        <v>2</v>
      </c>
      <c r="I69" s="163" t="s">
        <v>528</v>
      </c>
      <c r="J69" s="118"/>
      <c r="K69" s="115"/>
      <c r="L69" s="115"/>
      <c r="M69" s="115"/>
      <c r="N69" s="115"/>
      <c r="O69" s="115"/>
      <c r="P69" s="115"/>
      <c r="Q69" s="115"/>
      <c r="R69" s="115"/>
      <c r="S69" s="115"/>
      <c r="T69" s="115"/>
      <c r="U69" s="115"/>
      <c r="V69" s="115"/>
      <c r="W69" s="115"/>
      <c r="X69" s="118"/>
      <c r="Y69" s="115"/>
      <c r="Z69" s="115"/>
      <c r="AA69" s="115"/>
      <c r="AB69" s="115"/>
      <c r="AC69" s="115"/>
      <c r="AD69" s="115"/>
      <c r="AE69" s="115"/>
      <c r="AF69" s="102"/>
    </row>
    <row r="70" spans="1:32" ht="15.6" x14ac:dyDescent="0.35">
      <c r="A70" s="123"/>
      <c r="B70" s="118"/>
      <c r="C70" s="118"/>
      <c r="D70" s="118"/>
      <c r="E70" s="118"/>
      <c r="F70" s="118"/>
      <c r="G70" s="132" t="s">
        <v>512</v>
      </c>
      <c r="H70" s="161">
        <v>1.4</v>
      </c>
      <c r="I70" s="163" t="s">
        <v>11</v>
      </c>
      <c r="J70" s="118"/>
      <c r="K70" s="115"/>
      <c r="L70" s="115"/>
      <c r="M70" s="115"/>
      <c r="N70" s="115"/>
      <c r="O70" s="115"/>
      <c r="P70" s="115"/>
      <c r="Q70" s="115"/>
      <c r="R70" s="115"/>
      <c r="S70" s="115"/>
      <c r="T70" s="115"/>
      <c r="U70" s="115"/>
      <c r="V70" s="115"/>
      <c r="W70" s="115"/>
      <c r="X70" s="118"/>
      <c r="Y70" s="115"/>
      <c r="Z70" s="115"/>
      <c r="AA70" s="115"/>
      <c r="AB70" s="115"/>
      <c r="AC70" s="115"/>
      <c r="AD70" s="115"/>
      <c r="AE70" s="115"/>
      <c r="AF70" s="102"/>
    </row>
    <row r="71" spans="1:32" ht="15.6" x14ac:dyDescent="0.35">
      <c r="A71" s="123"/>
      <c r="B71" s="118"/>
      <c r="C71" s="118"/>
      <c r="D71" s="118"/>
      <c r="E71" s="118"/>
      <c r="F71" s="118"/>
      <c r="G71" s="116" t="s">
        <v>689</v>
      </c>
      <c r="H71" s="161">
        <v>3.3</v>
      </c>
      <c r="I71" s="163" t="s">
        <v>172</v>
      </c>
      <c r="J71" s="118"/>
      <c r="K71" s="115"/>
      <c r="L71" s="115"/>
      <c r="M71" s="115"/>
      <c r="N71" s="115"/>
      <c r="O71" s="115"/>
      <c r="P71" s="115"/>
      <c r="Q71" s="115"/>
      <c r="R71" s="115"/>
      <c r="S71" s="115"/>
      <c r="T71" s="115"/>
      <c r="U71" s="115"/>
      <c r="V71" s="115"/>
      <c r="W71" s="115"/>
      <c r="X71" s="118"/>
      <c r="Y71" s="115"/>
      <c r="Z71" s="115"/>
      <c r="AA71" s="115"/>
      <c r="AB71" s="115"/>
      <c r="AC71" s="115"/>
      <c r="AD71" s="115"/>
      <c r="AE71" s="115"/>
      <c r="AF71" s="102"/>
    </row>
    <row r="72" spans="1:32" ht="16.2" thickBot="1" x14ac:dyDescent="0.4">
      <c r="A72" s="123"/>
      <c r="B72" s="118"/>
      <c r="C72" s="118"/>
      <c r="D72" s="118"/>
      <c r="E72" s="118"/>
      <c r="F72" s="118"/>
      <c r="G72" s="116" t="s">
        <v>690</v>
      </c>
      <c r="H72" s="166">
        <v>200</v>
      </c>
      <c r="I72" s="177" t="s">
        <v>147</v>
      </c>
      <c r="J72" s="118"/>
      <c r="K72" s="115"/>
      <c r="L72" s="115"/>
      <c r="M72" s="115"/>
      <c r="N72" s="115"/>
      <c r="O72" s="115"/>
      <c r="P72" s="115"/>
      <c r="Q72" s="115"/>
      <c r="R72" s="115"/>
      <c r="S72" s="115"/>
      <c r="T72" s="115"/>
      <c r="U72" s="115"/>
      <c r="V72" s="115"/>
      <c r="W72" s="115"/>
      <c r="X72" s="118"/>
      <c r="Y72" s="115"/>
      <c r="Z72" s="115"/>
      <c r="AA72" s="115"/>
      <c r="AB72" s="115"/>
      <c r="AC72" s="115"/>
      <c r="AD72" s="115"/>
      <c r="AE72" s="115"/>
      <c r="AF72" s="102"/>
    </row>
    <row r="73" spans="1:32" x14ac:dyDescent="0.3">
      <c r="A73" s="123"/>
      <c r="B73" s="118"/>
      <c r="C73" s="118"/>
      <c r="D73" s="118"/>
      <c r="E73" s="118"/>
      <c r="F73" s="118"/>
      <c r="G73" s="132"/>
      <c r="H73" s="163"/>
      <c r="I73" s="163"/>
      <c r="J73" s="118"/>
      <c r="K73" s="115"/>
      <c r="L73" s="115"/>
      <c r="M73" s="115"/>
      <c r="N73" s="115"/>
      <c r="O73" s="115"/>
      <c r="P73" s="115"/>
      <c r="Q73" s="115"/>
      <c r="R73" s="115"/>
      <c r="S73" s="115"/>
      <c r="T73" s="115"/>
      <c r="U73" s="115"/>
      <c r="V73" s="115"/>
      <c r="W73" s="115"/>
      <c r="X73" s="118"/>
      <c r="Y73" s="115"/>
      <c r="Z73" s="115"/>
      <c r="AA73" s="115"/>
      <c r="AB73" s="115"/>
      <c r="AC73" s="115"/>
      <c r="AD73" s="115"/>
      <c r="AE73" s="115"/>
      <c r="AF73" s="102"/>
    </row>
    <row r="74" spans="1:32" ht="16.2" thickBot="1" x14ac:dyDescent="0.4">
      <c r="A74" s="123"/>
      <c r="B74" s="118"/>
      <c r="C74" s="118"/>
      <c r="D74" s="118"/>
      <c r="E74" s="118"/>
      <c r="F74" s="118"/>
      <c r="G74" s="140" t="s">
        <v>569</v>
      </c>
      <c r="H74" s="163"/>
      <c r="I74" s="163"/>
      <c r="J74" s="118"/>
      <c r="K74" s="115"/>
      <c r="L74" s="115"/>
      <c r="M74" s="115"/>
      <c r="N74" s="115"/>
      <c r="O74" s="115"/>
      <c r="P74" s="115"/>
      <c r="Q74" s="115"/>
      <c r="R74" s="115"/>
      <c r="S74" s="115"/>
      <c r="T74" s="115"/>
      <c r="U74" s="115"/>
      <c r="V74" s="115"/>
      <c r="W74" s="115"/>
      <c r="X74" s="118"/>
      <c r="Y74" s="115"/>
      <c r="Z74" s="115"/>
      <c r="AA74" s="115"/>
      <c r="AB74" s="115"/>
      <c r="AC74" s="115"/>
      <c r="AD74" s="115"/>
      <c r="AE74" s="115"/>
      <c r="AF74" s="102"/>
    </row>
    <row r="75" spans="1:32" ht="15.6" x14ac:dyDescent="0.35">
      <c r="A75" s="123"/>
      <c r="B75" s="118"/>
      <c r="C75" s="118"/>
      <c r="D75" s="118"/>
      <c r="E75" s="118"/>
      <c r="F75" s="118"/>
      <c r="G75" s="196" t="s">
        <v>545</v>
      </c>
      <c r="H75" s="160">
        <v>6.8</v>
      </c>
      <c r="I75" s="253" t="s">
        <v>11</v>
      </c>
      <c r="J75" s="227"/>
      <c r="K75" s="115"/>
      <c r="L75" s="115"/>
      <c r="M75" s="115"/>
      <c r="N75" s="115"/>
      <c r="O75" s="115"/>
      <c r="P75" s="115"/>
      <c r="Q75" s="115"/>
      <c r="R75" s="115"/>
      <c r="S75" s="115"/>
      <c r="T75" s="115"/>
      <c r="U75" s="115"/>
      <c r="V75" s="115"/>
      <c r="W75" s="115"/>
      <c r="X75" s="118"/>
      <c r="Y75" s="115"/>
      <c r="Z75" s="115"/>
      <c r="AA75" s="115"/>
      <c r="AB75" s="115"/>
      <c r="AC75" s="115"/>
      <c r="AD75" s="115"/>
      <c r="AE75" s="115"/>
      <c r="AF75" s="102"/>
    </row>
    <row r="76" spans="1:32" ht="15.6" x14ac:dyDescent="0.35">
      <c r="A76" s="123"/>
      <c r="B76" s="118"/>
      <c r="C76" s="118"/>
      <c r="D76" s="118"/>
      <c r="E76" s="118"/>
      <c r="F76" s="118"/>
      <c r="G76" s="132" t="s">
        <v>529</v>
      </c>
      <c r="H76" s="162">
        <f>Rpullup_min/1000</f>
        <v>2.6874999999999996</v>
      </c>
      <c r="I76" s="197" t="s">
        <v>169</v>
      </c>
      <c r="J76" s="226"/>
      <c r="K76" s="115"/>
      <c r="L76" s="115"/>
      <c r="M76" s="115"/>
      <c r="N76" s="115"/>
      <c r="O76" s="115"/>
      <c r="P76" s="115"/>
      <c r="Q76" s="115"/>
      <c r="R76" s="115"/>
      <c r="S76" s="115"/>
      <c r="T76" s="115"/>
      <c r="U76" s="115"/>
      <c r="V76" s="115"/>
      <c r="W76" s="115"/>
      <c r="X76" s="118"/>
      <c r="Y76" s="115"/>
      <c r="Z76" s="115"/>
      <c r="AA76" s="115"/>
      <c r="AB76" s="115"/>
      <c r="AC76" s="115"/>
      <c r="AD76" s="115"/>
      <c r="AE76" s="115"/>
      <c r="AF76" s="102"/>
    </row>
    <row r="77" spans="1:32" ht="15.6" x14ac:dyDescent="0.35">
      <c r="A77" s="123"/>
      <c r="B77" s="118"/>
      <c r="C77" s="118"/>
      <c r="D77" s="118"/>
      <c r="E77" s="118"/>
      <c r="F77" s="118"/>
      <c r="G77" s="132" t="s">
        <v>549</v>
      </c>
      <c r="H77" s="161">
        <v>4.99</v>
      </c>
      <c r="I77" s="197" t="s">
        <v>169</v>
      </c>
      <c r="J77" s="226"/>
      <c r="K77" s="115"/>
      <c r="L77" s="115"/>
      <c r="M77" s="115"/>
      <c r="N77" s="115"/>
      <c r="O77" s="115"/>
      <c r="P77" s="115"/>
      <c r="Q77" s="115"/>
      <c r="R77" s="115"/>
      <c r="S77" s="115"/>
      <c r="T77" s="115"/>
      <c r="U77" s="115"/>
      <c r="V77" s="115"/>
      <c r="W77" s="115"/>
      <c r="X77" s="118"/>
      <c r="Y77" s="115"/>
      <c r="Z77" s="115"/>
      <c r="AA77" s="115"/>
      <c r="AB77" s="115"/>
      <c r="AC77" s="115"/>
      <c r="AD77" s="115"/>
      <c r="AE77" s="115"/>
      <c r="AF77" s="102"/>
    </row>
    <row r="78" spans="1:32" ht="15.6" x14ac:dyDescent="0.35">
      <c r="A78" s="123"/>
      <c r="B78" s="118"/>
      <c r="C78" s="118"/>
      <c r="D78" s="118"/>
      <c r="E78" s="118"/>
      <c r="F78" s="118"/>
      <c r="G78" s="132" t="s">
        <v>591</v>
      </c>
      <c r="H78" s="162">
        <f>Variable_Management!B219/1000</f>
        <v>1128.4960606060606</v>
      </c>
      <c r="I78" s="197" t="s">
        <v>169</v>
      </c>
      <c r="J78" s="226"/>
      <c r="K78" s="115"/>
      <c r="L78" s="115"/>
      <c r="M78" s="115"/>
      <c r="N78" s="115"/>
      <c r="O78" s="115"/>
      <c r="P78" s="115"/>
      <c r="Q78" s="115"/>
      <c r="R78" s="115"/>
      <c r="S78" s="115"/>
      <c r="T78" s="115"/>
      <c r="U78" s="115"/>
      <c r="V78" s="115"/>
      <c r="W78" s="115"/>
      <c r="X78" s="118"/>
      <c r="Y78" s="115"/>
      <c r="Z78" s="115"/>
      <c r="AA78" s="115"/>
      <c r="AB78" s="115"/>
      <c r="AC78" s="115"/>
      <c r="AD78" s="115"/>
      <c r="AE78" s="115"/>
      <c r="AF78" s="102"/>
    </row>
    <row r="79" spans="1:32" ht="16.2" thickBot="1" x14ac:dyDescent="0.4">
      <c r="A79" s="123"/>
      <c r="B79" s="118"/>
      <c r="C79" s="118"/>
      <c r="D79" s="118"/>
      <c r="E79" s="118"/>
      <c r="F79" s="118"/>
      <c r="G79" s="132" t="s">
        <v>570</v>
      </c>
      <c r="H79" s="166">
        <v>1</v>
      </c>
      <c r="I79" s="252" t="s">
        <v>169</v>
      </c>
      <c r="J79" s="226"/>
      <c r="K79" s="115"/>
      <c r="L79" s="115"/>
      <c r="M79" s="115"/>
      <c r="N79" s="115"/>
      <c r="O79" s="115"/>
      <c r="P79" s="115"/>
      <c r="Q79" s="115"/>
      <c r="R79" s="115"/>
      <c r="S79" s="115"/>
      <c r="T79" s="115"/>
      <c r="U79" s="115"/>
      <c r="V79" s="115"/>
      <c r="W79" s="115"/>
      <c r="X79" s="118"/>
      <c r="Y79" s="115"/>
      <c r="Z79" s="115"/>
      <c r="AA79" s="115"/>
      <c r="AB79" s="115"/>
      <c r="AC79" s="115"/>
      <c r="AD79" s="115"/>
      <c r="AE79" s="115"/>
      <c r="AF79" s="102"/>
    </row>
    <row r="80" spans="1:32" x14ac:dyDescent="0.3">
      <c r="A80" s="123"/>
      <c r="B80" s="118"/>
      <c r="C80" s="118"/>
      <c r="D80" s="118"/>
      <c r="E80" s="118"/>
      <c r="F80" s="118"/>
      <c r="G80" s="132"/>
      <c r="H80" s="163"/>
      <c r="I80" s="163"/>
      <c r="J80" s="118"/>
      <c r="K80" s="115"/>
      <c r="L80" s="115"/>
      <c r="M80" s="115"/>
      <c r="N80" s="115"/>
      <c r="O80" s="115"/>
      <c r="P80" s="115"/>
      <c r="Q80" s="115"/>
      <c r="R80" s="115"/>
      <c r="S80" s="115"/>
      <c r="T80" s="115"/>
      <c r="U80" s="115"/>
      <c r="V80" s="115"/>
      <c r="W80" s="115"/>
      <c r="X80" s="118"/>
      <c r="Y80" s="115"/>
      <c r="Z80" s="115"/>
      <c r="AA80" s="115"/>
      <c r="AB80" s="115"/>
      <c r="AC80" s="115"/>
      <c r="AD80" s="115"/>
      <c r="AE80" s="115"/>
      <c r="AF80" s="102"/>
    </row>
    <row r="81" spans="1:32" ht="15" thickBot="1" x14ac:dyDescent="0.35">
      <c r="A81" s="123"/>
      <c r="B81" s="118"/>
      <c r="C81" s="118"/>
      <c r="D81" s="118"/>
      <c r="E81" s="118"/>
      <c r="F81" s="118"/>
      <c r="G81" s="140" t="s">
        <v>553</v>
      </c>
      <c r="H81" s="163"/>
      <c r="I81" s="163"/>
      <c r="J81" s="118"/>
      <c r="K81" s="115"/>
      <c r="L81" s="115"/>
      <c r="M81" s="115"/>
      <c r="N81" s="115"/>
      <c r="O81" s="115"/>
      <c r="P81" s="115"/>
      <c r="Q81" s="115"/>
      <c r="R81" s="115"/>
      <c r="S81" s="115"/>
      <c r="T81" s="115"/>
      <c r="U81" s="115"/>
      <c r="V81" s="115"/>
      <c r="W81" s="115"/>
      <c r="X81" s="118"/>
      <c r="Y81" s="115"/>
      <c r="Z81" s="115"/>
      <c r="AA81" s="115"/>
      <c r="AB81" s="115"/>
      <c r="AC81" s="115"/>
      <c r="AD81" s="115"/>
      <c r="AE81" s="115"/>
      <c r="AF81" s="102"/>
    </row>
    <row r="82" spans="1:32" x14ac:dyDescent="0.3">
      <c r="A82" s="123"/>
      <c r="B82" s="118"/>
      <c r="C82" s="118"/>
      <c r="D82" s="118"/>
      <c r="E82" s="118"/>
      <c r="F82" s="118"/>
      <c r="G82" s="132" t="s">
        <v>589</v>
      </c>
      <c r="H82" s="254">
        <f>CHOOSE(FB_type,Variable_Management!B225,fcross_est)/1000</f>
        <v>10</v>
      </c>
      <c r="I82" s="183" t="s">
        <v>13</v>
      </c>
      <c r="J82" s="118"/>
      <c r="K82" s="115"/>
      <c r="L82" s="115"/>
      <c r="M82" s="115"/>
      <c r="N82" s="115"/>
      <c r="O82" s="115"/>
      <c r="P82" s="115"/>
      <c r="Q82" s="115"/>
      <c r="R82" s="115"/>
      <c r="S82" s="115"/>
      <c r="T82" s="115"/>
      <c r="U82" s="115"/>
      <c r="V82" s="115"/>
      <c r="W82" s="115"/>
      <c r="X82" s="118"/>
      <c r="Y82" s="115"/>
      <c r="Z82" s="115"/>
      <c r="AA82" s="115"/>
      <c r="AB82" s="115"/>
      <c r="AC82" s="115"/>
      <c r="AD82" s="115"/>
      <c r="AE82" s="115"/>
      <c r="AF82" s="102"/>
    </row>
    <row r="83" spans="1:32" ht="16.2" thickBot="1" x14ac:dyDescent="0.4">
      <c r="A83" s="123"/>
      <c r="B83" s="118"/>
      <c r="C83" s="118"/>
      <c r="D83" s="118"/>
      <c r="E83" s="118"/>
      <c r="F83" s="118"/>
      <c r="G83" s="132" t="s">
        <v>388</v>
      </c>
      <c r="H83" s="166">
        <v>0.64</v>
      </c>
      <c r="I83" s="177" t="s">
        <v>13</v>
      </c>
      <c r="J83" s="118"/>
      <c r="K83" s="115"/>
      <c r="L83" s="115"/>
      <c r="M83" s="115"/>
      <c r="N83" s="115"/>
      <c r="O83" s="115"/>
      <c r="P83" s="115"/>
      <c r="Q83" s="115"/>
      <c r="R83" s="115"/>
      <c r="S83" s="115"/>
      <c r="T83" s="115"/>
      <c r="U83" s="115"/>
      <c r="V83" s="115"/>
      <c r="W83" s="115"/>
      <c r="X83" s="118"/>
      <c r="Y83" s="115"/>
      <c r="Z83" s="115"/>
      <c r="AA83" s="115"/>
      <c r="AB83" s="115"/>
      <c r="AC83" s="115"/>
      <c r="AD83" s="115"/>
      <c r="AE83" s="115"/>
      <c r="AF83" s="102"/>
    </row>
    <row r="84" spans="1:32" x14ac:dyDescent="0.3">
      <c r="A84" s="123"/>
      <c r="B84" s="118"/>
      <c r="C84" s="118"/>
      <c r="D84" s="118"/>
      <c r="E84" s="118"/>
      <c r="F84" s="118"/>
      <c r="G84" s="132"/>
      <c r="H84" s="163"/>
      <c r="I84" s="163"/>
      <c r="J84" s="118"/>
      <c r="K84" s="115"/>
      <c r="L84" s="115"/>
      <c r="M84" s="115"/>
      <c r="N84" s="115"/>
      <c r="O84" s="115"/>
      <c r="P84" s="115"/>
      <c r="Q84" s="115"/>
      <c r="R84" s="115"/>
      <c r="S84" s="115"/>
      <c r="T84" s="115"/>
      <c r="U84" s="115"/>
      <c r="V84" s="115"/>
      <c r="W84" s="115"/>
      <c r="X84" s="118"/>
      <c r="Y84" s="115"/>
      <c r="Z84" s="115"/>
      <c r="AA84" s="115"/>
      <c r="AB84" s="115"/>
      <c r="AC84" s="115"/>
      <c r="AD84" s="115"/>
      <c r="AE84" s="115"/>
      <c r="AF84" s="102"/>
    </row>
    <row r="85" spans="1:32" ht="15" thickBot="1" x14ac:dyDescent="0.35">
      <c r="A85" s="123"/>
      <c r="B85" s="118"/>
      <c r="C85" s="118"/>
      <c r="D85" s="118"/>
      <c r="E85" s="118"/>
      <c r="F85" s="141" t="s">
        <v>276</v>
      </c>
      <c r="G85" s="141"/>
      <c r="H85" s="171" t="s">
        <v>277</v>
      </c>
      <c r="I85" s="171"/>
      <c r="J85" s="141"/>
      <c r="K85" s="115"/>
      <c r="L85" s="115"/>
      <c r="M85" s="115"/>
      <c r="N85" s="115"/>
      <c r="O85" s="115"/>
      <c r="P85" s="115"/>
      <c r="Q85" s="115"/>
      <c r="R85" s="115"/>
      <c r="S85" s="115"/>
      <c r="T85" s="115"/>
      <c r="U85" s="115"/>
      <c r="V85" s="115"/>
      <c r="W85" s="115"/>
      <c r="X85" s="118"/>
      <c r="Y85" s="115"/>
      <c r="Z85" s="115"/>
      <c r="AA85" s="115"/>
      <c r="AB85" s="115"/>
      <c r="AC85" s="115"/>
      <c r="AD85" s="115"/>
      <c r="AE85" s="115"/>
      <c r="AF85" s="102"/>
    </row>
    <row r="86" spans="1:32" ht="16.2" thickBot="1" x14ac:dyDescent="0.4">
      <c r="A86" s="123"/>
      <c r="B86" s="118"/>
      <c r="C86" s="118"/>
      <c r="D86" s="118"/>
      <c r="E86" s="132" t="s">
        <v>275</v>
      </c>
      <c r="F86" s="173">
        <f>CHOOSE(FB_type,Variable_Management!B228,Rcomp_calc)/1000</f>
        <v>2.934614162947653</v>
      </c>
      <c r="G86" s="191" t="s">
        <v>169</v>
      </c>
      <c r="H86" s="275">
        <v>3.24</v>
      </c>
      <c r="I86" s="256" t="s">
        <v>169</v>
      </c>
      <c r="J86" s="226"/>
      <c r="K86" s="115"/>
      <c r="L86" s="115"/>
      <c r="M86" s="115"/>
      <c r="N86" s="115"/>
      <c r="O86" s="115"/>
      <c r="P86" s="115"/>
      <c r="Q86" s="115"/>
      <c r="R86" s="115"/>
      <c r="S86" s="115"/>
      <c r="T86" s="115"/>
      <c r="U86" s="115"/>
      <c r="V86" s="115"/>
      <c r="W86" s="115"/>
      <c r="X86" s="118"/>
      <c r="Y86" s="115"/>
      <c r="Z86" s="115"/>
      <c r="AA86" s="115"/>
      <c r="AB86" s="115"/>
      <c r="AC86" s="115"/>
      <c r="AD86" s="115"/>
      <c r="AE86" s="115"/>
      <c r="AF86" s="102"/>
    </row>
    <row r="87" spans="1:32" ht="16.2" thickBot="1" x14ac:dyDescent="0.4">
      <c r="A87" s="123"/>
      <c r="B87" s="118"/>
      <c r="C87" s="118"/>
      <c r="D87" s="118"/>
      <c r="E87" s="132" t="s">
        <v>379</v>
      </c>
      <c r="F87" s="173">
        <f>CHOOSE(FB_type,Ccomp_iso_calc,CComp_calc)*10^9</f>
        <v>1050.8943277459484</v>
      </c>
      <c r="G87" s="191" t="s">
        <v>172</v>
      </c>
      <c r="H87" s="275">
        <v>1000</v>
      </c>
      <c r="I87" s="163" t="s">
        <v>172</v>
      </c>
      <c r="J87" s="118"/>
      <c r="K87" s="115"/>
      <c r="L87" s="115"/>
      <c r="M87" s="115"/>
      <c r="N87" s="115"/>
      <c r="O87" s="115"/>
      <c r="P87" s="115"/>
      <c r="Q87" s="115"/>
      <c r="R87" s="115"/>
      <c r="S87" s="115"/>
      <c r="T87" s="115"/>
      <c r="U87" s="115"/>
      <c r="V87" s="115"/>
      <c r="W87" s="115"/>
      <c r="X87" s="118"/>
      <c r="Y87" s="115"/>
      <c r="Z87" s="115"/>
      <c r="AA87" s="115"/>
      <c r="AB87" s="115"/>
      <c r="AC87" s="115"/>
      <c r="AD87" s="115"/>
      <c r="AE87" s="115"/>
      <c r="AF87" s="102"/>
    </row>
    <row r="88" spans="1:32" ht="16.2" thickBot="1" x14ac:dyDescent="0.4">
      <c r="A88" s="130"/>
      <c r="B88" s="127"/>
      <c r="C88" s="127"/>
      <c r="D88" s="127"/>
      <c r="E88" s="134" t="s">
        <v>380</v>
      </c>
      <c r="F88" s="172">
        <f>CHOOSE(FB_type,0,Variable_Management!B271)*(10^12)</f>
        <v>571.1451247165536</v>
      </c>
      <c r="G88" s="192" t="s">
        <v>171</v>
      </c>
      <c r="H88" s="276">
        <v>1000</v>
      </c>
      <c r="I88" s="177" t="s">
        <v>171</v>
      </c>
      <c r="J88" s="118"/>
      <c r="K88" s="115"/>
      <c r="L88" s="115"/>
      <c r="M88" s="115"/>
      <c r="N88" s="115"/>
      <c r="O88" s="115"/>
      <c r="P88" s="115"/>
      <c r="Q88" s="115"/>
      <c r="R88" s="115"/>
      <c r="S88" s="115"/>
      <c r="T88" s="115"/>
      <c r="U88" s="115"/>
      <c r="V88" s="115"/>
      <c r="W88" s="115"/>
      <c r="X88" s="118"/>
      <c r="Y88" s="115"/>
      <c r="Z88" s="115"/>
      <c r="AA88" s="115"/>
      <c r="AB88" s="115"/>
      <c r="AC88" s="115"/>
      <c r="AD88" s="115"/>
      <c r="AE88" s="115"/>
      <c r="AF88" s="102"/>
    </row>
    <row r="89" spans="1:32" x14ac:dyDescent="0.3">
      <c r="A89" s="115"/>
      <c r="B89" s="115"/>
      <c r="C89" s="115"/>
      <c r="D89" s="115"/>
      <c r="E89" s="116"/>
      <c r="F89" s="142"/>
      <c r="G89" s="116"/>
      <c r="H89" s="143"/>
      <c r="I89" s="115"/>
      <c r="J89" s="115"/>
      <c r="K89" s="115"/>
      <c r="L89" s="115"/>
      <c r="M89" s="115"/>
      <c r="N89" s="115"/>
      <c r="O89" s="115"/>
      <c r="P89" s="115"/>
      <c r="Q89" s="115"/>
      <c r="R89" s="115"/>
      <c r="S89" s="115"/>
      <c r="T89" s="115"/>
      <c r="U89" s="115"/>
      <c r="V89" s="115"/>
      <c r="W89" s="115"/>
      <c r="X89" s="118"/>
      <c r="Y89" s="115"/>
      <c r="Z89" s="115"/>
      <c r="AA89" s="115"/>
      <c r="AB89" s="115"/>
      <c r="AC89" s="115"/>
      <c r="AD89" s="115"/>
      <c r="AE89" s="115"/>
      <c r="AF89" s="102"/>
    </row>
    <row r="90" spans="1:32" ht="23.4" x14ac:dyDescent="0.45">
      <c r="A90" s="144" t="s">
        <v>274</v>
      </c>
      <c r="B90" s="145"/>
      <c r="C90" s="145"/>
      <c r="D90" s="145"/>
      <c r="E90" s="145"/>
      <c r="F90" s="145"/>
      <c r="G90" s="146"/>
      <c r="H90" s="145"/>
      <c r="I90" s="145"/>
      <c r="J90" s="145"/>
      <c r="K90" s="145"/>
      <c r="L90" s="145"/>
      <c r="M90" s="145"/>
      <c r="N90" s="145"/>
      <c r="O90" s="145"/>
      <c r="P90" s="145"/>
      <c r="Q90" s="145"/>
      <c r="R90" s="145"/>
      <c r="S90" s="145"/>
      <c r="T90" s="145"/>
      <c r="U90" s="145"/>
      <c r="V90" s="145"/>
      <c r="W90" s="147"/>
      <c r="X90" s="148"/>
      <c r="Y90" s="147"/>
      <c r="Z90" s="147"/>
      <c r="AA90" s="147"/>
      <c r="AB90" s="147"/>
      <c r="AC90" s="147"/>
      <c r="AD90" s="147"/>
      <c r="AE90" s="147"/>
    </row>
    <row r="91" spans="1:32" x14ac:dyDescent="0.3">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8"/>
      <c r="Y91" s="115"/>
      <c r="Z91" s="115"/>
      <c r="AA91" s="115"/>
      <c r="AB91" s="115"/>
      <c r="AC91" s="115"/>
      <c r="AD91" s="115"/>
      <c r="AE91" s="115"/>
      <c r="AF91" s="102"/>
    </row>
    <row r="92" spans="1:32" ht="18.600000000000001" thickBot="1" x14ac:dyDescent="0.4">
      <c r="A92" s="251" t="s">
        <v>344</v>
      </c>
      <c r="B92" s="118"/>
      <c r="C92" s="118"/>
      <c r="D92" s="118"/>
      <c r="E92" s="118"/>
      <c r="F92" s="115"/>
      <c r="G92" s="115"/>
      <c r="H92" s="118"/>
      <c r="I92" s="118"/>
      <c r="J92" s="118"/>
      <c r="K92" s="115"/>
      <c r="L92" s="115"/>
      <c r="M92" s="115"/>
      <c r="N92" s="115"/>
      <c r="O92" s="115"/>
      <c r="P92" s="115"/>
      <c r="Q92" s="115"/>
      <c r="R92" s="115"/>
      <c r="S92" s="115"/>
      <c r="T92" s="115"/>
      <c r="U92" s="115"/>
      <c r="V92" s="115"/>
      <c r="W92" s="115"/>
      <c r="X92" s="118"/>
      <c r="Y92" s="115"/>
      <c r="Z92" s="115"/>
      <c r="AA92" s="115"/>
      <c r="AB92" s="115"/>
      <c r="AC92" s="115"/>
      <c r="AD92" s="115"/>
      <c r="AE92" s="115"/>
      <c r="AF92" s="102"/>
    </row>
    <row r="93" spans="1:32" ht="15.6" x14ac:dyDescent="0.35">
      <c r="A93" s="119"/>
      <c r="B93" s="120"/>
      <c r="C93" s="120"/>
      <c r="D93" s="120"/>
      <c r="E93" s="120"/>
      <c r="F93" s="120"/>
      <c r="G93" s="149" t="s">
        <v>333</v>
      </c>
      <c r="H93" s="160">
        <v>70</v>
      </c>
      <c r="I93" s="150" t="s">
        <v>339</v>
      </c>
      <c r="J93" s="228"/>
      <c r="K93" s="115"/>
      <c r="L93" s="115"/>
      <c r="M93" s="115"/>
      <c r="N93" s="115"/>
      <c r="O93" s="115"/>
      <c r="P93" s="115"/>
      <c r="Q93" s="115"/>
      <c r="R93" s="115"/>
      <c r="S93" s="115"/>
      <c r="T93" s="115"/>
      <c r="U93" s="115"/>
      <c r="V93" s="115"/>
      <c r="W93" s="115"/>
      <c r="X93" s="118"/>
      <c r="Y93" s="115"/>
      <c r="Z93" s="115"/>
      <c r="AA93" s="115"/>
      <c r="AB93" s="115"/>
      <c r="AC93" s="115"/>
      <c r="AD93" s="115"/>
      <c r="AE93" s="115"/>
      <c r="AF93" s="102"/>
    </row>
    <row r="94" spans="1:32" ht="15.6" x14ac:dyDescent="0.35">
      <c r="A94" s="139"/>
      <c r="B94" s="118"/>
      <c r="C94" s="118"/>
      <c r="D94" s="118"/>
      <c r="E94" s="118"/>
      <c r="F94" s="118"/>
      <c r="G94" s="151" t="s">
        <v>334</v>
      </c>
      <c r="H94" s="161">
        <v>5.4</v>
      </c>
      <c r="I94" s="152" t="s">
        <v>340</v>
      </c>
      <c r="J94" s="228"/>
      <c r="K94" s="115"/>
      <c r="L94" s="115"/>
      <c r="M94" s="115"/>
      <c r="N94" s="115"/>
      <c r="O94" s="115"/>
      <c r="P94" s="115"/>
      <c r="Q94" s="115"/>
      <c r="R94" s="115"/>
      <c r="S94" s="115"/>
      <c r="T94" s="115"/>
      <c r="U94" s="115"/>
      <c r="V94" s="115"/>
      <c r="W94" s="115"/>
      <c r="X94" s="118"/>
      <c r="Y94" s="115"/>
      <c r="Z94" s="115"/>
      <c r="AA94" s="115"/>
      <c r="AB94" s="115"/>
      <c r="AC94" s="115"/>
      <c r="AD94" s="115"/>
      <c r="AE94" s="115"/>
      <c r="AF94" s="102"/>
    </row>
    <row r="95" spans="1:32" ht="15.6" x14ac:dyDescent="0.35">
      <c r="A95" s="139"/>
      <c r="B95" s="118"/>
      <c r="C95" s="118"/>
      <c r="D95" s="118"/>
      <c r="E95" s="118"/>
      <c r="F95" s="118"/>
      <c r="G95" s="151" t="s">
        <v>335</v>
      </c>
      <c r="H95" s="161">
        <v>0.38</v>
      </c>
      <c r="I95" s="152" t="s">
        <v>340</v>
      </c>
      <c r="J95" s="228"/>
      <c r="K95" s="115"/>
      <c r="L95" s="115"/>
      <c r="M95" s="115"/>
      <c r="N95" s="115"/>
      <c r="O95" s="115"/>
      <c r="P95" s="115"/>
      <c r="Q95" s="115"/>
      <c r="R95" s="115"/>
      <c r="S95" s="115"/>
      <c r="T95" s="115"/>
      <c r="U95" s="115"/>
      <c r="V95" s="115"/>
      <c r="W95" s="115"/>
      <c r="X95" s="118"/>
      <c r="Y95" s="115"/>
      <c r="Z95" s="115"/>
      <c r="AA95" s="115"/>
      <c r="AB95" s="115"/>
      <c r="AC95" s="115"/>
      <c r="AD95" s="115"/>
      <c r="AE95" s="115"/>
      <c r="AF95" s="102"/>
    </row>
    <row r="96" spans="1:32" ht="15.6" x14ac:dyDescent="0.35">
      <c r="A96" s="123"/>
      <c r="B96" s="118"/>
      <c r="C96" s="118"/>
      <c r="D96" s="118"/>
      <c r="E96" s="118"/>
      <c r="F96" s="118"/>
      <c r="G96" s="151" t="s">
        <v>336</v>
      </c>
      <c r="H96" s="161">
        <v>0.3</v>
      </c>
      <c r="I96" s="152" t="s">
        <v>340</v>
      </c>
      <c r="J96" s="228"/>
      <c r="K96" s="115"/>
      <c r="L96" s="115"/>
      <c r="M96" s="115"/>
      <c r="N96" s="115"/>
      <c r="O96" s="115"/>
      <c r="P96" s="115"/>
      <c r="Q96" s="115"/>
      <c r="R96" s="115"/>
      <c r="S96" s="115"/>
      <c r="T96" s="115"/>
      <c r="U96" s="115"/>
      <c r="V96" s="115"/>
      <c r="W96" s="115"/>
      <c r="X96" s="118"/>
      <c r="Y96" s="115"/>
      <c r="Z96" s="115"/>
      <c r="AA96" s="115"/>
      <c r="AB96" s="115"/>
      <c r="AC96" s="115"/>
      <c r="AD96" s="115"/>
      <c r="AE96" s="115"/>
      <c r="AF96" s="102"/>
    </row>
    <row r="97" spans="1:32" ht="15.6" x14ac:dyDescent="0.35">
      <c r="A97" s="123"/>
      <c r="B97" s="118"/>
      <c r="C97" s="118"/>
      <c r="D97" s="118"/>
      <c r="E97" s="118"/>
      <c r="F97" s="118"/>
      <c r="G97" s="151" t="s">
        <v>337</v>
      </c>
      <c r="H97" s="161">
        <v>0.7</v>
      </c>
      <c r="I97" s="152" t="s">
        <v>341</v>
      </c>
      <c r="J97" s="228"/>
      <c r="K97" s="115"/>
      <c r="L97" s="115"/>
      <c r="M97" s="115"/>
      <c r="N97" s="115"/>
      <c r="O97" s="115"/>
      <c r="P97" s="115"/>
      <c r="Q97" s="115"/>
      <c r="R97" s="115"/>
      <c r="S97" s="115"/>
      <c r="T97" s="115"/>
      <c r="U97" s="115"/>
      <c r="V97" s="115"/>
      <c r="W97" s="115"/>
      <c r="X97" s="118"/>
      <c r="Y97" s="115"/>
      <c r="Z97" s="115"/>
      <c r="AA97" s="115"/>
      <c r="AB97" s="115"/>
      <c r="AC97" s="115"/>
      <c r="AD97" s="115"/>
      <c r="AE97" s="115"/>
      <c r="AF97" s="102"/>
    </row>
    <row r="98" spans="1:32" ht="16.2" thickBot="1" x14ac:dyDescent="0.4">
      <c r="A98" s="130"/>
      <c r="B98" s="127"/>
      <c r="C98" s="127"/>
      <c r="D98" s="127"/>
      <c r="E98" s="127"/>
      <c r="F98" s="127"/>
      <c r="G98" s="153" t="s">
        <v>338</v>
      </c>
      <c r="H98" s="166">
        <v>1.2</v>
      </c>
      <c r="I98" s="154" t="s">
        <v>11</v>
      </c>
      <c r="J98" s="228"/>
      <c r="K98" s="115"/>
      <c r="L98" s="115"/>
      <c r="M98" s="115"/>
      <c r="N98" s="115"/>
      <c r="O98" s="115"/>
      <c r="P98" s="115"/>
      <c r="Q98" s="115"/>
      <c r="R98" s="115"/>
      <c r="S98" s="115"/>
      <c r="T98" s="115"/>
      <c r="U98" s="115"/>
      <c r="V98" s="115"/>
      <c r="W98" s="115"/>
      <c r="X98" s="118"/>
      <c r="Y98" s="115"/>
      <c r="Z98" s="115"/>
      <c r="AA98" s="115"/>
      <c r="AB98" s="115"/>
      <c r="AC98" s="115"/>
      <c r="AD98" s="115"/>
      <c r="AE98" s="115"/>
      <c r="AF98" s="102"/>
    </row>
    <row r="99" spans="1:32" x14ac:dyDescent="0.3">
      <c r="A99" s="115"/>
      <c r="B99" s="115"/>
      <c r="C99" s="115"/>
      <c r="D99" s="115"/>
      <c r="E99" s="115"/>
      <c r="F99" s="115"/>
      <c r="G99" s="116"/>
      <c r="H99" s="115"/>
      <c r="I99" s="118"/>
      <c r="J99" s="118"/>
      <c r="K99" s="115"/>
      <c r="L99" s="115"/>
      <c r="M99" s="115"/>
      <c r="N99" s="115"/>
      <c r="O99" s="115"/>
      <c r="P99" s="115"/>
      <c r="Q99" s="115"/>
      <c r="R99" s="115"/>
      <c r="S99" s="115"/>
      <c r="T99" s="115"/>
      <c r="U99" s="115"/>
      <c r="V99" s="115"/>
      <c r="W99" s="115"/>
      <c r="X99" s="118"/>
      <c r="Y99" s="115"/>
      <c r="Z99" s="115"/>
      <c r="AA99" s="115"/>
      <c r="AB99" s="115"/>
      <c r="AC99" s="115"/>
      <c r="AD99" s="115"/>
      <c r="AE99" s="115"/>
      <c r="AF99" s="102"/>
    </row>
    <row r="100" spans="1:32" ht="18" x14ac:dyDescent="0.35">
      <c r="A100" s="251" t="s">
        <v>343</v>
      </c>
      <c r="B100" s="118"/>
      <c r="C100" s="118"/>
      <c r="D100" s="118"/>
      <c r="E100" s="118"/>
      <c r="F100" s="118"/>
      <c r="G100" s="132"/>
      <c r="H100" s="115"/>
      <c r="I100" s="115"/>
      <c r="J100" s="115"/>
      <c r="K100" s="115"/>
      <c r="L100" s="115"/>
      <c r="M100" s="115"/>
      <c r="N100" s="115"/>
      <c r="O100" s="115"/>
      <c r="P100" s="115"/>
      <c r="Q100" s="115"/>
      <c r="R100" s="115"/>
      <c r="S100" s="115"/>
      <c r="T100" s="115"/>
      <c r="U100" s="115"/>
      <c r="V100" s="115"/>
      <c r="W100" s="115"/>
      <c r="X100" s="118"/>
      <c r="Y100" s="115"/>
      <c r="Z100" s="115"/>
      <c r="AA100" s="115"/>
      <c r="AB100" s="115"/>
      <c r="AC100" s="115"/>
      <c r="AD100" s="115"/>
      <c r="AE100" s="115"/>
      <c r="AF100" s="102"/>
    </row>
    <row r="101" spans="1:32" ht="16.2" thickBot="1" x14ac:dyDescent="0.35">
      <c r="A101" s="123"/>
      <c r="B101" s="118"/>
      <c r="C101" s="118"/>
      <c r="D101" s="118"/>
      <c r="E101" s="118"/>
      <c r="F101" s="118"/>
      <c r="G101" s="234" t="s">
        <v>673</v>
      </c>
      <c r="H101" s="250"/>
      <c r="I101" s="118"/>
      <c r="J101" s="118"/>
      <c r="K101" s="115"/>
      <c r="L101" s="115"/>
      <c r="M101" s="115"/>
      <c r="N101" s="115"/>
      <c r="O101" s="115"/>
      <c r="P101" s="115"/>
      <c r="Q101" s="115"/>
      <c r="R101" s="115"/>
      <c r="S101" s="115"/>
      <c r="T101" s="115"/>
      <c r="U101" s="115"/>
      <c r="V101" s="115"/>
      <c r="W101" s="115"/>
      <c r="X101" s="118"/>
      <c r="Y101" s="115"/>
      <c r="Z101" s="115"/>
      <c r="AA101" s="115"/>
      <c r="AB101" s="115"/>
      <c r="AC101" s="115"/>
      <c r="AD101" s="115"/>
      <c r="AE101" s="115"/>
      <c r="AF101" s="102"/>
    </row>
    <row r="102" spans="1:32" ht="15.6" x14ac:dyDescent="0.35">
      <c r="A102" s="119"/>
      <c r="B102" s="120"/>
      <c r="C102" s="120"/>
      <c r="D102" s="120"/>
      <c r="E102" s="120"/>
      <c r="F102" s="120"/>
      <c r="G102" s="136" t="s">
        <v>694</v>
      </c>
      <c r="H102" s="160">
        <v>1150</v>
      </c>
      <c r="I102" s="122" t="s">
        <v>147</v>
      </c>
      <c r="J102" s="118"/>
      <c r="K102" s="115"/>
      <c r="L102" s="115"/>
      <c r="M102" s="115"/>
      <c r="N102" s="115"/>
      <c r="O102" s="115"/>
      <c r="P102" s="115"/>
      <c r="Q102" s="115"/>
      <c r="R102" s="115"/>
      <c r="S102" s="115"/>
      <c r="T102" s="115"/>
      <c r="U102" s="115"/>
      <c r="V102" s="115"/>
      <c r="W102" s="115"/>
      <c r="X102" s="118"/>
      <c r="Y102" s="115"/>
      <c r="Z102" s="115"/>
      <c r="AA102" s="115"/>
      <c r="AB102" s="115"/>
      <c r="AC102" s="115"/>
      <c r="AD102" s="115"/>
      <c r="AE102" s="115"/>
      <c r="AF102" s="102"/>
    </row>
    <row r="103" spans="1:32" ht="16.2" thickBot="1" x14ac:dyDescent="0.4">
      <c r="A103" s="130"/>
      <c r="B103" s="127"/>
      <c r="C103" s="127"/>
      <c r="D103" s="127"/>
      <c r="E103" s="127"/>
      <c r="F103" s="127"/>
      <c r="G103" s="134" t="s">
        <v>692</v>
      </c>
      <c r="H103" s="166">
        <v>0</v>
      </c>
      <c r="I103" s="128" t="s">
        <v>340</v>
      </c>
      <c r="J103" s="118"/>
      <c r="K103" s="115"/>
      <c r="L103" s="115"/>
      <c r="M103" s="115"/>
      <c r="N103" s="115"/>
      <c r="O103" s="115"/>
      <c r="P103" s="115"/>
      <c r="Q103" s="115"/>
      <c r="R103" s="115"/>
      <c r="S103" s="115"/>
      <c r="T103" s="115"/>
      <c r="U103" s="115"/>
      <c r="V103" s="115"/>
      <c r="W103" s="115"/>
      <c r="X103" s="118"/>
      <c r="Y103" s="115"/>
      <c r="Z103" s="115"/>
      <c r="AA103" s="115"/>
      <c r="AB103" s="115"/>
      <c r="AC103" s="115"/>
      <c r="AD103" s="115"/>
      <c r="AE103" s="115"/>
      <c r="AF103" s="102"/>
    </row>
    <row r="104" spans="1:32" x14ac:dyDescent="0.3">
      <c r="A104" s="123"/>
      <c r="B104" s="118"/>
      <c r="C104" s="118"/>
      <c r="D104" s="118"/>
      <c r="E104" s="118"/>
      <c r="F104" s="115"/>
      <c r="G104" s="116"/>
      <c r="H104" s="115"/>
      <c r="I104" s="115"/>
      <c r="J104" s="118"/>
      <c r="K104" s="115"/>
      <c r="L104" s="115"/>
      <c r="M104" s="115"/>
      <c r="N104" s="115"/>
      <c r="O104" s="115"/>
      <c r="P104" s="115"/>
      <c r="Q104" s="115"/>
      <c r="R104" s="115"/>
      <c r="S104" s="115"/>
      <c r="T104" s="115"/>
      <c r="U104" s="115"/>
      <c r="V104" s="115"/>
      <c r="W104" s="115"/>
      <c r="X104" s="118"/>
      <c r="Y104" s="115"/>
      <c r="Z104" s="115"/>
      <c r="AA104" s="115"/>
      <c r="AB104" s="115"/>
      <c r="AC104" s="115"/>
      <c r="AD104" s="115"/>
      <c r="AE104" s="115"/>
      <c r="AF104" s="102"/>
    </row>
    <row r="105" spans="1:32" ht="16.2" thickBot="1" x14ac:dyDescent="0.35">
      <c r="A105" s="123"/>
      <c r="B105" s="118"/>
      <c r="C105" s="118"/>
      <c r="D105" s="118"/>
      <c r="E105" s="118"/>
      <c r="F105" s="118"/>
      <c r="G105" s="234" t="s">
        <v>674</v>
      </c>
      <c r="H105" s="118"/>
      <c r="I105" s="118"/>
      <c r="J105" s="118"/>
      <c r="K105" s="115"/>
      <c r="L105" s="115"/>
      <c r="M105" s="115"/>
      <c r="N105" s="115"/>
      <c r="O105" s="115"/>
      <c r="P105" s="115"/>
      <c r="Q105" s="115"/>
      <c r="R105" s="115"/>
      <c r="S105" s="115"/>
      <c r="T105" s="115"/>
      <c r="U105" s="115"/>
      <c r="V105" s="115"/>
      <c r="W105" s="115"/>
      <c r="X105" s="118"/>
      <c r="Y105" s="115"/>
      <c r="Z105" s="115"/>
      <c r="AA105" s="115"/>
      <c r="AB105" s="115"/>
      <c r="AC105" s="115"/>
      <c r="AD105" s="115"/>
      <c r="AE105" s="115"/>
      <c r="AF105" s="102"/>
    </row>
    <row r="106" spans="1:32" ht="15.6" x14ac:dyDescent="0.35">
      <c r="A106" s="119"/>
      <c r="B106" s="120"/>
      <c r="C106" s="120"/>
      <c r="D106" s="120"/>
      <c r="E106" s="120"/>
      <c r="F106" s="120"/>
      <c r="G106" s="136" t="s">
        <v>695</v>
      </c>
      <c r="H106" s="160">
        <v>300</v>
      </c>
      <c r="I106" s="122" t="s">
        <v>147</v>
      </c>
      <c r="J106" s="118"/>
      <c r="K106" s="115"/>
      <c r="L106" s="115"/>
      <c r="M106" s="115"/>
      <c r="N106" s="115"/>
      <c r="O106" s="115"/>
      <c r="P106" s="115"/>
      <c r="Q106" s="115"/>
      <c r="R106" s="115"/>
      <c r="S106" s="115"/>
      <c r="T106" s="115"/>
      <c r="U106" s="115"/>
      <c r="V106" s="115"/>
      <c r="W106" s="115"/>
      <c r="X106" s="118"/>
      <c r="Y106" s="115"/>
      <c r="Z106" s="115"/>
      <c r="AA106" s="115"/>
      <c r="AB106" s="115"/>
      <c r="AC106" s="115"/>
      <c r="AD106" s="115"/>
      <c r="AE106" s="115"/>
      <c r="AF106" s="102"/>
    </row>
    <row r="107" spans="1:32" ht="16.2" thickBot="1" x14ac:dyDescent="0.4">
      <c r="A107" s="130"/>
      <c r="B107" s="127"/>
      <c r="C107" s="127"/>
      <c r="D107" s="127"/>
      <c r="E107" s="127"/>
      <c r="F107" s="127"/>
      <c r="G107" s="134" t="s">
        <v>693</v>
      </c>
      <c r="H107" s="166">
        <v>10</v>
      </c>
      <c r="I107" s="128" t="s">
        <v>340</v>
      </c>
      <c r="J107" s="118"/>
      <c r="K107" s="115"/>
      <c r="L107" s="115"/>
      <c r="M107" s="115"/>
      <c r="N107" s="115"/>
      <c r="O107" s="115"/>
      <c r="P107" s="115"/>
      <c r="Q107" s="115"/>
      <c r="R107" s="115"/>
      <c r="S107" s="115"/>
      <c r="T107" s="115"/>
      <c r="U107" s="115"/>
      <c r="V107" s="115"/>
      <c r="W107" s="115"/>
      <c r="X107" s="118"/>
      <c r="Y107" s="115"/>
      <c r="Z107" s="115"/>
      <c r="AA107" s="115"/>
      <c r="AB107" s="115"/>
      <c r="AC107" s="115"/>
      <c r="AD107" s="115"/>
      <c r="AE107" s="115"/>
      <c r="AF107" s="102"/>
    </row>
    <row r="108" spans="1:32" x14ac:dyDescent="0.3">
      <c r="A108" s="118"/>
      <c r="B108" s="118"/>
      <c r="C108" s="118"/>
      <c r="D108" s="118"/>
      <c r="E108" s="118"/>
      <c r="F108" s="115"/>
      <c r="G108" s="116"/>
      <c r="H108" s="115"/>
      <c r="I108" s="115"/>
      <c r="J108" s="118"/>
      <c r="K108" s="115"/>
      <c r="L108" s="115"/>
      <c r="M108" s="115"/>
      <c r="N108" s="115"/>
      <c r="O108" s="115"/>
      <c r="P108" s="115"/>
      <c r="Q108" s="115"/>
      <c r="R108" s="115"/>
      <c r="S108" s="115"/>
      <c r="T108" s="115"/>
      <c r="U108" s="115"/>
      <c r="V108" s="115"/>
      <c r="W108" s="115"/>
      <c r="X108" s="118"/>
      <c r="Y108" s="115"/>
      <c r="Z108" s="115"/>
      <c r="AA108" s="115"/>
      <c r="AB108" s="115"/>
      <c r="AC108" s="115"/>
      <c r="AD108" s="115"/>
      <c r="AE108" s="115"/>
      <c r="AF108" s="102"/>
    </row>
    <row r="109" spans="1:32" ht="16.2" thickBot="1" x14ac:dyDescent="0.35">
      <c r="A109" s="118"/>
      <c r="B109" s="118"/>
      <c r="C109" s="118"/>
      <c r="D109" s="118"/>
      <c r="E109" s="118"/>
      <c r="F109" s="118"/>
      <c r="G109" s="234" t="s">
        <v>675</v>
      </c>
      <c r="H109" s="118"/>
      <c r="I109" s="118"/>
      <c r="J109" s="118"/>
      <c r="K109" s="115"/>
      <c r="L109" s="115"/>
      <c r="M109" s="115"/>
      <c r="N109" s="115"/>
      <c r="O109" s="115"/>
      <c r="P109" s="115"/>
      <c r="Q109" s="115"/>
      <c r="R109" s="115"/>
      <c r="S109" s="115"/>
      <c r="T109" s="115"/>
      <c r="U109" s="115"/>
      <c r="V109" s="115"/>
      <c r="W109" s="115"/>
      <c r="X109" s="118"/>
      <c r="Y109" s="115"/>
      <c r="Z109" s="115"/>
      <c r="AA109" s="115"/>
      <c r="AB109" s="115"/>
      <c r="AC109" s="115"/>
      <c r="AD109" s="115"/>
      <c r="AE109" s="115"/>
      <c r="AF109" s="102"/>
    </row>
    <row r="110" spans="1:32" ht="15.6" x14ac:dyDescent="0.35">
      <c r="A110" s="119"/>
      <c r="B110" s="120"/>
      <c r="C110" s="120"/>
      <c r="D110" s="120"/>
      <c r="E110" s="120"/>
      <c r="F110" s="120"/>
      <c r="G110" s="136" t="s">
        <v>696</v>
      </c>
      <c r="H110" s="160">
        <v>500</v>
      </c>
      <c r="I110" s="122" t="s">
        <v>147</v>
      </c>
      <c r="J110" s="115"/>
      <c r="K110" s="115"/>
      <c r="L110" s="115"/>
      <c r="M110" s="115"/>
      <c r="N110" s="115"/>
      <c r="O110" s="115"/>
      <c r="P110" s="115"/>
      <c r="Q110" s="115"/>
      <c r="R110" s="115"/>
      <c r="S110" s="115"/>
      <c r="T110" s="115"/>
      <c r="U110" s="115"/>
      <c r="V110" s="115"/>
      <c r="W110" s="115"/>
      <c r="X110" s="118"/>
      <c r="Y110" s="115"/>
      <c r="Z110" s="115"/>
      <c r="AA110" s="115"/>
      <c r="AB110" s="115"/>
      <c r="AC110" s="115"/>
      <c r="AD110" s="115"/>
      <c r="AE110" s="115"/>
      <c r="AF110" s="102"/>
    </row>
    <row r="111" spans="1:32" ht="16.2" thickBot="1" x14ac:dyDescent="0.4">
      <c r="A111" s="130"/>
      <c r="B111" s="127"/>
      <c r="C111" s="127"/>
      <c r="D111" s="127"/>
      <c r="E111" s="127"/>
      <c r="F111" s="127"/>
      <c r="G111" s="134" t="s">
        <v>691</v>
      </c>
      <c r="H111" s="166">
        <v>10</v>
      </c>
      <c r="I111" s="128" t="s">
        <v>340</v>
      </c>
      <c r="J111" s="115"/>
      <c r="K111" s="115"/>
      <c r="L111" s="115"/>
      <c r="M111" s="115"/>
      <c r="N111" s="115"/>
      <c r="O111" s="115"/>
      <c r="P111" s="115"/>
      <c r="Q111" s="115"/>
      <c r="R111" s="115"/>
      <c r="S111" s="115"/>
      <c r="T111" s="115"/>
      <c r="U111" s="115"/>
      <c r="V111" s="115"/>
      <c r="W111" s="115"/>
      <c r="X111" s="118"/>
      <c r="Y111" s="115"/>
      <c r="Z111" s="115"/>
      <c r="AA111" s="115"/>
      <c r="AB111" s="115"/>
      <c r="AC111" s="115"/>
      <c r="AD111" s="115"/>
      <c r="AE111" s="115"/>
      <c r="AF111" s="102"/>
    </row>
    <row r="112" spans="1:32" x14ac:dyDescent="0.3">
      <c r="A112" s="115"/>
      <c r="B112" s="115"/>
      <c r="C112" s="115"/>
      <c r="D112" s="115"/>
      <c r="E112" s="115"/>
      <c r="F112" s="115"/>
      <c r="G112" s="116"/>
      <c r="H112" s="115"/>
      <c r="I112" s="115"/>
      <c r="J112" s="115"/>
      <c r="K112" s="115"/>
      <c r="L112" s="115"/>
      <c r="M112" s="115"/>
      <c r="N112" s="115"/>
      <c r="O112" s="115"/>
      <c r="P112" s="115"/>
      <c r="Q112" s="115"/>
      <c r="R112" s="115"/>
      <c r="S112" s="115"/>
      <c r="T112" s="115"/>
      <c r="U112" s="115"/>
      <c r="V112" s="115"/>
      <c r="W112" s="115"/>
      <c r="X112" s="118"/>
      <c r="Y112" s="115"/>
      <c r="Z112" s="115"/>
      <c r="AA112" s="115"/>
      <c r="AB112" s="115"/>
      <c r="AC112" s="115"/>
      <c r="AD112" s="115"/>
      <c r="AE112" s="115"/>
      <c r="AF112" s="102"/>
    </row>
    <row r="113" spans="1:32" x14ac:dyDescent="0.3">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8"/>
      <c r="Y113" s="115"/>
      <c r="Z113" s="115"/>
      <c r="AA113" s="115"/>
      <c r="AB113" s="115"/>
      <c r="AC113" s="115"/>
      <c r="AD113" s="115"/>
      <c r="AE113" s="115"/>
      <c r="AF113" s="102"/>
    </row>
    <row r="114" spans="1:32" x14ac:dyDescent="0.3">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8"/>
      <c r="Y114" s="115"/>
      <c r="Z114" s="115"/>
      <c r="AA114" s="115"/>
      <c r="AB114" s="115"/>
      <c r="AC114" s="115"/>
      <c r="AD114" s="115"/>
      <c r="AE114" s="115"/>
      <c r="AF114" s="102"/>
    </row>
    <row r="115" spans="1:32" x14ac:dyDescent="0.3">
      <c r="A115" s="115"/>
      <c r="B115" s="115"/>
      <c r="C115" s="115"/>
      <c r="D115" s="115"/>
      <c r="E115" s="115"/>
      <c r="F115" s="115"/>
      <c r="G115" s="116"/>
      <c r="H115" s="115"/>
      <c r="I115" s="115"/>
      <c r="J115" s="115"/>
      <c r="K115" s="115"/>
      <c r="L115" s="115"/>
      <c r="M115" s="115"/>
      <c r="N115" s="115"/>
      <c r="O115" s="115"/>
      <c r="P115" s="115"/>
      <c r="Q115" s="115"/>
      <c r="R115" s="115"/>
      <c r="S115" s="115"/>
      <c r="T115" s="115"/>
      <c r="U115" s="115"/>
      <c r="V115" s="115"/>
      <c r="W115" s="115"/>
      <c r="X115" s="118"/>
      <c r="Y115" s="115"/>
      <c r="Z115" s="115"/>
      <c r="AA115" s="115"/>
      <c r="AB115" s="115"/>
      <c r="AC115" s="115"/>
      <c r="AD115" s="115"/>
      <c r="AE115" s="115"/>
      <c r="AF115" s="102"/>
    </row>
    <row r="116" spans="1:32" x14ac:dyDescent="0.3">
      <c r="A116" s="115"/>
      <c r="B116" s="115"/>
      <c r="C116" s="115"/>
      <c r="D116" s="115"/>
      <c r="E116" s="115"/>
      <c r="F116" s="115"/>
      <c r="G116" s="116"/>
      <c r="H116" s="115"/>
      <c r="I116" s="115"/>
      <c r="J116" s="115"/>
      <c r="K116" s="115"/>
      <c r="L116" s="115"/>
      <c r="M116" s="115"/>
      <c r="N116" s="115"/>
      <c r="O116" s="115"/>
      <c r="P116" s="115"/>
      <c r="Q116" s="115"/>
      <c r="R116" s="115"/>
      <c r="S116" s="115"/>
      <c r="T116" s="115"/>
      <c r="U116" s="115"/>
      <c r="V116" s="115"/>
      <c r="W116" s="115"/>
      <c r="X116" s="118"/>
      <c r="Y116" s="115"/>
      <c r="Z116" s="115"/>
      <c r="AA116" s="115"/>
      <c r="AB116" s="115"/>
      <c r="AC116" s="115"/>
      <c r="AD116" s="115"/>
      <c r="AE116" s="115"/>
      <c r="AF116" s="102"/>
    </row>
    <row r="117" spans="1:32" x14ac:dyDescent="0.3">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8"/>
      <c r="Y117" s="115"/>
      <c r="Z117" s="115"/>
      <c r="AA117" s="115"/>
      <c r="AB117" s="115"/>
      <c r="AC117" s="115"/>
      <c r="AD117" s="115"/>
      <c r="AE117" s="115"/>
      <c r="AF117" s="102"/>
    </row>
    <row r="118" spans="1:32" x14ac:dyDescent="0.3">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8"/>
      <c r="Y118" s="115"/>
      <c r="Z118" s="115"/>
      <c r="AA118" s="115"/>
      <c r="AB118" s="115"/>
      <c r="AC118" s="115"/>
      <c r="AD118" s="115"/>
      <c r="AE118" s="115"/>
      <c r="AF118" s="102"/>
    </row>
    <row r="119" spans="1:32" x14ac:dyDescent="0.3">
      <c r="A119" s="115"/>
      <c r="B119" s="115"/>
      <c r="C119" s="115"/>
      <c r="D119" s="115"/>
      <c r="E119" s="115"/>
      <c r="F119" s="115"/>
      <c r="G119" s="116"/>
      <c r="H119" s="115"/>
      <c r="I119" s="115"/>
      <c r="J119" s="115"/>
      <c r="K119" s="115"/>
      <c r="L119" s="115"/>
      <c r="M119" s="115"/>
      <c r="N119" s="115"/>
      <c r="O119" s="115"/>
      <c r="P119" s="115"/>
      <c r="Q119" s="115"/>
      <c r="R119" s="115"/>
      <c r="S119" s="115"/>
      <c r="T119" s="115"/>
      <c r="U119" s="115"/>
      <c r="V119" s="115"/>
      <c r="W119" s="115"/>
      <c r="X119" s="118"/>
      <c r="Y119" s="115"/>
      <c r="Z119" s="115"/>
      <c r="AA119" s="115"/>
      <c r="AB119" s="115"/>
      <c r="AC119" s="115"/>
      <c r="AD119" s="115"/>
      <c r="AE119" s="115"/>
      <c r="AF119" s="102"/>
    </row>
    <row r="120" spans="1:32" x14ac:dyDescent="0.3">
      <c r="A120" s="115"/>
      <c r="B120" s="115"/>
      <c r="C120" s="115"/>
      <c r="D120" s="115"/>
      <c r="E120" s="115"/>
      <c r="F120" s="115"/>
      <c r="G120" s="116"/>
      <c r="H120" s="115"/>
      <c r="I120" s="115"/>
      <c r="J120" s="115"/>
      <c r="K120" s="115"/>
      <c r="L120" s="115"/>
      <c r="M120" s="115"/>
      <c r="N120" s="115"/>
      <c r="O120" s="115"/>
      <c r="P120" s="115"/>
      <c r="Q120" s="115"/>
      <c r="R120" s="115"/>
      <c r="S120" s="115"/>
      <c r="T120" s="115"/>
      <c r="U120" s="115"/>
      <c r="V120" s="115"/>
      <c r="W120" s="115"/>
      <c r="X120" s="118"/>
      <c r="Y120" s="115"/>
      <c r="Z120" s="115"/>
      <c r="AA120" s="115"/>
      <c r="AB120" s="115"/>
      <c r="AC120" s="115"/>
      <c r="AD120" s="115"/>
      <c r="AE120" s="115"/>
      <c r="AF120" s="102"/>
    </row>
    <row r="121" spans="1:32" x14ac:dyDescent="0.3">
      <c r="A121" s="115"/>
      <c r="B121" s="115"/>
      <c r="C121" s="115"/>
      <c r="D121" s="115"/>
      <c r="E121" s="115"/>
      <c r="F121" s="115"/>
      <c r="G121" s="116"/>
      <c r="H121" s="115"/>
      <c r="I121" s="115"/>
      <c r="J121" s="115"/>
      <c r="K121" s="115"/>
      <c r="L121" s="115"/>
      <c r="M121" s="115"/>
      <c r="N121" s="115"/>
      <c r="O121" s="115"/>
      <c r="P121" s="115"/>
      <c r="Q121" s="115"/>
      <c r="R121" s="115"/>
      <c r="S121" s="115"/>
      <c r="T121" s="115"/>
      <c r="U121" s="115"/>
      <c r="V121" s="115"/>
      <c r="W121" s="115"/>
      <c r="X121" s="118"/>
      <c r="Y121" s="115"/>
      <c r="Z121" s="115"/>
      <c r="AA121" s="115"/>
      <c r="AB121" s="115"/>
      <c r="AC121" s="115"/>
      <c r="AD121" s="115"/>
      <c r="AE121" s="115"/>
      <c r="AF121" s="102"/>
    </row>
    <row r="122" spans="1:32" x14ac:dyDescent="0.3">
      <c r="A122" s="115"/>
      <c r="B122" s="115"/>
      <c r="C122" s="115"/>
      <c r="D122" s="115"/>
      <c r="E122" s="115"/>
      <c r="F122" s="115"/>
      <c r="G122" s="116"/>
      <c r="H122" s="115"/>
      <c r="I122" s="115"/>
      <c r="J122" s="115"/>
      <c r="K122" s="115"/>
      <c r="L122" s="115"/>
      <c r="M122" s="115"/>
      <c r="N122" s="115"/>
      <c r="O122" s="115"/>
      <c r="P122" s="115"/>
      <c r="Q122" s="115"/>
      <c r="R122" s="115"/>
      <c r="S122" s="115"/>
      <c r="T122" s="115"/>
      <c r="U122" s="115"/>
      <c r="V122" s="115"/>
      <c r="W122" s="115"/>
      <c r="X122" s="118"/>
      <c r="Y122" s="115"/>
      <c r="Z122" s="115"/>
      <c r="AA122" s="115"/>
      <c r="AB122" s="115"/>
      <c r="AC122" s="115"/>
      <c r="AD122" s="115"/>
      <c r="AE122" s="115"/>
      <c r="AF122" s="102"/>
    </row>
    <row r="123" spans="1:32" x14ac:dyDescent="0.3">
      <c r="A123" s="155"/>
      <c r="B123" s="155"/>
      <c r="C123" s="155"/>
      <c r="D123" s="155"/>
      <c r="E123" s="155"/>
      <c r="F123" s="155"/>
      <c r="G123" s="156"/>
      <c r="H123" s="155"/>
      <c r="I123" s="155"/>
      <c r="J123" s="155"/>
      <c r="K123" s="155"/>
      <c r="L123" s="155"/>
      <c r="M123" s="155"/>
      <c r="N123" s="155"/>
      <c r="O123" s="155"/>
      <c r="P123" s="155"/>
      <c r="Q123" s="155"/>
      <c r="R123" s="155"/>
      <c r="S123" s="155"/>
      <c r="T123" s="155"/>
      <c r="U123" s="155"/>
      <c r="V123" s="155"/>
      <c r="W123" s="155"/>
      <c r="X123" s="104"/>
      <c r="Y123" s="155"/>
      <c r="Z123" s="155"/>
      <c r="AA123" s="155"/>
      <c r="AB123" s="155"/>
      <c r="AC123" s="155"/>
      <c r="AD123" s="155"/>
      <c r="AE123" s="155"/>
      <c r="AF123" s="102"/>
    </row>
  </sheetData>
  <sheetProtection algorithmName="SHA-512" hashValue="ktBWQPtiABsOugzP/qaPSQu3Xzd/GpKQE2kfMOymsKpqbt841sFWA8VIDfj8ZPM9nsHMYiV0vy9p6zCtPqodYA==" saltValue="TsFZEY5sUs6IoGQVde6Mhg==" spinCount="100000" sheet="1" objects="1" scenarios="1" selectLockedCells="1"/>
  <mergeCells count="1">
    <mergeCell ref="P3:R3"/>
  </mergeCells>
  <conditionalFormatting sqref="H59">
    <cfRule type="expression" dxfId="24" priority="41">
      <formula>$H$8&gt;$H$9</formula>
    </cfRule>
    <cfRule type="expression" dxfId="23" priority="42">
      <formula>$H$8&lt;$H$7</formula>
    </cfRule>
  </conditionalFormatting>
  <conditionalFormatting sqref="H14">
    <cfRule type="cellIs" dxfId="22" priority="10" operator="greaterThan">
      <formula>2200</formula>
    </cfRule>
    <cfRule type="cellIs" dxfId="21" priority="11" operator="lessThan">
      <formula>50</formula>
    </cfRule>
  </conditionalFormatting>
  <conditionalFormatting sqref="H7">
    <cfRule type="cellIs" dxfId="20" priority="5" operator="greaterThan">
      <formula>VIN_op_max_56</formula>
    </cfRule>
    <cfRule type="cellIs" dxfId="19" priority="6" operator="greaterThan">
      <formula>VIN_op_max</formula>
    </cfRule>
    <cfRule type="cellIs" dxfId="18" priority="7" operator="lessThan">
      <formula>VIN_op_min</formula>
    </cfRule>
  </conditionalFormatting>
  <conditionalFormatting sqref="H8">
    <cfRule type="cellIs" dxfId="17" priority="43" operator="notBetween">
      <formula>$H$7</formula>
      <formula>$H$9</formula>
    </cfRule>
  </conditionalFormatting>
  <conditionalFormatting sqref="H9">
    <cfRule type="cellIs" dxfId="16" priority="1" operator="greaterThan">
      <formula>VIN_op_max_56</formula>
    </cfRule>
    <cfRule type="cellIs" dxfId="15" priority="3" operator="greaterThan">
      <formula>VIN_op_max</formula>
    </cfRule>
    <cfRule type="cellIs" dxfId="14" priority="4" operator="lessThan">
      <formula>VIN_op_min</formula>
    </cfRule>
  </conditionalFormatting>
  <hyperlinks>
    <hyperlink ref="P3" location="Licenses!A1" display="TERMS OF USE" xr:uid="{520B36B2-99BB-4BBD-B6B0-9F4C403615A4}"/>
  </hyperlinks>
  <pageMargins left="0.2" right="0.2" top="0.25" bottom="0.25"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52" r:id="rId4" name="Drop Down 628">
              <controlPr defaultSize="0" autoLine="0" autoPict="0">
                <anchor moveWithCells="1">
                  <from>
                    <xdr:col>20</xdr:col>
                    <xdr:colOff>114300</xdr:colOff>
                    <xdr:row>17</xdr:row>
                    <xdr:rowOff>22860</xdr:rowOff>
                  </from>
                  <to>
                    <xdr:col>25</xdr:col>
                    <xdr:colOff>411480</xdr:colOff>
                    <xdr:row>18</xdr:row>
                    <xdr:rowOff>175260</xdr:rowOff>
                  </to>
                </anchor>
              </controlPr>
            </control>
          </mc:Choice>
        </mc:AlternateContent>
        <mc:AlternateContent xmlns:mc="http://schemas.openxmlformats.org/markup-compatibility/2006">
          <mc:Choice Requires="x14">
            <control shapeId="1060" r:id="rId5" name="Spinner 36">
              <controlPr defaultSize="0" autoPict="0">
                <anchor moveWithCells="1" sizeWithCells="1">
                  <from>
                    <xdr:col>8</xdr:col>
                    <xdr:colOff>7620</xdr:colOff>
                    <xdr:row>58</xdr:row>
                    <xdr:rowOff>7620</xdr:rowOff>
                  </from>
                  <to>
                    <xdr:col>9</xdr:col>
                    <xdr:colOff>0</xdr:colOff>
                    <xdr:row>59</xdr:row>
                    <xdr:rowOff>99060</xdr:rowOff>
                  </to>
                </anchor>
              </controlPr>
            </control>
          </mc:Choice>
        </mc:AlternateContent>
        <mc:AlternateContent xmlns:mc="http://schemas.openxmlformats.org/markup-compatibility/2006">
          <mc:Choice Requires="x14">
            <control shapeId="1064" r:id="rId6" name="Drop Down 40">
              <controlPr defaultSize="0" autoLine="0" autoPict="0">
                <anchor moveWithCells="1">
                  <from>
                    <xdr:col>7</xdr:col>
                    <xdr:colOff>7620</xdr:colOff>
                    <xdr:row>11</xdr:row>
                    <xdr:rowOff>0</xdr:rowOff>
                  </from>
                  <to>
                    <xdr:col>9</xdr:col>
                    <xdr:colOff>7620</xdr:colOff>
                    <xdr:row>12</xdr:row>
                    <xdr:rowOff>106680</xdr:rowOff>
                  </to>
                </anchor>
              </controlPr>
            </control>
          </mc:Choice>
        </mc:AlternateContent>
        <mc:AlternateContent xmlns:mc="http://schemas.openxmlformats.org/markup-compatibility/2006">
          <mc:Choice Requires="x14">
            <control shapeId="1157" r:id="rId7" name="Drop Down 133">
              <controlPr defaultSize="0" autoLine="0" autoPict="0">
                <anchor moveWithCells="1">
                  <from>
                    <xdr:col>7</xdr:col>
                    <xdr:colOff>7620</xdr:colOff>
                    <xdr:row>9</xdr:row>
                    <xdr:rowOff>30480</xdr:rowOff>
                  </from>
                  <to>
                    <xdr:col>9</xdr:col>
                    <xdr:colOff>0</xdr:colOff>
                    <xdr:row>10</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AC968A9C-58F4-4EB9-B20E-EEB4BEC63EEA}">
            <xm:f>Variable_Management!$B$175=2</xm:f>
            <x14:dxf>
              <font>
                <strike/>
              </font>
              <fill>
                <patternFill>
                  <bgColor theme="0" tint="-0.24994659260841701"/>
                </patternFill>
              </fill>
            </x14:dxf>
          </x14:cfRule>
          <xm:sqref>H62</xm:sqref>
        </x14:conditionalFormatting>
        <x14:conditionalFormatting xmlns:xm="http://schemas.microsoft.com/office/excel/2006/main">
          <x14:cfRule type="expression" priority="31" id="{6AEF7AEB-8233-47F6-AF37-19EB8376E645}">
            <xm:f>Variable_Management!$B$175=2</xm:f>
            <x14:dxf>
              <font>
                <strike/>
              </font>
              <fill>
                <patternFill>
                  <bgColor theme="0" tint="-0.24994659260841701"/>
                </patternFill>
              </fill>
            </x14:dxf>
          </x14:cfRule>
          <xm:sqref>H68:H72</xm:sqref>
        </x14:conditionalFormatting>
        <x14:conditionalFormatting xmlns:xm="http://schemas.microsoft.com/office/excel/2006/main">
          <x14:cfRule type="expression" priority="30" id="{81FE1FA5-D030-47BB-8660-B00C315F14DB}">
            <xm:f>Variable_Management!$B$175=2</xm:f>
            <x14:dxf>
              <font>
                <strike/>
              </font>
              <fill>
                <patternFill>
                  <bgColor theme="0" tint="-0.24994659260841701"/>
                </patternFill>
              </fill>
            </x14:dxf>
          </x14:cfRule>
          <xm:sqref>H75:H77</xm:sqref>
        </x14:conditionalFormatting>
        <x14:conditionalFormatting xmlns:xm="http://schemas.microsoft.com/office/excel/2006/main">
          <x14:cfRule type="expression" priority="29" id="{E6F4B62A-2486-4776-951C-54AB970AD7E6}">
            <xm:f>Variable_Management!$B$175=1</xm:f>
            <x14:dxf>
              <font>
                <strike/>
              </font>
              <fill>
                <patternFill>
                  <bgColor theme="0" tint="-0.24994659260841701"/>
                </patternFill>
              </fill>
            </x14:dxf>
          </x14:cfRule>
          <xm:sqref>H88</xm:sqref>
        </x14:conditionalFormatting>
        <x14:conditionalFormatting xmlns:xm="http://schemas.microsoft.com/office/excel/2006/main">
          <x14:cfRule type="expression" priority="28" id="{E825D698-3E97-4429-BCA3-4B674CCA2086}">
            <xm:f>Variable_Management!$B$175=2</xm:f>
            <x14:dxf>
              <font>
                <strike/>
              </font>
              <fill>
                <patternFill>
                  <bgColor theme="0" tint="-0.24994659260841701"/>
                </patternFill>
              </fill>
            </x14:dxf>
          </x14:cfRule>
          <xm:sqref>H78:H79</xm:sqref>
        </x14:conditionalFormatting>
        <x14:conditionalFormatting xmlns:xm="http://schemas.microsoft.com/office/excel/2006/main">
          <x14:cfRule type="expression" priority="27" id="{26B2D2DD-EEF0-4676-9BB3-C4CF725A354D}">
            <xm:f>Variable_Management!$B$23=0</xm:f>
            <x14:dxf>
              <font>
                <strike val="0"/>
                <color theme="0"/>
              </font>
              <fill>
                <patternFill>
                  <bgColor theme="0"/>
                </patternFill>
              </fill>
              <border>
                <left/>
                <right/>
                <top/>
                <bottom/>
                <vertical/>
                <horizontal/>
              </border>
            </x14:dxf>
          </x14:cfRule>
          <xm:sqref>L13:O19 L39:N39</xm:sqref>
        </x14:conditionalFormatting>
        <x14:conditionalFormatting xmlns:xm="http://schemas.microsoft.com/office/excel/2006/main">
          <x14:cfRule type="expression" priority="26" id="{D8EED069-6203-4DCF-8C46-3C5EE8B9DF10}">
            <xm:f>Variable_Management!$B$32=0</xm:f>
            <x14:dxf>
              <font>
                <strike val="0"/>
                <color theme="0"/>
              </font>
              <fill>
                <patternFill>
                  <bgColor theme="0"/>
                </patternFill>
              </fill>
              <border>
                <left/>
                <right/>
                <top/>
                <bottom/>
                <vertical/>
                <horizontal/>
              </border>
            </x14:dxf>
          </x14:cfRule>
          <xm:sqref>L21:O28 R39:V39</xm:sqref>
        </x14:conditionalFormatting>
        <x14:conditionalFormatting xmlns:xm="http://schemas.microsoft.com/office/excel/2006/main">
          <x14:cfRule type="expression" priority="24" id="{A1636F6A-F43A-4AFB-95AC-F82BAB3F9F89}">
            <xm:f>Variable_Management!$B$23=0</xm:f>
            <x14:dxf>
              <font>
                <strike val="0"/>
                <color theme="0"/>
              </font>
              <fill>
                <patternFill>
                  <bgColor theme="0"/>
                </patternFill>
              </fill>
              <border>
                <left/>
                <right/>
                <top/>
                <bottom/>
                <vertical/>
                <horizontal/>
              </border>
            </x14:dxf>
          </x14:cfRule>
          <xm:sqref>N39</xm:sqref>
        </x14:conditionalFormatting>
        <x14:conditionalFormatting xmlns:xm="http://schemas.microsoft.com/office/excel/2006/main">
          <x14:cfRule type="expression" priority="23" id="{BDFF76D6-2BAE-460D-B594-665CE6C8F926}">
            <xm:f>Variable_Management!$B$23=0</xm:f>
            <x14:dxf>
              <font>
                <strike val="0"/>
                <color theme="0"/>
              </font>
              <fill>
                <patternFill>
                  <bgColor theme="0"/>
                </patternFill>
              </fill>
              <border>
                <left/>
                <right/>
                <top/>
                <bottom/>
                <vertical/>
                <horizontal/>
              </border>
            </x14:dxf>
          </x14:cfRule>
          <xm:sqref>K38:O38 K40:O43 O39</xm:sqref>
        </x14:conditionalFormatting>
        <x14:conditionalFormatting xmlns:xm="http://schemas.microsoft.com/office/excel/2006/main">
          <x14:cfRule type="expression" priority="22" id="{0A150974-020D-4E5A-BC65-8908D4CB4565}">
            <xm:f>Variable_Management!$B$32=0</xm:f>
            <x14:dxf>
              <font>
                <strike val="0"/>
                <color theme="0"/>
              </font>
              <fill>
                <patternFill>
                  <bgColor theme="0"/>
                </patternFill>
              </fill>
              <border>
                <left/>
                <right/>
                <top/>
                <bottom/>
                <vertical/>
                <horizontal/>
              </border>
            </x14:dxf>
          </x14:cfRule>
          <xm:sqref>Q38:W38 Q40:W43 W39</xm:sqref>
        </x14:conditionalFormatting>
        <x14:conditionalFormatting xmlns:xm="http://schemas.microsoft.com/office/excel/2006/main">
          <x14:cfRule type="expression" priority="21" id="{76EB9617-E5DB-468F-B8A0-DF3F0F41DE32}">
            <xm:f>Variable_Management!$B$175=1</xm:f>
            <x14:dxf>
              <font>
                <strike/>
              </font>
              <fill>
                <patternFill>
                  <bgColor theme="0" tint="-0.24994659260841701"/>
                </patternFill>
              </fill>
            </x14:dxf>
          </x14:cfRule>
          <xm:sqref>H47:H49</xm:sqref>
        </x14:conditionalFormatting>
        <x14:conditionalFormatting xmlns:xm="http://schemas.microsoft.com/office/excel/2006/main">
          <x14:cfRule type="expression" priority="19" id="{345BC91B-B706-4467-BDC9-AA2F120BCEF3}">
            <xm:f>Variable_Management!$B$23=0</xm:f>
            <x14:dxf>
              <border>
                <left/>
                <right/>
                <top/>
                <bottom/>
                <vertical/>
                <horizontal/>
              </border>
            </x14:dxf>
          </x14:cfRule>
          <xm:sqref>A30:C35</xm:sqref>
        </x14:conditionalFormatting>
        <x14:conditionalFormatting xmlns:xm="http://schemas.microsoft.com/office/excel/2006/main">
          <x14:cfRule type="expression" priority="9" id="{CF5C59F3-9578-4F3D-8CFA-89B0A81DA010}">
            <xm:f>Variable_Management!$B$23=0</xm:f>
            <x14:dxf>
              <font>
                <color theme="0"/>
              </font>
              <fill>
                <patternFill>
                  <bgColor theme="0"/>
                </patternFill>
              </fill>
              <border>
                <left style="thin">
                  <color theme="0"/>
                </left>
                <right style="thin">
                  <color theme="0"/>
                </right>
                <top style="thin">
                  <color theme="0"/>
                </top>
                <bottom style="thin">
                  <color theme="0"/>
                </bottom>
                <vertical/>
                <horizontal/>
              </border>
            </x14:dxf>
          </x14:cfRule>
          <xm:sqref>A105:I107</xm:sqref>
        </x14:conditionalFormatting>
        <x14:conditionalFormatting xmlns:xm="http://schemas.microsoft.com/office/excel/2006/main">
          <x14:cfRule type="expression" priority="8" id="{A0AC3576-B134-405E-A248-7E1B49921D90}">
            <xm:f>Variable_Management!$B$32=0</xm:f>
            <x14:dxf>
              <font>
                <color theme="0"/>
              </font>
              <fill>
                <patternFill>
                  <bgColor theme="0"/>
                </patternFill>
              </fill>
              <border>
                <left style="hair">
                  <color theme="0"/>
                </left>
                <right style="hair">
                  <color theme="0"/>
                </right>
                <top style="hair">
                  <color theme="0"/>
                </top>
                <bottom style="hair">
                  <color theme="0"/>
                </bottom>
                <vertical/>
                <horizontal/>
              </border>
            </x14:dxf>
          </x14:cfRule>
          <xm:sqref>A109:I111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5"/>
  <sheetViews>
    <sheetView topLeftCell="A4" zoomScale="85" zoomScaleNormal="85" workbookViewId="0">
      <selection activeCell="N4" sqref="N4"/>
    </sheetView>
  </sheetViews>
  <sheetFormatPr defaultColWidth="8.88671875" defaultRowHeight="14.4" x14ac:dyDescent="0.3"/>
  <cols>
    <col min="1" max="1" width="8.88671875" style="206"/>
    <col min="2" max="2" width="154.44140625" style="206" customWidth="1"/>
    <col min="3" max="16384" width="8.88671875" style="206"/>
  </cols>
  <sheetData>
    <row r="2" spans="1:9" x14ac:dyDescent="0.3">
      <c r="A2" s="206" t="str">
        <f>IF(FB_type=1,"LOOP_ISO","LOOP_nISO")</f>
        <v>LOOP_nISO</v>
      </c>
    </row>
    <row r="3" spans="1:9" ht="377.25" customHeight="1" x14ac:dyDescent="0.3">
      <c r="D3" s="206" t="s">
        <v>652</v>
      </c>
    </row>
    <row r="4" spans="1:9" ht="333" customHeight="1" x14ac:dyDescent="0.3">
      <c r="D4" s="206" t="s">
        <v>651</v>
      </c>
    </row>
    <row r="5" spans="1:9" ht="409.2" customHeight="1" x14ac:dyDescent="0.3">
      <c r="I5" s="206">
        <f>LoopLookup</f>
        <v>0</v>
      </c>
    </row>
  </sheetData>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zoomScale="70" zoomScaleNormal="70" workbookViewId="0">
      <selection activeCell="F4" sqref="F4"/>
    </sheetView>
  </sheetViews>
  <sheetFormatPr defaultColWidth="9.33203125" defaultRowHeight="14.4" x14ac:dyDescent="0.3"/>
  <cols>
    <col min="1" max="1" width="8.6640625" style="235" customWidth="1"/>
    <col min="2" max="2" width="101.5546875" style="236" customWidth="1"/>
    <col min="3" max="3" width="9.33203125" style="235"/>
    <col min="4" max="4" width="101.44140625" style="235" customWidth="1"/>
    <col min="5" max="5" width="9.33203125" style="235"/>
    <col min="6" max="6" width="101.44140625" style="235" customWidth="1"/>
    <col min="7" max="16384" width="9.33203125" style="235"/>
  </cols>
  <sheetData>
    <row r="1" spans="1:7" x14ac:dyDescent="0.3">
      <c r="A1" s="243" t="str">
        <f>IF(FB_type=1,CHOOSE(Variable_Management!B13,"sch_ISO_1","sch_ISO_2","sch_ISO_3"),CHOOSE(Variable_Management!B13,"sch_nISO_1","sch_nISO_2","sch_nISO_3"))</f>
        <v>sch_nISO_1</v>
      </c>
      <c r="B1" s="244"/>
      <c r="C1" s="243"/>
      <c r="D1" s="243"/>
      <c r="E1" s="243"/>
      <c r="F1" s="243"/>
      <c r="G1" s="240"/>
    </row>
    <row r="2" spans="1:7" x14ac:dyDescent="0.3">
      <c r="G2" s="240"/>
    </row>
    <row r="3" spans="1:7" ht="15.6" customHeight="1" x14ac:dyDescent="0.3">
      <c r="G3" s="240"/>
    </row>
    <row r="4" spans="1:7" ht="392.25" customHeight="1" x14ac:dyDescent="0.3">
      <c r="G4" s="240"/>
    </row>
    <row r="5" spans="1:7" x14ac:dyDescent="0.3">
      <c r="G5" s="240"/>
    </row>
    <row r="6" spans="1:7" ht="392.25" customHeight="1" x14ac:dyDescent="0.3">
      <c r="G6" s="240"/>
    </row>
    <row r="7" spans="1:7" x14ac:dyDescent="0.3">
      <c r="A7" s="241"/>
      <c r="B7" s="242"/>
      <c r="C7" s="241"/>
      <c r="D7" s="241"/>
      <c r="E7" s="241"/>
      <c r="F7" s="241"/>
    </row>
    <row r="8" spans="1:7" ht="321" customHeight="1" x14ac:dyDescent="0.3"/>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21505" r:id="rId4">
          <objectPr defaultSize="0" r:id="rId5">
            <anchor moveWithCells="1">
              <from>
                <xdr:col>5</xdr:col>
                <xdr:colOff>0</xdr:colOff>
                <xdr:row>5</xdr:row>
                <xdr:rowOff>0</xdr:rowOff>
              </from>
              <to>
                <xdr:col>5</xdr:col>
                <xdr:colOff>6713220</xdr:colOff>
                <xdr:row>5</xdr:row>
                <xdr:rowOff>4732020</xdr:rowOff>
              </to>
            </anchor>
          </objectPr>
        </oleObject>
      </mc:Choice>
      <mc:Fallback>
        <oleObject progId="Visio.Drawing.15" shapeId="21505" r:id="rId4"/>
      </mc:Fallback>
    </mc:AlternateContent>
    <mc:AlternateContent xmlns:mc="http://schemas.openxmlformats.org/markup-compatibility/2006">
      <mc:Choice Requires="x14">
        <oleObject progId="Visio.Drawing.15" shapeId="21506" r:id="rId6">
          <objectPr defaultSize="0" r:id="rId7">
            <anchor moveWithCells="1">
              <from>
                <xdr:col>3</xdr:col>
                <xdr:colOff>0</xdr:colOff>
                <xdr:row>5</xdr:row>
                <xdr:rowOff>0</xdr:rowOff>
              </from>
              <to>
                <xdr:col>3</xdr:col>
                <xdr:colOff>6713220</xdr:colOff>
                <xdr:row>5</xdr:row>
                <xdr:rowOff>4732020</xdr:rowOff>
              </to>
            </anchor>
          </objectPr>
        </oleObject>
      </mc:Choice>
      <mc:Fallback>
        <oleObject progId="Visio.Drawing.15" shapeId="21506" r:id="rId6"/>
      </mc:Fallback>
    </mc:AlternateContent>
    <mc:AlternateContent xmlns:mc="http://schemas.openxmlformats.org/markup-compatibility/2006">
      <mc:Choice Requires="x14">
        <oleObject progId="Visio.Drawing.15" shapeId="21507" r:id="rId8">
          <objectPr defaultSize="0" r:id="rId9">
            <anchor moveWithCells="1">
              <from>
                <xdr:col>1</xdr:col>
                <xdr:colOff>0</xdr:colOff>
                <xdr:row>5</xdr:row>
                <xdr:rowOff>0</xdr:rowOff>
              </from>
              <to>
                <xdr:col>1</xdr:col>
                <xdr:colOff>6713220</xdr:colOff>
                <xdr:row>5</xdr:row>
                <xdr:rowOff>4732020</xdr:rowOff>
              </to>
            </anchor>
          </objectPr>
        </oleObject>
      </mc:Choice>
      <mc:Fallback>
        <oleObject progId="Visio.Drawing.15" shapeId="21507" r:id="rId8"/>
      </mc:Fallback>
    </mc:AlternateContent>
    <mc:AlternateContent xmlns:mc="http://schemas.openxmlformats.org/markup-compatibility/2006">
      <mc:Choice Requires="x14">
        <oleObject progId="Visio.Drawing.15" shapeId="21508" r:id="rId10">
          <objectPr defaultSize="0" r:id="rId11">
            <anchor moveWithCells="1">
              <from>
                <xdr:col>1</xdr:col>
                <xdr:colOff>0</xdr:colOff>
                <xdr:row>3</xdr:row>
                <xdr:rowOff>0</xdr:rowOff>
              </from>
              <to>
                <xdr:col>1</xdr:col>
                <xdr:colOff>6469380</xdr:colOff>
                <xdr:row>3</xdr:row>
                <xdr:rowOff>4442460</xdr:rowOff>
              </to>
            </anchor>
          </objectPr>
        </oleObject>
      </mc:Choice>
      <mc:Fallback>
        <oleObject progId="Visio.Drawing.15" shapeId="21508" r:id="rId10"/>
      </mc:Fallback>
    </mc:AlternateContent>
    <mc:AlternateContent xmlns:mc="http://schemas.openxmlformats.org/markup-compatibility/2006">
      <mc:Choice Requires="x14">
        <oleObject progId="Visio.Drawing.15" shapeId="21509" r:id="rId12">
          <objectPr defaultSize="0" r:id="rId13">
            <anchor moveWithCells="1">
              <from>
                <xdr:col>3</xdr:col>
                <xdr:colOff>0</xdr:colOff>
                <xdr:row>3</xdr:row>
                <xdr:rowOff>0</xdr:rowOff>
              </from>
              <to>
                <xdr:col>3</xdr:col>
                <xdr:colOff>6469380</xdr:colOff>
                <xdr:row>3</xdr:row>
                <xdr:rowOff>4442460</xdr:rowOff>
              </to>
            </anchor>
          </objectPr>
        </oleObject>
      </mc:Choice>
      <mc:Fallback>
        <oleObject progId="Visio.Drawing.15" shapeId="21509" r:id="rId12"/>
      </mc:Fallback>
    </mc:AlternateContent>
    <mc:AlternateContent xmlns:mc="http://schemas.openxmlformats.org/markup-compatibility/2006">
      <mc:Choice Requires="x14">
        <oleObject progId="Visio.Drawing.15" shapeId="21510" r:id="rId14">
          <objectPr defaultSize="0" r:id="rId15">
            <anchor moveWithCells="1">
              <from>
                <xdr:col>5</xdr:col>
                <xdr:colOff>0</xdr:colOff>
                <xdr:row>3</xdr:row>
                <xdr:rowOff>0</xdr:rowOff>
              </from>
              <to>
                <xdr:col>5</xdr:col>
                <xdr:colOff>6469380</xdr:colOff>
                <xdr:row>3</xdr:row>
                <xdr:rowOff>4442460</xdr:rowOff>
              </to>
            </anchor>
          </objectPr>
        </oleObject>
      </mc:Choice>
      <mc:Fallback>
        <oleObject progId="Visio.Drawing.15" shapeId="21510"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EDD9D-BD85-44F4-BFAD-FB85DFAB2BF5}">
  <dimension ref="A1:AM47"/>
  <sheetViews>
    <sheetView topLeftCell="A4" workbookViewId="0">
      <selection activeCell="B44" sqref="B44"/>
    </sheetView>
  </sheetViews>
  <sheetFormatPr defaultColWidth="9.109375" defaultRowHeight="13.8" x14ac:dyDescent="0.25"/>
  <cols>
    <col min="1" max="1" width="25.6640625" style="264" bestFit="1" customWidth="1"/>
    <col min="2" max="2" width="56.5546875" style="265" customWidth="1"/>
    <col min="3" max="11" width="9.109375" style="257"/>
    <col min="12" max="12" width="20.44140625" style="257" customWidth="1"/>
    <col min="13" max="16384" width="9.109375" style="257"/>
  </cols>
  <sheetData>
    <row r="1" spans="1:12" x14ac:dyDescent="0.25">
      <c r="A1" s="278"/>
      <c r="B1" s="278"/>
      <c r="C1" s="278"/>
      <c r="D1" s="278"/>
      <c r="E1" s="278"/>
      <c r="F1" s="278"/>
      <c r="G1" s="278"/>
      <c r="H1" s="278"/>
      <c r="I1" s="278"/>
      <c r="J1" s="278"/>
      <c r="K1" s="278"/>
      <c r="L1" s="278"/>
    </row>
    <row r="2" spans="1:12" x14ac:dyDescent="0.25">
      <c r="A2" s="278"/>
      <c r="B2" s="278"/>
      <c r="C2" s="278"/>
      <c r="D2" s="278"/>
      <c r="E2" s="278"/>
      <c r="F2" s="278"/>
      <c r="G2" s="278"/>
      <c r="H2" s="278"/>
      <c r="I2" s="278"/>
      <c r="J2" s="278"/>
      <c r="K2" s="278"/>
      <c r="L2" s="278"/>
    </row>
    <row r="3" spans="1:12" x14ac:dyDescent="0.25">
      <c r="A3" s="278"/>
      <c r="B3" s="278"/>
      <c r="C3" s="278"/>
      <c r="D3" s="278"/>
      <c r="E3" s="278"/>
      <c r="F3" s="278"/>
      <c r="G3" s="278"/>
      <c r="H3" s="278"/>
      <c r="I3" s="278"/>
      <c r="J3" s="278"/>
      <c r="K3" s="278"/>
      <c r="L3" s="278"/>
    </row>
    <row r="4" spans="1:12" x14ac:dyDescent="0.25">
      <c r="A4" s="279"/>
      <c r="B4" s="279"/>
      <c r="C4" s="279"/>
      <c r="D4" s="279"/>
      <c r="E4" s="279"/>
      <c r="F4" s="279"/>
      <c r="G4" s="279"/>
      <c r="H4" s="279"/>
      <c r="I4" s="279"/>
      <c r="J4" s="279"/>
      <c r="K4" s="279"/>
      <c r="L4" s="279"/>
    </row>
    <row r="5" spans="1:12" x14ac:dyDescent="0.25">
      <c r="A5" s="258" t="s">
        <v>699</v>
      </c>
      <c r="B5" s="259" t="s">
        <v>705</v>
      </c>
      <c r="C5" s="260"/>
      <c r="D5" s="260"/>
      <c r="E5" s="260"/>
      <c r="F5" s="260"/>
      <c r="G5" s="260"/>
      <c r="H5" s="260"/>
      <c r="I5" s="260"/>
      <c r="J5" s="260"/>
      <c r="K5" s="261"/>
      <c r="L5" s="262"/>
    </row>
    <row r="6" spans="1:12" x14ac:dyDescent="0.25">
      <c r="A6" s="258"/>
      <c r="B6" s="263"/>
      <c r="C6" s="260"/>
      <c r="D6" s="260"/>
      <c r="E6" s="260"/>
      <c r="F6" s="260"/>
      <c r="G6" s="260"/>
      <c r="H6" s="260"/>
      <c r="I6" s="260"/>
      <c r="J6" s="262"/>
      <c r="K6" s="262"/>
      <c r="L6" s="262"/>
    </row>
    <row r="35" spans="1:39" x14ac:dyDescent="0.25">
      <c r="A35" s="266" t="s">
        <v>700</v>
      </c>
      <c r="B35" s="267"/>
      <c r="C35" s="260"/>
      <c r="D35" s="260"/>
      <c r="E35" s="260"/>
      <c r="F35" s="260"/>
      <c r="G35" s="260"/>
      <c r="H35" s="260"/>
      <c r="I35" s="260"/>
      <c r="J35" s="260"/>
      <c r="K35" s="260"/>
    </row>
    <row r="36" spans="1:39" x14ac:dyDescent="0.25">
      <c r="A36" s="268" t="s">
        <v>701</v>
      </c>
      <c r="B36" s="280" t="s">
        <v>702</v>
      </c>
      <c r="C36" s="280"/>
      <c r="D36" s="280"/>
      <c r="E36" s="280"/>
      <c r="F36" s="280"/>
      <c r="G36" s="280"/>
      <c r="H36" s="280"/>
      <c r="I36" s="280"/>
      <c r="J36" s="280"/>
      <c r="K36" s="280"/>
    </row>
    <row r="37" spans="1:39" x14ac:dyDescent="0.25">
      <c r="A37" s="266" t="s">
        <v>703</v>
      </c>
      <c r="B37" s="281" t="s">
        <v>704</v>
      </c>
      <c r="C37" s="281"/>
      <c r="D37" s="281"/>
      <c r="E37" s="281"/>
      <c r="F37" s="281"/>
      <c r="G37" s="281"/>
      <c r="H37" s="281"/>
      <c r="I37" s="281"/>
      <c r="J37" s="281"/>
      <c r="K37" s="281"/>
    </row>
    <row r="38" spans="1:39" ht="14.25" customHeight="1" x14ac:dyDescent="0.25">
      <c r="A38" s="269" t="s">
        <v>705</v>
      </c>
      <c r="B38" s="282" t="s">
        <v>709</v>
      </c>
      <c r="C38" s="282"/>
      <c r="D38" s="282"/>
      <c r="E38" s="282"/>
      <c r="F38" s="282"/>
      <c r="G38" s="282"/>
      <c r="H38" s="282"/>
      <c r="I38" s="282"/>
      <c r="J38" s="282"/>
      <c r="K38" s="282"/>
    </row>
    <row r="39" spans="1:39" ht="14.25" customHeight="1" x14ac:dyDescent="0.25">
      <c r="A39" s="269"/>
      <c r="B39" s="270"/>
      <c r="C39" s="270"/>
      <c r="D39" s="270"/>
      <c r="E39" s="270"/>
      <c r="F39" s="270"/>
      <c r="G39" s="270"/>
      <c r="H39" s="270"/>
      <c r="I39" s="270"/>
      <c r="J39" s="270"/>
      <c r="K39" s="270"/>
    </row>
    <row r="40" spans="1:39" ht="14.25" customHeight="1" x14ac:dyDescent="0.25">
      <c r="A40" s="269"/>
      <c r="B40" s="270"/>
      <c r="C40" s="270"/>
      <c r="D40" s="270"/>
      <c r="E40" s="270"/>
      <c r="F40" s="270"/>
      <c r="G40" s="270"/>
      <c r="H40" s="270"/>
      <c r="I40" s="270"/>
      <c r="J40" s="270"/>
      <c r="K40" s="270"/>
    </row>
    <row r="41" spans="1:39" ht="14.25" customHeight="1" x14ac:dyDescent="0.25">
      <c r="A41" s="269"/>
      <c r="B41" s="270"/>
      <c r="C41" s="270"/>
      <c r="D41" s="270"/>
      <c r="E41" s="270"/>
      <c r="F41" s="270"/>
      <c r="G41" s="270"/>
      <c r="H41" s="270"/>
      <c r="I41" s="270"/>
      <c r="J41" s="270"/>
      <c r="K41" s="270"/>
    </row>
    <row r="42" spans="1:39" x14ac:dyDescent="0.25">
      <c r="A42" s="269"/>
      <c r="B42" s="270"/>
      <c r="C42" s="270"/>
      <c r="D42" s="270"/>
      <c r="E42" s="270"/>
      <c r="F42" s="270"/>
      <c r="G42" s="270"/>
      <c r="H42" s="270"/>
      <c r="I42" s="270"/>
      <c r="J42" s="270"/>
      <c r="K42" s="270"/>
    </row>
    <row r="43" spans="1:39" x14ac:dyDescent="0.25">
      <c r="A43" s="269"/>
      <c r="B43" s="270"/>
      <c r="C43" s="270"/>
      <c r="D43" s="270"/>
      <c r="E43" s="270"/>
      <c r="F43" s="270"/>
      <c r="G43" s="270"/>
      <c r="H43" s="270"/>
      <c r="I43" s="270"/>
      <c r="J43" s="270"/>
      <c r="K43" s="270"/>
    </row>
    <row r="44" spans="1:39" x14ac:dyDescent="0.25">
      <c r="A44" s="269"/>
      <c r="B44" s="270"/>
      <c r="C44" s="270"/>
      <c r="D44" s="270"/>
      <c r="E44" s="270"/>
      <c r="F44" s="270"/>
      <c r="G44" s="270"/>
      <c r="H44" s="270"/>
      <c r="I44" s="270"/>
      <c r="J44" s="270"/>
      <c r="K44" s="270"/>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row>
    <row r="45" spans="1:39" x14ac:dyDescent="0.25">
      <c r="A45" s="269"/>
      <c r="B45" s="270"/>
      <c r="C45" s="270"/>
      <c r="D45" s="270"/>
      <c r="E45" s="270"/>
      <c r="F45" s="270"/>
      <c r="G45" s="270"/>
      <c r="H45" s="270"/>
      <c r="I45" s="270"/>
      <c r="J45" s="270"/>
      <c r="K45" s="270"/>
    </row>
    <row r="46" spans="1:39" x14ac:dyDescent="0.25">
      <c r="A46" s="269"/>
      <c r="B46" s="270"/>
      <c r="C46" s="270"/>
      <c r="D46" s="270"/>
      <c r="E46" s="270"/>
      <c r="F46" s="270"/>
      <c r="G46" s="270"/>
      <c r="H46" s="270"/>
      <c r="I46" s="270"/>
      <c r="J46" s="270"/>
      <c r="K46" s="270"/>
    </row>
    <row r="47" spans="1:39" x14ac:dyDescent="0.25">
      <c r="A47" s="269"/>
      <c r="B47" s="270"/>
    </row>
  </sheetData>
  <sheetProtection algorithmName="SHA-512" hashValue="pGdbCThgpWqej0wxCecYapFZLhpYHKMNt9TBkC2sDwQs4AW+aZI2TC6/wMVKyNUhv4RRKKIytOzpWvvQrpNJ+A==" saltValue="mgQPQddrEI3kdVcxrY0Lqg==" spinCount="100000" sheet="1" objects="1" scenarios="1" selectLockedCells="1" selectUnlockedCells="1"/>
  <mergeCells count="5">
    <mergeCell ref="A1:L3"/>
    <mergeCell ref="A4:L4"/>
    <mergeCell ref="B36:K36"/>
    <mergeCell ref="B37:K37"/>
    <mergeCell ref="B38:K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1"/>
  <sheetViews>
    <sheetView zoomScale="85" zoomScaleNormal="85" workbookViewId="0">
      <pane ySplit="5" topLeftCell="A135" activePane="bottomLeft" state="frozen"/>
      <selection pane="bottomLeft" activeCell="B175" sqref="B175"/>
    </sheetView>
  </sheetViews>
  <sheetFormatPr defaultRowHeight="14.4" x14ac:dyDescent="0.3"/>
  <cols>
    <col min="1" max="1" width="28.88671875" customWidth="1"/>
    <col min="2" max="2" width="19.5546875" customWidth="1"/>
    <col min="3" max="3" width="10.88671875" customWidth="1"/>
    <col min="4" max="4" width="10" bestFit="1" customWidth="1"/>
    <col min="5" max="5" width="18.6640625" customWidth="1"/>
    <col min="6" max="6" width="14.6640625" customWidth="1"/>
    <col min="7" max="7" width="15.109375" customWidth="1"/>
    <col min="8" max="8" width="12.5546875" customWidth="1"/>
    <col min="9" max="9" width="12.5546875" style="4" customWidth="1"/>
    <col min="12" max="12" width="10.33203125" bestFit="1" customWidth="1"/>
  </cols>
  <sheetData>
    <row r="1" spans="1:17" ht="28.2" x14ac:dyDescent="0.5">
      <c r="A1" s="283" t="s">
        <v>16</v>
      </c>
      <c r="B1" s="283"/>
      <c r="C1" s="283"/>
      <c r="D1" s="283"/>
      <c r="E1" s="283"/>
      <c r="F1" s="283"/>
      <c r="G1" s="283"/>
      <c r="H1" s="283"/>
      <c r="I1" s="283"/>
      <c r="J1" s="283"/>
    </row>
    <row r="2" spans="1:17" x14ac:dyDescent="0.3">
      <c r="A2" s="6"/>
      <c r="B2" s="6" t="s">
        <v>17</v>
      </c>
      <c r="C2" s="7"/>
      <c r="D2" s="5"/>
      <c r="E2" s="6"/>
      <c r="F2" s="6"/>
      <c r="G2" s="6"/>
      <c r="H2" s="6"/>
      <c r="I2" s="11"/>
      <c r="J2" s="6"/>
    </row>
    <row r="3" spans="1:17" x14ac:dyDescent="0.3">
      <c r="A3" s="6"/>
      <c r="B3" s="6" t="s">
        <v>18</v>
      </c>
      <c r="C3" s="181"/>
      <c r="D3" s="5"/>
      <c r="E3" s="6"/>
      <c r="F3" s="23" t="s">
        <v>657</v>
      </c>
      <c r="G3" s="24" t="s">
        <v>56</v>
      </c>
      <c r="H3" s="38" t="s">
        <v>59</v>
      </c>
      <c r="I3" s="11"/>
      <c r="J3" s="6"/>
    </row>
    <row r="4" spans="1:17" x14ac:dyDescent="0.3">
      <c r="A4" s="6"/>
      <c r="B4" s="6" t="s">
        <v>19</v>
      </c>
      <c r="C4" s="8"/>
      <c r="D4" s="5"/>
      <c r="E4" s="6"/>
      <c r="F4" s="23" t="s">
        <v>655</v>
      </c>
      <c r="G4" s="6" t="s">
        <v>656</v>
      </c>
      <c r="H4" s="6"/>
      <c r="I4" s="11"/>
      <c r="J4" s="6"/>
      <c r="O4" t="s">
        <v>654</v>
      </c>
    </row>
    <row r="5" spans="1:17" x14ac:dyDescent="0.3">
      <c r="A5" s="10" t="s">
        <v>20</v>
      </c>
      <c r="B5" s="10" t="s">
        <v>21</v>
      </c>
      <c r="C5" s="10" t="s">
        <v>22</v>
      </c>
      <c r="D5" s="9"/>
      <c r="E5" s="284" t="s">
        <v>23</v>
      </c>
      <c r="F5" s="284"/>
      <c r="G5" s="284"/>
      <c r="H5" s="284"/>
      <c r="I5" s="19"/>
      <c r="J5" s="25" t="s">
        <v>24</v>
      </c>
      <c r="K5" s="10" t="s">
        <v>63</v>
      </c>
      <c r="L5" s="9"/>
      <c r="M5" s="9"/>
      <c r="N5" s="9"/>
      <c r="O5" s="9">
        <v>20200226</v>
      </c>
      <c r="P5" s="9"/>
      <c r="Q5" s="9"/>
    </row>
    <row r="6" spans="1:17" ht="15.6" x14ac:dyDescent="0.3">
      <c r="A6" s="18" t="s">
        <v>25</v>
      </c>
      <c r="B6" s="15"/>
      <c r="C6" s="15"/>
      <c r="D6" s="15"/>
      <c r="E6" s="16"/>
      <c r="F6" s="16"/>
      <c r="G6" s="16"/>
      <c r="H6" s="16"/>
      <c r="I6" s="16"/>
      <c r="J6" s="15"/>
      <c r="K6" s="9"/>
      <c r="L6" s="9"/>
      <c r="M6" s="9"/>
      <c r="N6" s="9"/>
      <c r="O6" s="9"/>
      <c r="P6" s="9"/>
      <c r="Q6" s="9"/>
    </row>
    <row r="7" spans="1:17" x14ac:dyDescent="0.3">
      <c r="A7" t="s">
        <v>26</v>
      </c>
      <c r="B7" s="3">
        <f>'Design Converter'!H7</f>
        <v>14</v>
      </c>
      <c r="C7" t="s">
        <v>11</v>
      </c>
      <c r="E7" t="s">
        <v>29</v>
      </c>
    </row>
    <row r="8" spans="1:17" x14ac:dyDescent="0.3">
      <c r="A8" t="s">
        <v>27</v>
      </c>
      <c r="B8" s="3">
        <f>'Design Converter'!H8</f>
        <v>15</v>
      </c>
      <c r="C8" t="s">
        <v>11</v>
      </c>
      <c r="E8" t="s">
        <v>30</v>
      </c>
      <c r="K8">
        <f>IF(VIN_min&lt;VIN_min,1,IF(VIN_nom&gt;VIN_max,1,0))</f>
        <v>0</v>
      </c>
    </row>
    <row r="9" spans="1:17" x14ac:dyDescent="0.3">
      <c r="A9" t="s">
        <v>28</v>
      </c>
      <c r="B9" s="3">
        <f>'Design Converter'!H9</f>
        <v>16.8</v>
      </c>
      <c r="C9" t="s">
        <v>11</v>
      </c>
      <c r="E9" t="s">
        <v>31</v>
      </c>
    </row>
    <row r="10" spans="1:17" s="4" customFormat="1" x14ac:dyDescent="0.3">
      <c r="A10" s="4" t="s">
        <v>60</v>
      </c>
      <c r="B10" s="3">
        <f>'Design Converter'!H14*1000</f>
        <v>100000</v>
      </c>
      <c r="C10" s="4" t="s">
        <v>61</v>
      </c>
      <c r="E10" s="4" t="s">
        <v>62</v>
      </c>
    </row>
    <row r="11" spans="1:17" s="4" customFormat="1" x14ac:dyDescent="0.3">
      <c r="A11" s="4" t="s">
        <v>65</v>
      </c>
      <c r="B11" s="29">
        <f>((2.21*10^10)/Fsw)-955</f>
        <v>220045</v>
      </c>
      <c r="C11" s="2" t="s">
        <v>35</v>
      </c>
      <c r="E11" s="4" t="s">
        <v>66</v>
      </c>
    </row>
    <row r="13" spans="1:17" s="31" customFormat="1" x14ac:dyDescent="0.3">
      <c r="A13" s="31" t="s">
        <v>634</v>
      </c>
      <c r="B13" s="31">
        <v>1</v>
      </c>
    </row>
    <row r="14" spans="1:17" s="31" customFormat="1" x14ac:dyDescent="0.3"/>
    <row r="15" spans="1:17" x14ac:dyDescent="0.3">
      <c r="A15" t="s">
        <v>419</v>
      </c>
      <c r="B15" s="3">
        <f>ABS('Design Converter'!N7)</f>
        <v>1500</v>
      </c>
      <c r="C15" t="s">
        <v>11</v>
      </c>
      <c r="E15" t="s">
        <v>437</v>
      </c>
    </row>
    <row r="16" spans="1:17" x14ac:dyDescent="0.3">
      <c r="A16" t="s">
        <v>420</v>
      </c>
      <c r="B16" s="3">
        <f>ABS('Design Converter'!N8)</f>
        <v>5.0000000000000001E-3</v>
      </c>
      <c r="C16" t="s">
        <v>12</v>
      </c>
      <c r="E16" t="s">
        <v>34</v>
      </c>
    </row>
    <row r="17" spans="1:5" x14ac:dyDescent="0.3">
      <c r="A17" t="s">
        <v>421</v>
      </c>
      <c r="B17" s="1">
        <f>VOUT1/IOUT1</f>
        <v>300000</v>
      </c>
      <c r="C17" s="2" t="s">
        <v>35</v>
      </c>
      <c r="E17" t="s">
        <v>39</v>
      </c>
    </row>
    <row r="18" spans="1:5" x14ac:dyDescent="0.3">
      <c r="A18" t="s">
        <v>422</v>
      </c>
      <c r="B18" s="1">
        <f>VOUT1*IOUT1</f>
        <v>7.5</v>
      </c>
      <c r="C18" s="2" t="s">
        <v>36</v>
      </c>
      <c r="E18" t="s">
        <v>38</v>
      </c>
    </row>
    <row r="19" spans="1:5" x14ac:dyDescent="0.3">
      <c r="A19" t="s">
        <v>620</v>
      </c>
      <c r="B19" s="3">
        <f>'Design Converter'!H102/1000</f>
        <v>1.1499999999999999</v>
      </c>
      <c r="C19" s="2" t="s">
        <v>11</v>
      </c>
    </row>
    <row r="20" spans="1:5" s="31" customFormat="1" x14ac:dyDescent="0.3">
      <c r="A20" s="31" t="s">
        <v>621</v>
      </c>
      <c r="B20" s="3">
        <f>'Design Converter'!H103/(10^9)</f>
        <v>0</v>
      </c>
      <c r="C20" s="2" t="s">
        <v>352</v>
      </c>
    </row>
    <row r="21" spans="1:5" s="31" customFormat="1" x14ac:dyDescent="0.3"/>
    <row r="22" spans="1:5" s="31" customFormat="1" x14ac:dyDescent="0.3">
      <c r="B22" s="31" t="b">
        <v>0</v>
      </c>
    </row>
    <row r="23" spans="1:5" s="31" customFormat="1" x14ac:dyDescent="0.3">
      <c r="A23" s="31" t="s">
        <v>434</v>
      </c>
      <c r="B23" s="31">
        <f>CHOOSE(B13,0,1,1)</f>
        <v>0</v>
      </c>
      <c r="E23" s="31" t="s">
        <v>435</v>
      </c>
    </row>
    <row r="24" spans="1:5" s="31" customFormat="1" x14ac:dyDescent="0.3">
      <c r="A24" s="31" t="s">
        <v>423</v>
      </c>
      <c r="B24" s="3">
        <f>IF($B$23=1,ABS('Design Converter'!N14),0)</f>
        <v>0</v>
      </c>
      <c r="C24" s="31" t="s">
        <v>11</v>
      </c>
      <c r="E24" s="31" t="s">
        <v>459</v>
      </c>
    </row>
    <row r="25" spans="1:5" s="31" customFormat="1" x14ac:dyDescent="0.3">
      <c r="A25" s="31" t="s">
        <v>424</v>
      </c>
      <c r="B25" s="3">
        <f>IF($B$23=1,ABS('Design Converter'!N15),0)</f>
        <v>0</v>
      </c>
      <c r="C25" s="31" t="s">
        <v>12</v>
      </c>
      <c r="E25" s="31" t="s">
        <v>34</v>
      </c>
    </row>
    <row r="26" spans="1:5" s="31" customFormat="1" x14ac:dyDescent="0.3">
      <c r="A26" s="31" t="s">
        <v>425</v>
      </c>
      <c r="B26" s="1">
        <f>IF($B$23=1,VOUT2/IOUT2,0)</f>
        <v>0</v>
      </c>
      <c r="C26" s="2" t="s">
        <v>35</v>
      </c>
      <c r="E26" s="31" t="s">
        <v>39</v>
      </c>
    </row>
    <row r="27" spans="1:5" s="31" customFormat="1" x14ac:dyDescent="0.3">
      <c r="A27" s="31" t="s">
        <v>426</v>
      </c>
      <c r="B27" s="1">
        <f>VOUT2*IOUT2</f>
        <v>0</v>
      </c>
      <c r="C27" s="2" t="s">
        <v>36</v>
      </c>
      <c r="E27" s="31" t="s">
        <v>38</v>
      </c>
    </row>
    <row r="28" spans="1:5" s="31" customFormat="1" x14ac:dyDescent="0.3">
      <c r="A28" s="31" t="s">
        <v>624</v>
      </c>
      <c r="B28" s="20">
        <f>IF($B$23=1,ABS('Design Converter'!H106/1000),0)</f>
        <v>0</v>
      </c>
      <c r="C28" s="2" t="s">
        <v>11</v>
      </c>
    </row>
    <row r="29" spans="1:5" s="31" customFormat="1" x14ac:dyDescent="0.3">
      <c r="A29" s="31" t="s">
        <v>625</v>
      </c>
      <c r="B29" s="200">
        <f>IF($B$23=1,ABS('Design Converter'!H107*10^-9),0)</f>
        <v>0</v>
      </c>
      <c r="C29" s="31" t="s">
        <v>352</v>
      </c>
    </row>
    <row r="30" spans="1:5" s="31" customFormat="1" x14ac:dyDescent="0.3">
      <c r="B30" s="174"/>
    </row>
    <row r="31" spans="1:5" s="31" customFormat="1" x14ac:dyDescent="0.3">
      <c r="B31" s="174" t="b">
        <v>1</v>
      </c>
    </row>
    <row r="32" spans="1:5" s="31" customFormat="1" x14ac:dyDescent="0.3">
      <c r="A32" s="31" t="s">
        <v>433</v>
      </c>
      <c r="B32" s="176">
        <f>CHOOSE(B13,0,0,1)</f>
        <v>0</v>
      </c>
      <c r="E32" s="31" t="s">
        <v>436</v>
      </c>
    </row>
    <row r="33" spans="1:5" s="31" customFormat="1" x14ac:dyDescent="0.3">
      <c r="A33" s="31" t="s">
        <v>427</v>
      </c>
      <c r="B33" s="3">
        <f>IF($B$32=1,ABS('Design Converter'!N22),0)</f>
        <v>0</v>
      </c>
      <c r="C33" s="31" t="s">
        <v>11</v>
      </c>
      <c r="E33" s="31" t="s">
        <v>460</v>
      </c>
    </row>
    <row r="34" spans="1:5" s="31" customFormat="1" x14ac:dyDescent="0.3">
      <c r="A34" s="31" t="s">
        <v>428</v>
      </c>
      <c r="B34" s="3">
        <f>IF($B$32=1,ABS('Design Converter'!N23),0)</f>
        <v>0</v>
      </c>
      <c r="C34" s="31" t="s">
        <v>12</v>
      </c>
      <c r="E34" s="31" t="s">
        <v>34</v>
      </c>
    </row>
    <row r="35" spans="1:5" s="31" customFormat="1" x14ac:dyDescent="0.3">
      <c r="A35" s="31" t="s">
        <v>429</v>
      </c>
      <c r="B35" s="1">
        <f>IF(B32=1,VOUT3/IOUT3,0)</f>
        <v>0</v>
      </c>
      <c r="C35" s="2" t="s">
        <v>35</v>
      </c>
      <c r="E35" s="31" t="s">
        <v>39</v>
      </c>
    </row>
    <row r="36" spans="1:5" s="31" customFormat="1" x14ac:dyDescent="0.3">
      <c r="A36" s="31" t="s">
        <v>430</v>
      </c>
      <c r="B36" s="1">
        <f>VOUT3*IOUT3</f>
        <v>0</v>
      </c>
      <c r="C36" s="2" t="s">
        <v>36</v>
      </c>
      <c r="E36" s="31" t="s">
        <v>38</v>
      </c>
    </row>
    <row r="37" spans="1:5" s="31" customFormat="1" x14ac:dyDescent="0.3">
      <c r="A37" s="31" t="s">
        <v>622</v>
      </c>
      <c r="B37" s="3">
        <f>IF($B$32=1,ABS('Design Converter'!H110/1000),0)</f>
        <v>0</v>
      </c>
      <c r="C37" s="2" t="s">
        <v>11</v>
      </c>
    </row>
    <row r="38" spans="1:5" s="31" customFormat="1" x14ac:dyDescent="0.3">
      <c r="A38" s="31" t="s">
        <v>623</v>
      </c>
      <c r="B38" s="211">
        <f>IF($B$32=1,ABS('Design Converter'!H111*10^-9),0)</f>
        <v>0</v>
      </c>
      <c r="C38" s="2" t="s">
        <v>352</v>
      </c>
    </row>
    <row r="39" spans="1:5" s="31" customFormat="1" x14ac:dyDescent="0.3">
      <c r="B39" s="174"/>
    </row>
    <row r="40" spans="1:5" s="31" customFormat="1" x14ac:dyDescent="0.3">
      <c r="A40" s="31" t="s">
        <v>431</v>
      </c>
      <c r="B40" s="174">
        <f>SUM(POUT1,POUT2,POUT3)</f>
        <v>7.5</v>
      </c>
    </row>
    <row r="41" spans="1:5" s="31" customFormat="1" x14ac:dyDescent="0.3">
      <c r="A41" t="s">
        <v>37</v>
      </c>
      <c r="B41" s="178">
        <v>1</v>
      </c>
      <c r="E41" s="31" t="s">
        <v>476</v>
      </c>
    </row>
    <row r="42" spans="1:5" s="31" customFormat="1" x14ac:dyDescent="0.3">
      <c r="B42" s="174"/>
    </row>
    <row r="43" spans="1:5" s="31" customFormat="1" x14ac:dyDescent="0.3">
      <c r="A43" s="31" t="s">
        <v>683</v>
      </c>
      <c r="B43" s="174"/>
      <c r="E43" s="31" t="s">
        <v>684</v>
      </c>
    </row>
    <row r="44" spans="1:5" s="31" customFormat="1" x14ac:dyDescent="0.3">
      <c r="A44" s="31" t="s">
        <v>685</v>
      </c>
      <c r="B44" s="174"/>
      <c r="E44" s="31" t="s">
        <v>687</v>
      </c>
    </row>
    <row r="45" spans="1:5" s="31" customFormat="1" x14ac:dyDescent="0.3">
      <c r="A45" s="31" t="s">
        <v>686</v>
      </c>
      <c r="B45" s="174"/>
      <c r="E45" s="31" t="s">
        <v>688</v>
      </c>
    </row>
    <row r="46" spans="1:5" s="31" customFormat="1" x14ac:dyDescent="0.3">
      <c r="B46" s="174"/>
    </row>
    <row r="47" spans="1:5" s="31" customFormat="1" x14ac:dyDescent="0.3">
      <c r="B47" s="174"/>
    </row>
    <row r="48" spans="1:5" s="31" customFormat="1" x14ac:dyDescent="0.3">
      <c r="B48" s="174"/>
    </row>
    <row r="49" spans="1:5" s="31" customFormat="1" ht="15.6" x14ac:dyDescent="0.3">
      <c r="A49" s="18" t="s">
        <v>442</v>
      </c>
      <c r="B49" s="174"/>
    </row>
    <row r="50" spans="1:5" s="31" customFormat="1" x14ac:dyDescent="0.3">
      <c r="B50" s="174"/>
    </row>
    <row r="51" spans="1:5" s="31" customFormat="1" x14ac:dyDescent="0.3">
      <c r="A51" s="31" t="s">
        <v>441</v>
      </c>
      <c r="B51" s="178">
        <v>1</v>
      </c>
      <c r="E51" s="31" t="s">
        <v>443</v>
      </c>
    </row>
    <row r="52" spans="1:5" s="31" customFormat="1" x14ac:dyDescent="0.3">
      <c r="A52" s="31" t="s">
        <v>449</v>
      </c>
      <c r="B52" s="20">
        <f>'Design Converter'!H17/100</f>
        <v>0.94</v>
      </c>
      <c r="E52" s="31" t="s">
        <v>444</v>
      </c>
    </row>
    <row r="53" spans="1:5" s="31" customFormat="1" x14ac:dyDescent="0.3">
      <c r="A53" s="31" t="s">
        <v>456</v>
      </c>
      <c r="B53" s="28">
        <f>((VOUT1+VD)*(1-Dmax_limit)*Np)/(Dmax_limit*VIN_min)</f>
        <v>6.8389057750759941</v>
      </c>
      <c r="C53" s="31" t="s">
        <v>458</v>
      </c>
      <c r="E53" s="31" t="s">
        <v>450</v>
      </c>
    </row>
    <row r="54" spans="1:5" s="31" customFormat="1" x14ac:dyDescent="0.3">
      <c r="A54" s="31" t="s">
        <v>457</v>
      </c>
      <c r="B54" s="20">
        <f>'Design Converter'!N10</f>
        <v>8</v>
      </c>
      <c r="C54" s="31" t="s">
        <v>458</v>
      </c>
      <c r="E54" s="31" t="s">
        <v>451</v>
      </c>
    </row>
    <row r="55" spans="1:5" s="31" customFormat="1" x14ac:dyDescent="0.3">
      <c r="A55" s="31" t="s">
        <v>604</v>
      </c>
      <c r="B55" s="28">
        <f>'Design Converter'!N11/1000</f>
        <v>27</v>
      </c>
      <c r="C55" s="2" t="s">
        <v>35</v>
      </c>
      <c r="E55" s="31" t="s">
        <v>605</v>
      </c>
    </row>
    <row r="56" spans="1:5" s="31" customFormat="1" x14ac:dyDescent="0.3">
      <c r="B56" s="174"/>
      <c r="C56" s="2"/>
    </row>
    <row r="57" spans="1:5" s="31" customFormat="1" ht="15" customHeight="1" x14ac:dyDescent="0.3">
      <c r="A57" s="31" t="s">
        <v>471</v>
      </c>
      <c r="B57" s="27">
        <f>((Np/NS1_)*(VOUT1+VD))/((VIN_min+(Np/NS1_)*(VOUT1+VD)))</f>
        <v>0.9305210918114144</v>
      </c>
      <c r="E57" s="31" t="s">
        <v>473</v>
      </c>
    </row>
    <row r="58" spans="1:5" s="31" customFormat="1" ht="15" customHeight="1" x14ac:dyDescent="0.3">
      <c r="B58" s="39">
        <f>((Np/NS1_)*(VOUT1+VD))/((VIN_nom+(Np/NS1_)*(VOUT1+VD)))</f>
        <v>0.92592592592592593</v>
      </c>
      <c r="E58" s="31" t="s">
        <v>474</v>
      </c>
    </row>
    <row r="59" spans="1:5" s="31" customFormat="1" ht="15" customHeight="1" x14ac:dyDescent="0.3">
      <c r="B59" s="28">
        <f>((Np/NS1_)*(VOUT1+VD))/((VIN_max+(Np/NS1_)*(VOUT1+VD)))</f>
        <v>0.91776798825256967</v>
      </c>
      <c r="E59" s="31" t="s">
        <v>475</v>
      </c>
    </row>
    <row r="60" spans="1:5" s="31" customFormat="1" ht="15" customHeight="1" x14ac:dyDescent="0.3">
      <c r="A60" s="31" t="s">
        <v>477</v>
      </c>
      <c r="B60" s="28">
        <f>(Np/NS1_)*VOUT1+VD</f>
        <v>187.5</v>
      </c>
      <c r="E60" s="31" t="s">
        <v>663</v>
      </c>
    </row>
    <row r="61" spans="1:5" s="31" customFormat="1" ht="15" customHeight="1" x14ac:dyDescent="0.3">
      <c r="B61" s="174"/>
    </row>
    <row r="62" spans="1:5" s="31" customFormat="1" ht="15" customHeight="1" x14ac:dyDescent="0.3">
      <c r="B62" s="174"/>
    </row>
    <row r="63" spans="1:5" s="31" customFormat="1" ht="15" customHeight="1" x14ac:dyDescent="0.3">
      <c r="A63" s="31" t="s">
        <v>452</v>
      </c>
      <c r="B63" s="28">
        <f>IF(EN_OUT_2=1,(NS1_*((VOUT2+VD)/(VOUT1+VD))),0)</f>
        <v>0</v>
      </c>
      <c r="C63" s="31" t="s">
        <v>458</v>
      </c>
      <c r="E63" s="31" t="s">
        <v>454</v>
      </c>
    </row>
    <row r="64" spans="1:5" s="31" customFormat="1" ht="15" customHeight="1" x14ac:dyDescent="0.3">
      <c r="A64" s="31" t="s">
        <v>453</v>
      </c>
      <c r="B64" s="20">
        <f>IF(EN_OUT_2=1,'Design Converter'!N17,0)</f>
        <v>0</v>
      </c>
      <c r="C64" s="31" t="s">
        <v>458</v>
      </c>
      <c r="E64" s="31" t="s">
        <v>455</v>
      </c>
    </row>
    <row r="65" spans="1:5" s="31" customFormat="1" ht="15" customHeight="1" x14ac:dyDescent="0.3">
      <c r="A65" s="31" t="s">
        <v>468</v>
      </c>
      <c r="B65" s="28">
        <f>IF(EN_OUT_2=1,((NS2_*VD)-(NS1_*VD)+(NS2_*VOUT1))/NS1_,0)</f>
        <v>0</v>
      </c>
      <c r="C65" s="31" t="s">
        <v>11</v>
      </c>
      <c r="E65" s="31" t="s">
        <v>469</v>
      </c>
    </row>
    <row r="66" spans="1:5" s="31" customFormat="1" ht="15" customHeight="1" x14ac:dyDescent="0.3">
      <c r="A66" s="31" t="s">
        <v>606</v>
      </c>
      <c r="B66" s="28">
        <f>IF(EN_OUT_2=1,'Design Converter'!N18/1000,0)</f>
        <v>0</v>
      </c>
    </row>
    <row r="67" spans="1:5" s="31" customFormat="1" ht="15" customHeight="1" x14ac:dyDescent="0.3"/>
    <row r="68" spans="1:5" s="31" customFormat="1" ht="15" customHeight="1" x14ac:dyDescent="0.3">
      <c r="A68" s="31" t="s">
        <v>463</v>
      </c>
      <c r="B68" s="28">
        <f>IF(EN_OUT_3=1,(NS1_*((VOUT3+VD)/(VOUT1+VD))),0)</f>
        <v>0</v>
      </c>
      <c r="C68" s="31" t="s">
        <v>458</v>
      </c>
      <c r="E68" s="31" t="s">
        <v>465</v>
      </c>
    </row>
    <row r="69" spans="1:5" s="31" customFormat="1" ht="15" customHeight="1" x14ac:dyDescent="0.3">
      <c r="A69" s="31" t="s">
        <v>464</v>
      </c>
      <c r="B69" s="20">
        <f>'Design Converter'!N25</f>
        <v>0.42</v>
      </c>
      <c r="C69" s="31" t="s">
        <v>458</v>
      </c>
      <c r="E69" s="31" t="s">
        <v>466</v>
      </c>
    </row>
    <row r="70" spans="1:5" s="31" customFormat="1" ht="15" customHeight="1" x14ac:dyDescent="0.3">
      <c r="A70" s="31" t="s">
        <v>470</v>
      </c>
      <c r="B70" s="28">
        <f>IF(EN_OUT_3=1,((NS3_*VD)-(NS1_*VD)+(NS3_*VOUT1))/NS1_,0)</f>
        <v>0</v>
      </c>
      <c r="C70" s="31" t="s">
        <v>11</v>
      </c>
      <c r="E70" s="31" t="s">
        <v>469</v>
      </c>
    </row>
    <row r="71" spans="1:5" s="31" customFormat="1" ht="15" customHeight="1" x14ac:dyDescent="0.3">
      <c r="A71" s="31" t="s">
        <v>607</v>
      </c>
      <c r="B71" s="28">
        <f>IF(EN_OUT_3=1,'Design Converter'!N26/1000,0)</f>
        <v>0</v>
      </c>
    </row>
    <row r="72" spans="1:5" s="31" customFormat="1" ht="15" customHeight="1" x14ac:dyDescent="0.3"/>
    <row r="74" spans="1:5" x14ac:dyDescent="0.3">
      <c r="A74" t="s">
        <v>76</v>
      </c>
      <c r="B74" s="3">
        <f>'Design Converter'!H22/100</f>
        <v>0.7</v>
      </c>
      <c r="E74" t="s">
        <v>92</v>
      </c>
    </row>
    <row r="75" spans="1:5" x14ac:dyDescent="0.3">
      <c r="A75" t="s">
        <v>74</v>
      </c>
      <c r="B75" s="37">
        <f>((Np^2)*(VIN_max^2)*((VOUT1+VD)^2))/(ILrip*POUT_Total*Fsw*((Np*VD)+(NS1_*VIN_max)+(Np*VOUT1))^2)</f>
        <v>4.5281944794840436E-4</v>
      </c>
      <c r="C75" t="s">
        <v>75</v>
      </c>
      <c r="E75" t="s">
        <v>478</v>
      </c>
    </row>
    <row r="76" spans="1:5" x14ac:dyDescent="0.3">
      <c r="A76" t="s">
        <v>77</v>
      </c>
      <c r="B76" s="33">
        <f>'Design Converter'!H24*10^-6</f>
        <v>4.4999999999999996E-5</v>
      </c>
      <c r="C76" t="s">
        <v>75</v>
      </c>
      <c r="E76" t="s">
        <v>78</v>
      </c>
    </row>
    <row r="77" spans="1:5" x14ac:dyDescent="0.3">
      <c r="A77" t="s">
        <v>80</v>
      </c>
      <c r="B77" s="3">
        <f>'Design Converter'!H25*(10^-3)</f>
        <v>1.1500000000000001</v>
      </c>
      <c r="C77" s="2" t="s">
        <v>35</v>
      </c>
      <c r="E77" t="s">
        <v>102</v>
      </c>
    </row>
    <row r="78" spans="1:5" s="31" customFormat="1" x14ac:dyDescent="0.3">
      <c r="A78" s="31" t="s">
        <v>103</v>
      </c>
      <c r="B78" s="21">
        <v>0.2</v>
      </c>
      <c r="C78" s="2"/>
      <c r="E78" s="31" t="s">
        <v>104</v>
      </c>
    </row>
    <row r="79" spans="1:5" x14ac:dyDescent="0.3">
      <c r="B79" t="s">
        <v>82</v>
      </c>
    </row>
    <row r="80" spans="1:5" s="31" customFormat="1" x14ac:dyDescent="0.3">
      <c r="A80" s="31" t="s">
        <v>479</v>
      </c>
      <c r="B80" s="27">
        <f>POUT_Total/(VIN_min*EFF_est*Dc_VIN_min)</f>
        <v>0.57571428571428573</v>
      </c>
      <c r="C80" s="31" t="s">
        <v>12</v>
      </c>
    </row>
    <row r="81" spans="1:5" s="31" customFormat="1" x14ac:dyDescent="0.3">
      <c r="A81" s="31" t="s">
        <v>85</v>
      </c>
      <c r="B81" s="27">
        <f>(VIN_min*Dc_VIN_min)/(Lm*Fsw)</f>
        <v>2.8949545078577339</v>
      </c>
      <c r="C81" s="31" t="s">
        <v>12</v>
      </c>
      <c r="E81" s="31" t="s">
        <v>86</v>
      </c>
    </row>
    <row r="82" spans="1:5" x14ac:dyDescent="0.3">
      <c r="A82" t="s">
        <v>83</v>
      </c>
      <c r="B82" s="27">
        <f>(IL_avg_VIN_min/EFF_est)+(ILrip_VINmin/2)</f>
        <v>2.0231915396431526</v>
      </c>
      <c r="C82" t="s">
        <v>12</v>
      </c>
      <c r="E82" t="s">
        <v>84</v>
      </c>
    </row>
    <row r="84" spans="1:5" s="31" customFormat="1" x14ac:dyDescent="0.3">
      <c r="A84" s="31" t="s">
        <v>479</v>
      </c>
      <c r="B84" s="27">
        <f>POUT_Total/(VIN_nom*EFF_est*Dc_VIN_nom)</f>
        <v>0.54</v>
      </c>
    </row>
    <row r="85" spans="1:5" x14ac:dyDescent="0.3">
      <c r="A85" s="31" t="s">
        <v>87</v>
      </c>
      <c r="B85" s="27">
        <f>(VIN_nom*Dc_VIN_nom)/(Lm*Fsw)</f>
        <v>3.0864197530864197</v>
      </c>
      <c r="C85" s="31" t="s">
        <v>12</v>
      </c>
      <c r="E85" s="31" t="s">
        <v>93</v>
      </c>
    </row>
    <row r="86" spans="1:5" x14ac:dyDescent="0.3">
      <c r="A86" s="31" t="s">
        <v>88</v>
      </c>
      <c r="B86" s="27">
        <f>(IL_avg_VIN_nom/EFF_est)+(ILrip_VINnom/2)</f>
        <v>2.0832098765432097</v>
      </c>
      <c r="C86" s="31" t="s">
        <v>12</v>
      </c>
      <c r="E86" s="31" t="s">
        <v>94</v>
      </c>
    </row>
    <row r="88" spans="1:5" s="31" customFormat="1" x14ac:dyDescent="0.3">
      <c r="A88" s="31" t="s">
        <v>479</v>
      </c>
      <c r="B88" s="27">
        <f>POUT_Total/(VIN_max*EFF_est*Dc_VIN_max)</f>
        <v>0.48642857142857143</v>
      </c>
      <c r="E88" s="31" t="s">
        <v>480</v>
      </c>
    </row>
    <row r="89" spans="1:5" x14ac:dyDescent="0.3">
      <c r="A89" s="31" t="s">
        <v>89</v>
      </c>
      <c r="B89" s="27">
        <f>(VIN_max*Dc_VIN_max)/(Lm*Fsw)</f>
        <v>3.4263338228095939</v>
      </c>
      <c r="C89" s="31" t="s">
        <v>12</v>
      </c>
      <c r="E89" s="31" t="s">
        <v>95</v>
      </c>
    </row>
    <row r="90" spans="1:5" x14ac:dyDescent="0.3">
      <c r="A90" s="31" t="s">
        <v>90</v>
      </c>
      <c r="B90" s="27">
        <f>(IL_avg_VIN_max/EFF_est)+(ILrip_VINmax/2)</f>
        <v>2.1995954828333684</v>
      </c>
      <c r="C90" s="31" t="s">
        <v>12</v>
      </c>
      <c r="E90" s="31" t="s">
        <v>96</v>
      </c>
    </row>
    <row r="92" spans="1:5" x14ac:dyDescent="0.3">
      <c r="A92" s="30" t="s">
        <v>91</v>
      </c>
    </row>
    <row r="93" spans="1:5" x14ac:dyDescent="0.3">
      <c r="A93" t="s">
        <v>98</v>
      </c>
      <c r="B93" s="3">
        <f>'Design Converter'!H30/100</f>
        <v>0.1</v>
      </c>
      <c r="E93" t="s">
        <v>99</v>
      </c>
    </row>
    <row r="94" spans="1:5" x14ac:dyDescent="0.3">
      <c r="A94" t="s">
        <v>100</v>
      </c>
      <c r="B94" s="28">
        <f>(1+Ipk_margin)*ILp_VINmin</f>
        <v>2.2255106936074682</v>
      </c>
      <c r="C94" t="s">
        <v>12</v>
      </c>
      <c r="E94" t="s">
        <v>101</v>
      </c>
    </row>
    <row r="95" spans="1:5" s="31" customFormat="1" x14ac:dyDescent="0.3">
      <c r="B95" s="184"/>
    </row>
    <row r="96" spans="1:5" s="31" customFormat="1" x14ac:dyDescent="0.3">
      <c r="A96" s="31" t="s">
        <v>107</v>
      </c>
      <c r="B96" s="21">
        <v>0.83299999999999996</v>
      </c>
      <c r="E96" s="31" t="s">
        <v>108</v>
      </c>
    </row>
    <row r="97" spans="1:11" s="31" customFormat="1" x14ac:dyDescent="0.3">
      <c r="B97" s="26"/>
    </row>
    <row r="98" spans="1:11" x14ac:dyDescent="0.3">
      <c r="A98" t="s">
        <v>105</v>
      </c>
      <c r="B98" s="185">
        <f>(1/B96)*((Fsw*Isl*Rsl_int*Lm)/((Np/NS1_)*ABS(VOUT1)))</f>
        <v>1.1521728691476589E-3</v>
      </c>
      <c r="C98" s="2" t="s">
        <v>35</v>
      </c>
      <c r="E98" t="s">
        <v>106</v>
      </c>
    </row>
    <row r="99" spans="1:11" x14ac:dyDescent="0.3">
      <c r="A99" t="s">
        <v>113</v>
      </c>
      <c r="B99" s="37">
        <f>Vcl/Ipk_selected</f>
        <v>4.4933506851815574E-2</v>
      </c>
      <c r="C99" s="2" t="s">
        <v>35</v>
      </c>
      <c r="E99" t="s">
        <v>114</v>
      </c>
    </row>
    <row r="100" spans="1:11" s="31" customFormat="1" x14ac:dyDescent="0.3">
      <c r="B100" s="26"/>
    </row>
    <row r="101" spans="1:11" s="31" customFormat="1" x14ac:dyDescent="0.3">
      <c r="A101" s="31" t="s">
        <v>119</v>
      </c>
      <c r="B101" s="21">
        <v>0.83299999999999996</v>
      </c>
      <c r="E101" s="31" t="s">
        <v>120</v>
      </c>
    </row>
    <row r="102" spans="1:11" x14ac:dyDescent="0.3">
      <c r="A102" t="s">
        <v>118</v>
      </c>
      <c r="B102" s="36">
        <f>(Lm*NS1_*Fsw*(Vcl+(Dc_VIN_min*Isl*Rsl_int)))/((Dc_VIN_min*Kslope*VOUT1*Np)+(Ipk_selected*Lm*NS1_*Fsw))</f>
        <v>3.97457156583158E-3</v>
      </c>
      <c r="C102" s="2" t="s">
        <v>35</v>
      </c>
      <c r="E102" t="s">
        <v>129</v>
      </c>
    </row>
    <row r="103" spans="1:11" x14ac:dyDescent="0.3">
      <c r="A103" t="s">
        <v>121</v>
      </c>
      <c r="B103" s="27">
        <f>(Vcl-(Ipk_selected*Rcs_w_sl))/(Isl*Dc_VIN_min)</f>
        <v>3265.3584921357033</v>
      </c>
      <c r="C103" s="2" t="s">
        <v>35</v>
      </c>
      <c r="E103" s="31" t="s">
        <v>128</v>
      </c>
    </row>
    <row r="105" spans="1:11" x14ac:dyDescent="0.3">
      <c r="A105" t="s">
        <v>117</v>
      </c>
      <c r="B105" s="1">
        <f>IF(Rcs_wo_sl&gt;Rcs_max,1,0)</f>
        <v>1</v>
      </c>
      <c r="E105" t="s">
        <v>664</v>
      </c>
    </row>
    <row r="106" spans="1:11" x14ac:dyDescent="0.3">
      <c r="A106" t="s">
        <v>122</v>
      </c>
      <c r="B106" s="39">
        <f>IF(B105=0,Rcs_wo_sl,Rcs_w_sl)</f>
        <v>3.97457156583158E-3</v>
      </c>
      <c r="C106" s="2" t="s">
        <v>35</v>
      </c>
      <c r="E106" t="s">
        <v>126</v>
      </c>
    </row>
    <row r="107" spans="1:11" x14ac:dyDescent="0.3">
      <c r="A107" t="s">
        <v>123</v>
      </c>
      <c r="B107" s="1">
        <f>IF(B105=0,0,B103)</f>
        <v>3265.3584921357033</v>
      </c>
      <c r="C107" s="2" t="s">
        <v>35</v>
      </c>
      <c r="E107" t="s">
        <v>127</v>
      </c>
    </row>
    <row r="109" spans="1:11" x14ac:dyDescent="0.3">
      <c r="A109" t="s">
        <v>124</v>
      </c>
      <c r="B109" s="40">
        <f>'Design Converter'!H34/1000</f>
        <v>4.0000000000000001E-3</v>
      </c>
      <c r="C109" s="2" t="s">
        <v>35</v>
      </c>
      <c r="E109" t="s">
        <v>131</v>
      </c>
    </row>
    <row r="110" spans="1:11" x14ac:dyDescent="0.3">
      <c r="A110" t="s">
        <v>125</v>
      </c>
      <c r="B110" s="3">
        <f>'Design Converter'!H35</f>
        <v>3250</v>
      </c>
      <c r="C110" s="2" t="s">
        <v>35</v>
      </c>
      <c r="E110" t="s">
        <v>132</v>
      </c>
    </row>
    <row r="112" spans="1:11" x14ac:dyDescent="0.3">
      <c r="A112" t="s">
        <v>136</v>
      </c>
      <c r="B112" s="28">
        <f>(Isl*(Rsl_int+R_sl)*Fsw)/(((VOUT1*(Np/NS1_))/Lm)*R_cs)</f>
        <v>0.8249399999999999</v>
      </c>
      <c r="C112" t="s">
        <v>144</v>
      </c>
      <c r="E112" t="s">
        <v>134</v>
      </c>
      <c r="K112">
        <f>IF(B112&lt;0.5,1,0)</f>
        <v>0</v>
      </c>
    </row>
    <row r="113" spans="1:16" s="31" customFormat="1" x14ac:dyDescent="0.3">
      <c r="A113" s="31" t="s">
        <v>138</v>
      </c>
      <c r="B113" s="28">
        <f>(Vcl-(Isl*R_sl*Dc_VIN_min))/R_cs</f>
        <v>2.3185483870967785</v>
      </c>
      <c r="C113" s="31" t="s">
        <v>12</v>
      </c>
      <c r="E113" s="31" t="s">
        <v>140</v>
      </c>
      <c r="K113">
        <f>IF(IL_pk&lt;Ipk_selected,1,0)</f>
        <v>0</v>
      </c>
    </row>
    <row r="114" spans="1:16" x14ac:dyDescent="0.3">
      <c r="A114" t="s">
        <v>139</v>
      </c>
      <c r="B114" s="28">
        <f>(Vcl-(Isl*R_sl*Dc_VIN_max))/R_cs</f>
        <v>2.6294052863436166</v>
      </c>
      <c r="C114" t="s">
        <v>12</v>
      </c>
      <c r="E114" t="s">
        <v>141</v>
      </c>
    </row>
    <row r="115" spans="1:16" x14ac:dyDescent="0.3">
      <c r="A115" t="s">
        <v>142</v>
      </c>
      <c r="B115" s="1">
        <f>0.15</f>
        <v>0.15</v>
      </c>
      <c r="E115" t="s">
        <v>143</v>
      </c>
    </row>
    <row r="117" spans="1:16" x14ac:dyDescent="0.3">
      <c r="A117" s="34" t="s">
        <v>145</v>
      </c>
    </row>
    <row r="118" spans="1:16" x14ac:dyDescent="0.3">
      <c r="A118" t="s">
        <v>653</v>
      </c>
    </row>
    <row r="120" spans="1:16" x14ac:dyDescent="0.3">
      <c r="A120" s="42" t="s">
        <v>146</v>
      </c>
      <c r="E120">
        <f>VIN_min</f>
        <v>14</v>
      </c>
    </row>
    <row r="121" spans="1:16" s="31" customFormat="1" x14ac:dyDescent="0.3">
      <c r="A121" s="42"/>
    </row>
    <row r="122" spans="1:16" s="31" customFormat="1" x14ac:dyDescent="0.3">
      <c r="A122" s="194" t="s">
        <v>646</v>
      </c>
      <c r="B122" s="1">
        <f>fz_rhp/5</f>
        <v>17201.195944864339</v>
      </c>
      <c r="C122" s="31" t="s">
        <v>61</v>
      </c>
      <c r="E122" s="31" t="s">
        <v>647</v>
      </c>
      <c r="O122" s="186"/>
      <c r="P122" s="31" t="s">
        <v>660</v>
      </c>
    </row>
    <row r="123" spans="1:16" s="31" customFormat="1" x14ac:dyDescent="0.3">
      <c r="A123" s="42"/>
    </row>
    <row r="124" spans="1:16" s="31" customFormat="1" x14ac:dyDescent="0.3">
      <c r="A124" s="42"/>
    </row>
    <row r="125" spans="1:16" x14ac:dyDescent="0.3">
      <c r="B125" s="46" t="s">
        <v>489</v>
      </c>
    </row>
    <row r="126" spans="1:16" x14ac:dyDescent="0.3">
      <c r="A126" t="s">
        <v>481</v>
      </c>
      <c r="B126" s="43">
        <f>'Design Converter'!H40/1000</f>
        <v>100</v>
      </c>
      <c r="C126" t="s">
        <v>11</v>
      </c>
      <c r="E126" t="s">
        <v>150</v>
      </c>
    </row>
    <row r="127" spans="1:16" s="31" customFormat="1" x14ac:dyDescent="0.3">
      <c r="A127" s="31" t="s">
        <v>648</v>
      </c>
      <c r="B127" s="43">
        <f>IOUT1-(IOUT1/2)</f>
        <v>2.5000000000000001E-3</v>
      </c>
      <c r="C127" s="31" t="s">
        <v>12</v>
      </c>
      <c r="E127" s="31" t="s">
        <v>649</v>
      </c>
    </row>
    <row r="128" spans="1:16" x14ac:dyDescent="0.3">
      <c r="A128" t="s">
        <v>482</v>
      </c>
      <c r="B128" s="1">
        <f>B127/(2*PI()*Vout1_rip_sel*B122)</f>
        <v>2.3131377551020411E-10</v>
      </c>
      <c r="C128" t="s">
        <v>151</v>
      </c>
      <c r="E128" t="s">
        <v>152</v>
      </c>
    </row>
    <row r="129" spans="1:16" x14ac:dyDescent="0.3">
      <c r="A129" t="s">
        <v>153</v>
      </c>
      <c r="B129" s="27"/>
      <c r="C129" t="s">
        <v>12</v>
      </c>
      <c r="D129" s="186"/>
      <c r="E129" t="s">
        <v>154</v>
      </c>
    </row>
    <row r="130" spans="1:16" x14ac:dyDescent="0.3">
      <c r="A130" t="s">
        <v>482</v>
      </c>
      <c r="B130" s="3">
        <f>'Design Converter'!H42*(10^-6)</f>
        <v>2.9999999999999999E-7</v>
      </c>
      <c r="C130" t="s">
        <v>151</v>
      </c>
      <c r="E130" t="s">
        <v>156</v>
      </c>
    </row>
    <row r="131" spans="1:16" x14ac:dyDescent="0.3">
      <c r="A131" t="s">
        <v>483</v>
      </c>
      <c r="B131" s="3">
        <f>'Design Converter'!H43/1000</f>
        <v>1.0000000000000001E-5</v>
      </c>
      <c r="C131" s="2" t="s">
        <v>35</v>
      </c>
      <c r="E131" t="s">
        <v>157</v>
      </c>
    </row>
    <row r="132" spans="1:16" x14ac:dyDescent="0.3">
      <c r="A132" t="s">
        <v>284</v>
      </c>
      <c r="D132" s="186"/>
      <c r="E132" s="94" t="s">
        <v>285</v>
      </c>
    </row>
    <row r="133" spans="1:16" s="31" customFormat="1" x14ac:dyDescent="0.3">
      <c r="B133" s="46" t="s">
        <v>487</v>
      </c>
    </row>
    <row r="134" spans="1:16" s="31" customFormat="1" x14ac:dyDescent="0.3">
      <c r="A134" s="31" t="s">
        <v>492</v>
      </c>
      <c r="B134" s="43">
        <f>'Design Converter'!N40*(10^-3)</f>
        <v>0.1</v>
      </c>
      <c r="C134" s="31" t="s">
        <v>11</v>
      </c>
      <c r="E134" s="31" t="s">
        <v>150</v>
      </c>
    </row>
    <row r="135" spans="1:16" s="31" customFormat="1" x14ac:dyDescent="0.3">
      <c r="B135" s="43">
        <f>IOUT2-(IOUT2/2)</f>
        <v>0</v>
      </c>
      <c r="E135" s="31" t="s">
        <v>661</v>
      </c>
    </row>
    <row r="136" spans="1:16" s="31" customFormat="1" x14ac:dyDescent="0.3">
      <c r="A136" s="31" t="s">
        <v>493</v>
      </c>
      <c r="B136" s="1">
        <f>IF(EN_OUT_2=1,B135/(2*PI()*Vout2_rip_sel*B122),0)</f>
        <v>0</v>
      </c>
      <c r="C136" s="31" t="s">
        <v>151</v>
      </c>
      <c r="E136" s="31" t="s">
        <v>152</v>
      </c>
      <c r="O136" s="186"/>
      <c r="P136" s="31" t="s">
        <v>658</v>
      </c>
    </row>
    <row r="137" spans="1:16" s="31" customFormat="1" x14ac:dyDescent="0.3">
      <c r="A137" s="31" t="s">
        <v>153</v>
      </c>
      <c r="B137" s="27"/>
      <c r="C137" s="31" t="s">
        <v>12</v>
      </c>
      <c r="E137" s="31" t="s">
        <v>154</v>
      </c>
    </row>
    <row r="138" spans="1:16" s="31" customFormat="1" x14ac:dyDescent="0.3">
      <c r="A138" s="31" t="s">
        <v>494</v>
      </c>
      <c r="B138" s="3">
        <f>IF(EN_OUT_2=1,'Design Converter'!N42*(10^-6),0)</f>
        <v>0</v>
      </c>
      <c r="C138" s="31" t="s">
        <v>151</v>
      </c>
      <c r="E138" s="31" t="s">
        <v>156</v>
      </c>
    </row>
    <row r="139" spans="1:16" s="31" customFormat="1" x14ac:dyDescent="0.3">
      <c r="A139" s="31" t="s">
        <v>495</v>
      </c>
      <c r="B139" s="3">
        <f>IF(EN_OUT_2=1,'Design Converter'!N43*(10^-3),0)</f>
        <v>0</v>
      </c>
      <c r="C139" s="2" t="s">
        <v>35</v>
      </c>
      <c r="E139" s="31" t="s">
        <v>157</v>
      </c>
    </row>
    <row r="140" spans="1:16" s="31" customFormat="1" x14ac:dyDescent="0.3">
      <c r="A140" s="31" t="s">
        <v>496</v>
      </c>
      <c r="B140" s="3">
        <f>IF(EN_OUT_2=1,1/(((Np^2)/(NS2_^2))*Resr2),0)</f>
        <v>0</v>
      </c>
      <c r="C140" s="2" t="s">
        <v>35</v>
      </c>
      <c r="E140" s="31" t="s">
        <v>497</v>
      </c>
      <c r="O140" s="31" t="s">
        <v>662</v>
      </c>
    </row>
    <row r="141" spans="1:16" s="31" customFormat="1" x14ac:dyDescent="0.3">
      <c r="B141" s="46" t="s">
        <v>488</v>
      </c>
      <c r="E141" s="187"/>
    </row>
    <row r="142" spans="1:16" s="31" customFormat="1" x14ac:dyDescent="0.3">
      <c r="A142" s="31" t="s">
        <v>484</v>
      </c>
      <c r="B142" s="43">
        <f>'Design Converter'!V40*(10^-3)</f>
        <v>0.70000000000000007</v>
      </c>
      <c r="C142" s="31" t="s">
        <v>11</v>
      </c>
      <c r="E142" s="31" t="s">
        <v>150</v>
      </c>
    </row>
    <row r="143" spans="1:16" s="31" customFormat="1" x14ac:dyDescent="0.3">
      <c r="B143" s="43">
        <f>IOUT3-(IOUT3/2)</f>
        <v>0</v>
      </c>
    </row>
    <row r="144" spans="1:16" s="31" customFormat="1" x14ac:dyDescent="0.3">
      <c r="A144" s="31" t="s">
        <v>485</v>
      </c>
      <c r="B144" s="1">
        <f>IF(EN_OUT_3=1,B143/(2*PI()*Vout3_rip_sel*B122),0)</f>
        <v>0</v>
      </c>
      <c r="C144" s="31" t="s">
        <v>151</v>
      </c>
      <c r="E144" s="31" t="s">
        <v>152</v>
      </c>
      <c r="O144" s="186"/>
      <c r="P144" s="31" t="s">
        <v>659</v>
      </c>
    </row>
    <row r="145" spans="1:11" s="31" customFormat="1" x14ac:dyDescent="0.3">
      <c r="A145" s="31" t="s">
        <v>153</v>
      </c>
      <c r="B145" s="27"/>
      <c r="C145" s="31" t="s">
        <v>12</v>
      </c>
      <c r="E145" s="31" t="s">
        <v>154</v>
      </c>
    </row>
    <row r="146" spans="1:11" s="31" customFormat="1" x14ac:dyDescent="0.3">
      <c r="A146" s="31" t="s">
        <v>485</v>
      </c>
      <c r="B146" s="3">
        <f>IF(EN_OUT_3=1,'Design Converter'!V42*(10^-6),0)</f>
        <v>0</v>
      </c>
      <c r="C146" s="31" t="s">
        <v>151</v>
      </c>
      <c r="E146" s="31" t="s">
        <v>156</v>
      </c>
    </row>
    <row r="147" spans="1:11" s="31" customFormat="1" x14ac:dyDescent="0.3">
      <c r="A147" s="31" t="s">
        <v>486</v>
      </c>
      <c r="B147" s="3">
        <f>IF(EN_OUT_3=1,'Design Converter'!V43*(10^-3),0)</f>
        <v>0</v>
      </c>
      <c r="C147" s="2" t="s">
        <v>35</v>
      </c>
      <c r="E147" s="31" t="s">
        <v>157</v>
      </c>
    </row>
    <row r="148" spans="1:11" s="31" customFormat="1" x14ac:dyDescent="0.3">
      <c r="B148" s="3">
        <f>IF(EN_OUT_3=1,1/(((Np^2)/(NS3_^2))*Resr3),0)</f>
        <v>0</v>
      </c>
      <c r="C148" s="2" t="s">
        <v>35</v>
      </c>
      <c r="E148" s="31" t="s">
        <v>497</v>
      </c>
    </row>
    <row r="149" spans="1:11" s="31" customFormat="1" x14ac:dyDescent="0.3"/>
    <row r="150" spans="1:11" s="31" customFormat="1" x14ac:dyDescent="0.3">
      <c r="A150" s="31" t="s">
        <v>490</v>
      </c>
      <c r="B150" s="200">
        <f>Cout1+(((NS2_^2)/(NS1_^2))*Cout2)+(((NS3_^2)/(NS1_^2))*Cout3)</f>
        <v>2.9999999999999999E-7</v>
      </c>
      <c r="C150" s="31" t="s">
        <v>151</v>
      </c>
      <c r="E150" s="31" t="s">
        <v>499</v>
      </c>
      <c r="K150" s="31">
        <f>(((NS2_^2)/(NS1_^2))*Cout2)</f>
        <v>0</v>
      </c>
    </row>
    <row r="151" spans="1:11" s="31" customFormat="1" x14ac:dyDescent="0.3">
      <c r="A151" s="31" t="s">
        <v>491</v>
      </c>
      <c r="B151" s="3">
        <f>1/((1/Resr1)+Resr2_Trans+Resr3_Trans)</f>
        <v>1.0000000000000001E-5</v>
      </c>
      <c r="C151" s="2" t="s">
        <v>35</v>
      </c>
      <c r="E151" s="31" t="s">
        <v>498</v>
      </c>
    </row>
    <row r="152" spans="1:11" s="31" customFormat="1" x14ac:dyDescent="0.3"/>
    <row r="153" spans="1:11" s="26" customFormat="1" x14ac:dyDescent="0.3">
      <c r="E153" s="26" t="s">
        <v>500</v>
      </c>
    </row>
    <row r="154" spans="1:11" s="31" customFormat="1" x14ac:dyDescent="0.3">
      <c r="A154" s="42" t="s">
        <v>303</v>
      </c>
    </row>
    <row r="155" spans="1:11" s="31" customFormat="1" x14ac:dyDescent="0.3">
      <c r="A155" s="31" t="s">
        <v>287</v>
      </c>
      <c r="B155" s="21">
        <f>Iss</f>
        <v>9.9999999999999991E-6</v>
      </c>
      <c r="C155" s="31" t="s">
        <v>12</v>
      </c>
      <c r="E155" s="31" t="s">
        <v>289</v>
      </c>
      <c r="J155" s="31" t="s">
        <v>665</v>
      </c>
    </row>
    <row r="156" spans="1:11" s="31" customFormat="1" x14ac:dyDescent="0.3">
      <c r="A156" s="31" t="s">
        <v>290</v>
      </c>
      <c r="B156" s="1">
        <f>Iss*VOUT1*Cout1/(Vref*IOUT1)</f>
        <v>8.9999999999999996E-7</v>
      </c>
      <c r="C156" s="31" t="s">
        <v>151</v>
      </c>
      <c r="E156" s="31" t="s">
        <v>291</v>
      </c>
    </row>
    <row r="157" spans="1:11" s="31" customFormat="1" x14ac:dyDescent="0.3">
      <c r="A157" s="31" t="s">
        <v>292</v>
      </c>
      <c r="B157" s="3">
        <f>'Design Converter'!H48*(10^-3)</f>
        <v>1E-4</v>
      </c>
      <c r="C157" s="31" t="s">
        <v>47</v>
      </c>
      <c r="E157" s="31" t="s">
        <v>293</v>
      </c>
    </row>
    <row r="158" spans="1:11" s="31" customFormat="1" x14ac:dyDescent="0.3">
      <c r="A158" s="31" t="s">
        <v>296</v>
      </c>
      <c r="B158" s="1">
        <f>(tss*Iss)/(Vref)</f>
        <v>1.0000000000000001E-9</v>
      </c>
      <c r="C158" s="31" t="s">
        <v>151</v>
      </c>
      <c r="E158" s="31" t="s">
        <v>297</v>
      </c>
    </row>
    <row r="159" spans="1:11" s="31" customFormat="1" x14ac:dyDescent="0.3"/>
    <row r="160" spans="1:11" s="31" customFormat="1" x14ac:dyDescent="0.3">
      <c r="A160" s="42" t="s">
        <v>302</v>
      </c>
    </row>
    <row r="161" spans="1:5" s="31" customFormat="1" x14ac:dyDescent="0.3">
      <c r="A161" s="31" t="s">
        <v>304</v>
      </c>
      <c r="B161" s="3">
        <f>'Design Converter'!H52</f>
        <v>12</v>
      </c>
      <c r="C161" s="31" t="s">
        <v>11</v>
      </c>
      <c r="E161" s="31" t="s">
        <v>306</v>
      </c>
    </row>
    <row r="162" spans="1:5" s="31" customFormat="1" x14ac:dyDescent="0.3">
      <c r="A162" s="31" t="s">
        <v>305</v>
      </c>
      <c r="B162" s="3">
        <f>'Design Converter'!H53</f>
        <v>11.5</v>
      </c>
      <c r="C162" s="31" t="s">
        <v>11</v>
      </c>
      <c r="E162" s="31" t="s">
        <v>307</v>
      </c>
    </row>
    <row r="163" spans="1:5" s="31" customFormat="1" x14ac:dyDescent="0.3">
      <c r="A163" s="31" t="s">
        <v>309</v>
      </c>
      <c r="B163" s="21">
        <f>UV_rise</f>
        <v>1.5</v>
      </c>
      <c r="C163" s="31" t="s">
        <v>11</v>
      </c>
      <c r="E163" s="31" t="s">
        <v>314</v>
      </c>
    </row>
    <row r="164" spans="1:5" s="31" customFormat="1" x14ac:dyDescent="0.3">
      <c r="A164" s="31" t="s">
        <v>310</v>
      </c>
      <c r="B164" s="21">
        <f>UV_fall</f>
        <v>1.45</v>
      </c>
      <c r="C164" s="31" t="s">
        <v>11</v>
      </c>
      <c r="E164" s="31" t="s">
        <v>313</v>
      </c>
    </row>
    <row r="165" spans="1:5" s="31" customFormat="1" x14ac:dyDescent="0.3">
      <c r="A165" s="31" t="s">
        <v>315</v>
      </c>
      <c r="B165" s="21">
        <f>UV_I_hyst</f>
        <v>4.9999999999999996E-6</v>
      </c>
      <c r="C165" s="31" t="s">
        <v>12</v>
      </c>
      <c r="E165" s="31" t="s">
        <v>317</v>
      </c>
    </row>
    <row r="166" spans="1:5" s="31" customFormat="1" x14ac:dyDescent="0.3">
      <c r="A166" s="31" t="s">
        <v>318</v>
      </c>
      <c r="B166" s="29">
        <f>((Vuvlo_on*0.967)-Vuvlo_off)/(UV_I_hyst)</f>
        <v>20799.999999999844</v>
      </c>
      <c r="C166" s="2" t="s">
        <v>35</v>
      </c>
      <c r="E166" s="31" t="s">
        <v>392</v>
      </c>
    </row>
    <row r="167" spans="1:5" s="31" customFormat="1" x14ac:dyDescent="0.3">
      <c r="A167" s="31" t="s">
        <v>318</v>
      </c>
      <c r="B167" s="3">
        <f>'Design Converter'!H55*1000</f>
        <v>20799.999999999844</v>
      </c>
      <c r="C167" s="2" t="s">
        <v>35</v>
      </c>
      <c r="E167" s="31" t="s">
        <v>393</v>
      </c>
    </row>
    <row r="168" spans="1:5" s="31" customFormat="1" x14ac:dyDescent="0.3">
      <c r="A168" s="31" t="s">
        <v>319</v>
      </c>
      <c r="B168" s="29">
        <f>UV_rise*Ruvlo_top/(Vuvlo_on-UV_rise)</f>
        <v>2971.4285714285493</v>
      </c>
      <c r="C168" s="2" t="s">
        <v>35</v>
      </c>
      <c r="E168" s="31" t="s">
        <v>394</v>
      </c>
    </row>
    <row r="169" spans="1:5" s="31" customFormat="1" x14ac:dyDescent="0.3">
      <c r="A169" s="31" t="s">
        <v>320</v>
      </c>
      <c r="B169" s="28">
        <f>UV_rise*(Ruvlo_top+Ruvlo_bottom_calc)/Ruvlo_bottom_calc</f>
        <v>12</v>
      </c>
      <c r="E169" s="31" t="s">
        <v>322</v>
      </c>
    </row>
    <row r="170" spans="1:5" s="31" customFormat="1" x14ac:dyDescent="0.3">
      <c r="A170" s="31" t="s">
        <v>321</v>
      </c>
      <c r="B170" s="28">
        <f>Ruvlo_top*((UV_fall/Ruvlo_top)-(UV_I_hyst)+(UV_fall/Ruvlo_bottom_calc))</f>
        <v>11.495999999999999</v>
      </c>
      <c r="E170" s="31" t="s">
        <v>323</v>
      </c>
    </row>
    <row r="171" spans="1:5" s="31" customFormat="1" x14ac:dyDescent="0.3"/>
    <row r="172" spans="1:5" s="31" customFormat="1" x14ac:dyDescent="0.3"/>
    <row r="173" spans="1:5" x14ac:dyDescent="0.3">
      <c r="A173" s="42" t="s">
        <v>557</v>
      </c>
    </row>
    <row r="174" spans="1:5" s="31" customFormat="1" x14ac:dyDescent="0.3">
      <c r="A174" s="47" t="s">
        <v>186</v>
      </c>
      <c r="B174" s="3">
        <f>'Design Converter'!H59</f>
        <v>15</v>
      </c>
      <c r="C174" s="31" t="s">
        <v>11</v>
      </c>
      <c r="E174" s="31" t="s">
        <v>650</v>
      </c>
    </row>
    <row r="175" spans="1:5" s="31" customFormat="1" x14ac:dyDescent="0.3">
      <c r="A175" s="47" t="s">
        <v>517</v>
      </c>
      <c r="B175" s="26">
        <v>2</v>
      </c>
      <c r="E175" s="31" t="s">
        <v>518</v>
      </c>
    </row>
    <row r="176" spans="1:5" s="31" customFormat="1" x14ac:dyDescent="0.3">
      <c r="A176" s="47"/>
      <c r="B176" s="26"/>
    </row>
    <row r="177" spans="1:5" s="31" customFormat="1" x14ac:dyDescent="0.3">
      <c r="A177" s="47" t="s">
        <v>556</v>
      </c>
      <c r="B177" s="26"/>
    </row>
    <row r="178" spans="1:5" s="31" customFormat="1" x14ac:dyDescent="0.3">
      <c r="A178" s="31" t="s">
        <v>396</v>
      </c>
      <c r="B178" s="32">
        <f>Gcomp*((VOUT1^2)/(POUT_Total))*((1-Dc_VIN_min)/((1+Dc_VIN_min)*((Acs*R_cs)/(Np/NS1_))))</f>
        <v>47911.311053984558</v>
      </c>
      <c r="E178" s="31" t="s">
        <v>559</v>
      </c>
    </row>
    <row r="179" spans="1:5" s="31" customFormat="1" x14ac:dyDescent="0.3"/>
    <row r="180" spans="1:5" s="31" customFormat="1" x14ac:dyDescent="0.3">
      <c r="A180" s="31" t="s">
        <v>397</v>
      </c>
      <c r="B180" s="21">
        <f>(1+Dc_VIN_min)/(Cout_total*((VOUT1^2)/POUT_Total))</f>
        <v>21.450234353460161</v>
      </c>
      <c r="C180" s="31" t="s">
        <v>383</v>
      </c>
      <c r="E180" s="31" t="s">
        <v>382</v>
      </c>
    </row>
    <row r="181" spans="1:5" s="31" customFormat="1" x14ac:dyDescent="0.3">
      <c r="A181" s="31" t="s">
        <v>398</v>
      </c>
      <c r="B181" s="29">
        <f>B180/(2*PI())</f>
        <v>3.4139108278327703</v>
      </c>
      <c r="C181" s="31" t="s">
        <v>61</v>
      </c>
      <c r="E181" s="31" t="s">
        <v>240</v>
      </c>
    </row>
    <row r="182" spans="1:5" s="31" customFormat="1" x14ac:dyDescent="0.3">
      <c r="B182" s="26"/>
    </row>
    <row r="183" spans="1:5" s="31" customFormat="1" x14ac:dyDescent="0.3">
      <c r="A183" s="31" t="s">
        <v>399</v>
      </c>
      <c r="B183" s="21">
        <f>1/(Cout_total*Resr_total)</f>
        <v>333333333333.33331</v>
      </c>
      <c r="C183" s="31" t="s">
        <v>384</v>
      </c>
      <c r="E183" s="31" t="s">
        <v>385</v>
      </c>
    </row>
    <row r="184" spans="1:5" s="31" customFormat="1" x14ac:dyDescent="0.3">
      <c r="A184" s="31" t="s">
        <v>400</v>
      </c>
      <c r="B184" s="1">
        <f>B183/(2*PI())</f>
        <v>53051647697.298447</v>
      </c>
      <c r="C184" s="31" t="s">
        <v>61</v>
      </c>
      <c r="E184" s="31" t="s">
        <v>242</v>
      </c>
    </row>
    <row r="185" spans="1:5" s="31" customFormat="1" x14ac:dyDescent="0.3">
      <c r="B185" s="26"/>
    </row>
    <row r="186" spans="1:5" s="31" customFormat="1" x14ac:dyDescent="0.3">
      <c r="A186" s="31" t="s">
        <v>401</v>
      </c>
      <c r="B186" s="21">
        <f>(((VOUT1^2)/POUT_Total)*((1-Dc_VIN_min)^2))/((Lm/((Np/NS1_)^2))*Dc_VIN_min)</f>
        <v>540391.50813344342</v>
      </c>
      <c r="E186" s="31" t="s">
        <v>381</v>
      </c>
    </row>
    <row r="187" spans="1:5" s="31" customFormat="1" x14ac:dyDescent="0.3">
      <c r="A187" s="31" t="s">
        <v>402</v>
      </c>
      <c r="B187" s="29">
        <f>B186/(2*PI())</f>
        <v>86005.979724321689</v>
      </c>
      <c r="C187" s="31" t="s">
        <v>61</v>
      </c>
      <c r="E187" s="31" t="s">
        <v>241</v>
      </c>
    </row>
    <row r="188" spans="1:5" s="31" customFormat="1" x14ac:dyDescent="0.3">
      <c r="B188" s="26">
        <f>Fsw/10</f>
        <v>10000</v>
      </c>
      <c r="C188" s="31" t="s">
        <v>61</v>
      </c>
      <c r="E188" s="31" t="s">
        <v>249</v>
      </c>
    </row>
    <row r="189" spans="1:5" s="31" customFormat="1" x14ac:dyDescent="0.3">
      <c r="B189" s="31">
        <f>IF((B187/5)&lt;(B188),0,1)</f>
        <v>1</v>
      </c>
      <c r="E189" s="31" t="s">
        <v>251</v>
      </c>
    </row>
    <row r="190" spans="1:5" s="31" customFormat="1" x14ac:dyDescent="0.3"/>
    <row r="191" spans="1:5" s="31" customFormat="1" x14ac:dyDescent="0.3">
      <c r="A191" s="31" t="s">
        <v>403</v>
      </c>
      <c r="B191" s="1">
        <f>(Isl*(Rsl_int+R_sl)*Fsw)</f>
        <v>13749</v>
      </c>
      <c r="C191" s="31" t="s">
        <v>144</v>
      </c>
      <c r="E191" s="31" t="s">
        <v>202</v>
      </c>
    </row>
    <row r="192" spans="1:5" s="31" customFormat="1" x14ac:dyDescent="0.3">
      <c r="A192" s="31" t="s">
        <v>404</v>
      </c>
      <c r="B192" s="1">
        <f>(R_cs*VIN_min*Acs)/Lm</f>
        <v>1244.4444444444446</v>
      </c>
      <c r="C192" s="31" t="s">
        <v>144</v>
      </c>
      <c r="E192" s="31" t="s">
        <v>203</v>
      </c>
    </row>
    <row r="193" spans="1:7" s="31" customFormat="1" x14ac:dyDescent="0.3">
      <c r="B193" s="1"/>
    </row>
    <row r="194" spans="1:7" s="31" customFormat="1" x14ac:dyDescent="0.3">
      <c r="A194" s="31" t="s">
        <v>405</v>
      </c>
      <c r="B194" s="1">
        <f>2*PI()*Fsw</f>
        <v>628318.53071795858</v>
      </c>
      <c r="C194" s="31" t="s">
        <v>205</v>
      </c>
    </row>
    <row r="195" spans="1:7" s="31" customFormat="1" x14ac:dyDescent="0.3">
      <c r="A195" s="31" t="s">
        <v>406</v>
      </c>
      <c r="B195" s="1">
        <f>1/(PI()*(((VIN_min/VOUT1)*(1+(B191/B192)))-0.5))</f>
        <v>-0.82134065445577631</v>
      </c>
    </row>
    <row r="196" spans="1:7" s="31" customFormat="1" x14ac:dyDescent="0.3">
      <c r="A196" s="47"/>
      <c r="B196" s="26"/>
      <c r="G196" s="31">
        <f>Dc_VIN_min</f>
        <v>0.9305210918114144</v>
      </c>
    </row>
    <row r="197" spans="1:7" s="31" customFormat="1" x14ac:dyDescent="0.3">
      <c r="A197" s="47"/>
      <c r="B197" s="26"/>
    </row>
    <row r="198" spans="1:7" s="31" customFormat="1" x14ac:dyDescent="0.3">
      <c r="A198" s="47"/>
      <c r="B198" s="26"/>
    </row>
    <row r="199" spans="1:7" s="31" customFormat="1" x14ac:dyDescent="0.3">
      <c r="A199" s="47"/>
      <c r="B199" s="26"/>
    </row>
    <row r="200" spans="1:7" s="31" customFormat="1" x14ac:dyDescent="0.3">
      <c r="A200" s="47"/>
      <c r="B200" s="26"/>
    </row>
    <row r="201" spans="1:7" s="31" customFormat="1" x14ac:dyDescent="0.3">
      <c r="A201" s="47"/>
      <c r="B201" s="26"/>
    </row>
    <row r="202" spans="1:7" s="31" customFormat="1" x14ac:dyDescent="0.3">
      <c r="A202" s="193" t="s">
        <v>519</v>
      </c>
      <c r="B202" s="26"/>
    </row>
    <row r="203" spans="1:7" s="31" customFormat="1" x14ac:dyDescent="0.3">
      <c r="A203" s="195" t="s">
        <v>530</v>
      </c>
      <c r="B203" s="26"/>
    </row>
    <row r="204" spans="1:7" s="31" customFormat="1" x14ac:dyDescent="0.3">
      <c r="A204" s="47" t="s">
        <v>520</v>
      </c>
      <c r="B204" s="3">
        <f>'Design Converter'!H62</f>
        <v>6</v>
      </c>
      <c r="C204" s="31" t="s">
        <v>11</v>
      </c>
      <c r="E204" s="31" t="s">
        <v>521</v>
      </c>
    </row>
    <row r="205" spans="1:7" s="31" customFormat="1" x14ac:dyDescent="0.3">
      <c r="A205" s="47" t="s">
        <v>522</v>
      </c>
      <c r="B205" s="3">
        <f>'Design Converter'!H63*1000</f>
        <v>30000000</v>
      </c>
      <c r="C205" s="2" t="s">
        <v>35</v>
      </c>
      <c r="E205" s="31" t="s">
        <v>526</v>
      </c>
    </row>
    <row r="206" spans="1:7" s="31" customFormat="1" x14ac:dyDescent="0.3">
      <c r="A206" s="47" t="s">
        <v>523</v>
      </c>
      <c r="B206" s="1">
        <f>(RFBT_iso*Vref_iso)/(VOUT1-Vref_iso)</f>
        <v>120481.92771084337</v>
      </c>
      <c r="C206" s="2" t="s">
        <v>35</v>
      </c>
      <c r="E206" s="31" t="s">
        <v>525</v>
      </c>
    </row>
    <row r="207" spans="1:7" s="31" customFormat="1" x14ac:dyDescent="0.3">
      <c r="A207" s="47" t="s">
        <v>524</v>
      </c>
      <c r="B207" s="3">
        <f>'Design Converter'!H65*1000</f>
        <v>20013.342228152102</v>
      </c>
      <c r="C207" s="2" t="s">
        <v>35</v>
      </c>
      <c r="E207" s="31" t="s">
        <v>527</v>
      </c>
    </row>
    <row r="208" spans="1:7" s="31" customFormat="1" x14ac:dyDescent="0.3">
      <c r="A208" s="47"/>
      <c r="B208" s="26"/>
    </row>
    <row r="209" spans="1:13" s="31" customFormat="1" x14ac:dyDescent="0.3">
      <c r="A209" s="195" t="s">
        <v>531</v>
      </c>
      <c r="B209" s="26"/>
    </row>
    <row r="210" spans="1:13" s="31" customFormat="1" x14ac:dyDescent="0.3">
      <c r="A210" s="47" t="s">
        <v>533</v>
      </c>
      <c r="B210" s="3">
        <f>'Design Converter'!H68</f>
        <v>1</v>
      </c>
      <c r="C210" s="31" t="s">
        <v>528</v>
      </c>
      <c r="E210" s="31" t="s">
        <v>535</v>
      </c>
    </row>
    <row r="211" spans="1:13" s="31" customFormat="1" x14ac:dyDescent="0.3">
      <c r="A211" s="47" t="s">
        <v>534</v>
      </c>
      <c r="B211" s="3">
        <f>'Design Converter'!H69</f>
        <v>2</v>
      </c>
      <c r="C211" s="31" t="s">
        <v>528</v>
      </c>
      <c r="E211" s="31" t="s">
        <v>536</v>
      </c>
    </row>
    <row r="212" spans="1:13" s="31" customFormat="1" x14ac:dyDescent="0.3">
      <c r="A212" s="47" t="s">
        <v>537</v>
      </c>
      <c r="B212" s="3">
        <f>'Design Converter'!H70</f>
        <v>1.4</v>
      </c>
      <c r="C212" s="31" t="s">
        <v>11</v>
      </c>
      <c r="E212" s="31" t="s">
        <v>538</v>
      </c>
    </row>
    <row r="213" spans="1:13" s="31" customFormat="1" x14ac:dyDescent="0.3">
      <c r="A213" s="47" t="s">
        <v>539</v>
      </c>
      <c r="B213" s="3">
        <f>'Design Converter'!H71/(10^9)</f>
        <v>3.2999999999999998E-9</v>
      </c>
      <c r="C213" s="31" t="s">
        <v>151</v>
      </c>
      <c r="E213" s="31" t="s">
        <v>546</v>
      </c>
    </row>
    <row r="214" spans="1:13" s="31" customFormat="1" x14ac:dyDescent="0.3">
      <c r="A214" s="47"/>
      <c r="B214" s="3">
        <f>'Design Converter'!H72/1000</f>
        <v>0.2</v>
      </c>
    </row>
    <row r="215" spans="1:13" s="31" customFormat="1" x14ac:dyDescent="0.3">
      <c r="A215" s="47" t="s">
        <v>547</v>
      </c>
      <c r="B215" s="3">
        <f>'Design Converter'!H75</f>
        <v>6.8</v>
      </c>
      <c r="C215" s="31" t="s">
        <v>11</v>
      </c>
      <c r="E215" s="31" t="s">
        <v>548</v>
      </c>
      <c r="M215" s="31" t="s">
        <v>666</v>
      </c>
    </row>
    <row r="216" spans="1:13" s="31" customFormat="1" x14ac:dyDescent="0.3">
      <c r="A216" s="47" t="s">
        <v>544</v>
      </c>
      <c r="B216" s="1">
        <f>(Vpullup-Vcomp_max)/Icomp_sink_max</f>
        <v>2687.4999999999995</v>
      </c>
      <c r="C216" s="2" t="s">
        <v>35</v>
      </c>
      <c r="E216" s="31" t="s">
        <v>551</v>
      </c>
    </row>
    <row r="217" spans="1:13" s="31" customFormat="1" x14ac:dyDescent="0.3">
      <c r="A217" s="47" t="s">
        <v>550</v>
      </c>
      <c r="B217" s="3">
        <f>'Design Converter'!H77*1000</f>
        <v>4990</v>
      </c>
      <c r="C217" s="2" t="s">
        <v>35</v>
      </c>
      <c r="E217" s="31" t="s">
        <v>552</v>
      </c>
    </row>
    <row r="218" spans="1:13" s="31" customFormat="1" x14ac:dyDescent="0.3">
      <c r="A218" s="47" t="s">
        <v>561</v>
      </c>
      <c r="B218" s="29">
        <f>1/(2*PI()*Copto*Rpullup)</f>
        <v>9665.0842953722804</v>
      </c>
      <c r="C218" s="2" t="s">
        <v>61</v>
      </c>
      <c r="E218" s="31" t="s">
        <v>563</v>
      </c>
      <c r="M218" s="31" t="s">
        <v>667</v>
      </c>
    </row>
    <row r="219" spans="1:13" s="31" customFormat="1" x14ac:dyDescent="0.3">
      <c r="A219" s="47" t="s">
        <v>567</v>
      </c>
      <c r="B219" s="29">
        <f>((VOUT1-Vref_iso-Vd_opto)/(Vpullup-VCE_sat))*(kopto_min*Rpullup)</f>
        <v>1128496.0606060605</v>
      </c>
      <c r="C219" s="2" t="s">
        <v>35</v>
      </c>
      <c r="E219" s="31" t="s">
        <v>568</v>
      </c>
    </row>
    <row r="220" spans="1:13" s="31" customFormat="1" x14ac:dyDescent="0.3">
      <c r="A220" s="47" t="s">
        <v>558</v>
      </c>
      <c r="B220" s="3">
        <f>'Design Converter'!H79*1000</f>
        <v>1000</v>
      </c>
      <c r="C220" s="2" t="s">
        <v>35</v>
      </c>
      <c r="E220" s="31" t="s">
        <v>571</v>
      </c>
    </row>
    <row r="221" spans="1:13" s="31" customFormat="1" x14ac:dyDescent="0.3">
      <c r="A221" s="47"/>
      <c r="B221" s="26"/>
    </row>
    <row r="222" spans="1:13" s="31" customFormat="1" x14ac:dyDescent="0.3">
      <c r="A222" s="47" t="s">
        <v>554</v>
      </c>
      <c r="B222" s="26"/>
      <c r="E222" s="31">
        <f>NS1_</f>
        <v>8</v>
      </c>
      <c r="F222" s="31">
        <f>Np</f>
        <v>1</v>
      </c>
      <c r="G222" s="31">
        <f>Gcomp</f>
        <v>0.14199999999999999</v>
      </c>
      <c r="K222" s="31">
        <f>fcross_iso</f>
        <v>640</v>
      </c>
    </row>
    <row r="223" spans="1:13" s="31" customFormat="1" x14ac:dyDescent="0.3">
      <c r="A223" s="47" t="s">
        <v>560</v>
      </c>
      <c r="B223" s="26">
        <f>fz_rhp/5</f>
        <v>17201.195944864339</v>
      </c>
      <c r="C223" s="31" t="s">
        <v>61</v>
      </c>
    </row>
    <row r="224" spans="1:13" s="31" customFormat="1" x14ac:dyDescent="0.3">
      <c r="A224" s="47" t="s">
        <v>561</v>
      </c>
      <c r="B224" s="26">
        <f>fopto</f>
        <v>9665.0842953722804</v>
      </c>
      <c r="C224" s="31" t="s">
        <v>61</v>
      </c>
      <c r="E224" s="31" t="s">
        <v>562</v>
      </c>
    </row>
    <row r="225" spans="1:11" s="31" customFormat="1" x14ac:dyDescent="0.3">
      <c r="A225" s="47" t="s">
        <v>565</v>
      </c>
      <c r="B225" s="1">
        <f>IF(B223&lt;B224,B223,B224)</f>
        <v>9665.0842953722804</v>
      </c>
      <c r="C225" s="31" t="s">
        <v>61</v>
      </c>
      <c r="E225" s="31" t="s">
        <v>555</v>
      </c>
    </row>
    <row r="226" spans="1:11" s="31" customFormat="1" x14ac:dyDescent="0.3">
      <c r="A226" s="47" t="s">
        <v>564</v>
      </c>
      <c r="B226" s="3">
        <f>'Design Converter'!H83*1000</f>
        <v>640</v>
      </c>
      <c r="C226" s="31" t="s">
        <v>61</v>
      </c>
      <c r="E226" s="31" t="s">
        <v>566</v>
      </c>
    </row>
    <row r="227" spans="1:11" s="31" customFormat="1" x14ac:dyDescent="0.3">
      <c r="A227" s="47"/>
      <c r="B227" s="26"/>
    </row>
    <row r="228" spans="1:11" s="31" customFormat="1" x14ac:dyDescent="0.3">
      <c r="A228" s="47" t="s">
        <v>572</v>
      </c>
      <c r="B228" s="29">
        <f>(NS1_/Np)*(2*PI()*Acs*Cout_total*RLED*R_cs*fcross_iso)/(Gcomp*(1-Dc_VIN_min)*kopto_max)</f>
        <v>1.9564094419651017</v>
      </c>
      <c r="C228" s="2" t="s">
        <v>35</v>
      </c>
      <c r="E228" s="31" t="s">
        <v>576</v>
      </c>
    </row>
    <row r="229" spans="1:11" s="31" customFormat="1" x14ac:dyDescent="0.3">
      <c r="A229" s="47" t="s">
        <v>573</v>
      </c>
      <c r="B229" s="3">
        <f>'Design Converter'!H86*1000</f>
        <v>3240</v>
      </c>
      <c r="C229" s="2" t="s">
        <v>35</v>
      </c>
      <c r="E229" s="31" t="s">
        <v>574</v>
      </c>
      <c r="K229" s="31">
        <f>Gcomp</f>
        <v>0.14199999999999999</v>
      </c>
    </row>
    <row r="230" spans="1:11" s="31" customFormat="1" x14ac:dyDescent="0.3">
      <c r="A230" s="47" t="s">
        <v>575</v>
      </c>
      <c r="B230" s="1">
        <f>SQRT(((VOUT1^2)*Cout_total)/(2*PI()*(Rcomp_iso^2)*POUT_Total*fcross_iso*(1+Dc_VIN_max)))</f>
        <v>1.0543827468472846E-6</v>
      </c>
      <c r="C230" s="2" t="s">
        <v>151</v>
      </c>
      <c r="E230" s="31">
        <f>(2*PI()*(Rcomp_iso^2)*POUT_Total*fcross_iso*(1+Dc_VIN_max))</f>
        <v>607165646529.1759</v>
      </c>
      <c r="H230" s="31">
        <f>Acs</f>
        <v>1</v>
      </c>
    </row>
    <row r="231" spans="1:11" s="31" customFormat="1" x14ac:dyDescent="0.3">
      <c r="A231" s="47" t="s">
        <v>577</v>
      </c>
      <c r="B231" s="3">
        <f>'Design Converter'!$H$87*(10^-9)</f>
        <v>1.0000000000000002E-6</v>
      </c>
      <c r="C231" s="2" t="s">
        <v>151</v>
      </c>
      <c r="E231" s="31">
        <f>(1+Dc_VIN_max)</f>
        <v>1.9177679882525696</v>
      </c>
      <c r="H231" s="31">
        <f>(NS1_/Np)</f>
        <v>8</v>
      </c>
      <c r="I231" s="31">
        <f>R_cs</f>
        <v>4.0000000000000001E-3</v>
      </c>
    </row>
    <row r="232" spans="1:11" s="31" customFormat="1" x14ac:dyDescent="0.3">
      <c r="A232" s="47"/>
      <c r="B232" s="26"/>
      <c r="E232" s="31">
        <f>fcross_iso</f>
        <v>640</v>
      </c>
      <c r="F232" s="31">
        <f>POUT_Total</f>
        <v>7.5</v>
      </c>
    </row>
    <row r="233" spans="1:11" s="31" customFormat="1" x14ac:dyDescent="0.3">
      <c r="A233" s="47"/>
      <c r="B233" s="26"/>
    </row>
    <row r="234" spans="1:11" s="31" customFormat="1" x14ac:dyDescent="0.3">
      <c r="A234" s="47"/>
      <c r="B234" s="26"/>
    </row>
    <row r="235" spans="1:11" s="31" customFormat="1" x14ac:dyDescent="0.3">
      <c r="A235" s="47"/>
      <c r="B235" s="26"/>
    </row>
    <row r="236" spans="1:11" s="31" customFormat="1" x14ac:dyDescent="0.3">
      <c r="A236" s="193" t="s">
        <v>532</v>
      </c>
      <c r="B236" s="26"/>
    </row>
    <row r="237" spans="1:11" x14ac:dyDescent="0.3">
      <c r="A237" s="194" t="s">
        <v>243</v>
      </c>
    </row>
    <row r="238" spans="1:11" s="31" customFormat="1" x14ac:dyDescent="0.3">
      <c r="A238" s="31" t="s">
        <v>178</v>
      </c>
      <c r="B238" s="3">
        <f>'Design Converter'!H63*(10^3)</f>
        <v>30000000</v>
      </c>
      <c r="C238" s="2" t="s">
        <v>35</v>
      </c>
      <c r="E238" s="31" t="s">
        <v>229</v>
      </c>
    </row>
    <row r="239" spans="1:11" s="31" customFormat="1" x14ac:dyDescent="0.3">
      <c r="A239" s="31" t="s">
        <v>233</v>
      </c>
      <c r="B239" s="29">
        <f>(RFBT*Vref)/(VOUT1-Vref)</f>
        <v>20013.342228152102</v>
      </c>
      <c r="C239" s="2" t="s">
        <v>35</v>
      </c>
      <c r="E239" s="31" t="s">
        <v>236</v>
      </c>
    </row>
    <row r="240" spans="1:11" x14ac:dyDescent="0.3">
      <c r="A240" t="s">
        <v>179</v>
      </c>
      <c r="B240" s="3">
        <f>'Design Converter'!H65*(10^3)</f>
        <v>20013.342228152102</v>
      </c>
      <c r="C240" s="2" t="s">
        <v>35</v>
      </c>
      <c r="E240" t="s">
        <v>237</v>
      </c>
    </row>
    <row r="241" spans="1:5" x14ac:dyDescent="0.3">
      <c r="A241" t="s">
        <v>238</v>
      </c>
      <c r="B241" s="1">
        <f>VOUT1/(RFBB+RFBT)</f>
        <v>4.9966666666666664E-5</v>
      </c>
      <c r="C241" s="2" t="s">
        <v>12</v>
      </c>
      <c r="E241" t="s">
        <v>239</v>
      </c>
    </row>
    <row r="242" spans="1:5" s="31" customFormat="1" x14ac:dyDescent="0.3">
      <c r="B242" s="26"/>
      <c r="C242" s="2"/>
    </row>
    <row r="243" spans="1:5" s="31" customFormat="1" x14ac:dyDescent="0.3">
      <c r="A243" s="46" t="s">
        <v>244</v>
      </c>
      <c r="E243" s="31" t="s">
        <v>386</v>
      </c>
    </row>
    <row r="244" spans="1:5" s="31" customFormat="1" x14ac:dyDescent="0.3"/>
    <row r="249" spans="1:5" x14ac:dyDescent="0.3">
      <c r="A249" s="42" t="s">
        <v>557</v>
      </c>
    </row>
    <row r="251" spans="1:5" s="31" customFormat="1" x14ac:dyDescent="0.3">
      <c r="B251" s="26"/>
    </row>
    <row r="252" spans="1:5" s="31" customFormat="1" x14ac:dyDescent="0.3">
      <c r="A252" s="31" t="s">
        <v>245</v>
      </c>
      <c r="B252" s="28">
        <f>IF(B189=0,fz_rhp/5,Fsw/10)</f>
        <v>10000</v>
      </c>
      <c r="C252" s="31" t="s">
        <v>61</v>
      </c>
      <c r="E252" s="31" t="s">
        <v>250</v>
      </c>
    </row>
    <row r="253" spans="1:5" s="31" customFormat="1" x14ac:dyDescent="0.3">
      <c r="A253" s="31" t="s">
        <v>247</v>
      </c>
      <c r="B253" s="3">
        <f>'Design Converter'!H83*1000</f>
        <v>640</v>
      </c>
      <c r="C253" s="31" t="s">
        <v>61</v>
      </c>
      <c r="E253" s="31" t="s">
        <v>248</v>
      </c>
    </row>
    <row r="254" spans="1:5" s="31" customFormat="1" x14ac:dyDescent="0.3"/>
    <row r="255" spans="1:5" s="31" customFormat="1" x14ac:dyDescent="0.3">
      <c r="A255" s="31" t="s">
        <v>256</v>
      </c>
      <c r="B255" s="32">
        <f>Gplant_fc_dB</f>
        <v>48.150690214698393</v>
      </c>
      <c r="C255" s="31" t="s">
        <v>228</v>
      </c>
      <c r="E255" s="31" t="s">
        <v>257</v>
      </c>
    </row>
    <row r="256" spans="1:5" s="31" customFormat="1" x14ac:dyDescent="0.3">
      <c r="A256" s="31" t="s">
        <v>252</v>
      </c>
      <c r="B256" s="32">
        <f>10^(B255/20)</f>
        <v>255.58449904152786</v>
      </c>
      <c r="C256" s="31" t="s">
        <v>144</v>
      </c>
      <c r="E256" s="31" t="s">
        <v>253</v>
      </c>
    </row>
    <row r="257" spans="1:5" s="31" customFormat="1" x14ac:dyDescent="0.3">
      <c r="A257" s="31" t="s">
        <v>258</v>
      </c>
      <c r="B257" s="32">
        <f>1/B256</f>
        <v>3.9126003484175227E-3</v>
      </c>
      <c r="C257" s="31" t="s">
        <v>144</v>
      </c>
      <c r="E257" s="31" t="s">
        <v>259</v>
      </c>
    </row>
    <row r="258" spans="1:5" s="31" customFormat="1" x14ac:dyDescent="0.3"/>
    <row r="259" spans="1:5" s="31" customFormat="1" x14ac:dyDescent="0.3">
      <c r="A259" s="31" t="s">
        <v>265</v>
      </c>
      <c r="B259" s="31">
        <f>fcross/10</f>
        <v>64</v>
      </c>
      <c r="C259" s="31" t="s">
        <v>61</v>
      </c>
      <c r="E259" s="31" t="s">
        <v>263</v>
      </c>
    </row>
    <row r="260" spans="1:5" s="31" customFormat="1" x14ac:dyDescent="0.3">
      <c r="A260" s="31" t="s">
        <v>266</v>
      </c>
      <c r="B260" s="70">
        <f>SQRT(B181*fcross)</f>
        <v>46.742945241105346</v>
      </c>
      <c r="C260" s="31" t="s">
        <v>61</v>
      </c>
      <c r="E260" s="31" t="s">
        <v>264</v>
      </c>
    </row>
    <row r="261" spans="1:5" s="31" customFormat="1" x14ac:dyDescent="0.3">
      <c r="A261" s="31" t="s">
        <v>262</v>
      </c>
      <c r="B261" s="70">
        <f>B260</f>
        <v>46.742945241105346</v>
      </c>
      <c r="C261" s="31" t="s">
        <v>61</v>
      </c>
    </row>
    <row r="262" spans="1:5" s="31" customFormat="1" x14ac:dyDescent="0.3"/>
    <row r="263" spans="1:5" s="31" customFormat="1" x14ac:dyDescent="0.3">
      <c r="A263" s="31" t="s">
        <v>269</v>
      </c>
      <c r="B263" s="44">
        <f>fz_rhp</f>
        <v>86005.979724321689</v>
      </c>
      <c r="C263" s="31" t="s">
        <v>61</v>
      </c>
      <c r="E263" s="31" t="s">
        <v>415</v>
      </c>
    </row>
    <row r="264" spans="1:5" s="31" customFormat="1" x14ac:dyDescent="0.3">
      <c r="E264" s="31" t="s">
        <v>416</v>
      </c>
    </row>
    <row r="265" spans="1:5" s="31" customFormat="1" x14ac:dyDescent="0.3"/>
    <row r="266" spans="1:5" s="31" customFormat="1" x14ac:dyDescent="0.3"/>
    <row r="267" spans="1:5" s="31" customFormat="1" x14ac:dyDescent="0.3">
      <c r="A267" s="31" t="s">
        <v>260</v>
      </c>
      <c r="B267" s="28">
        <f>(2*PI()*Acs*Cout_total*NS1_*R_cs*VOUT1*fcross)/(Gcomp*Np*gm_ea*(1-Dc_VIN_min))</f>
        <v>2934.6141629476529</v>
      </c>
      <c r="C267" s="2" t="s">
        <v>35</v>
      </c>
      <c r="E267" s="31" t="s">
        <v>261</v>
      </c>
    </row>
    <row r="268" spans="1:5" x14ac:dyDescent="0.3">
      <c r="A268" t="s">
        <v>168</v>
      </c>
      <c r="B268" s="3">
        <f>'Design Converter'!H86*1000</f>
        <v>3240</v>
      </c>
      <c r="C268" s="2" t="s">
        <v>35</v>
      </c>
      <c r="E268" t="s">
        <v>175</v>
      </c>
    </row>
    <row r="269" spans="1:5" s="31" customFormat="1" x14ac:dyDescent="0.3">
      <c r="A269" s="31" t="s">
        <v>267</v>
      </c>
      <c r="B269" s="22">
        <f>SQRT((Cout_total*(VOUT1^2))/(2*PI()*(RCOMP^2)*fcross*POUT_Total*(1+Dc_VIN_min)))</f>
        <v>1.0508943277459485E-6</v>
      </c>
      <c r="C269" s="2" t="s">
        <v>151</v>
      </c>
    </row>
    <row r="270" spans="1:5" x14ac:dyDescent="0.3">
      <c r="A270" t="s">
        <v>173</v>
      </c>
      <c r="B270" s="3">
        <f>'Design Converter'!H87*(10^-9)</f>
        <v>1.0000000000000002E-6</v>
      </c>
      <c r="C270" t="s">
        <v>151</v>
      </c>
      <c r="E270" t="s">
        <v>176</v>
      </c>
    </row>
    <row r="271" spans="1:5" s="31" customFormat="1" x14ac:dyDescent="0.3">
      <c r="A271" s="31" t="s">
        <v>268</v>
      </c>
      <c r="B271" s="22">
        <f>(Dc_VIN_min*Lm*(NS1_^2)*POUT_Total)/((Np^2)*RCOMP*(VOUT1^2)*(1-Dc_VIN_min)^2)</f>
        <v>5.7114512471655357E-10</v>
      </c>
      <c r="C271" s="31" t="s">
        <v>151</v>
      </c>
    </row>
    <row r="272" spans="1:5" x14ac:dyDescent="0.3">
      <c r="A272" t="s">
        <v>174</v>
      </c>
      <c r="B272" s="3">
        <f>'Design Converter'!H88*(10^-12)</f>
        <v>1.0000000000000001E-9</v>
      </c>
      <c r="C272" t="s">
        <v>151</v>
      </c>
      <c r="E272" t="s">
        <v>177</v>
      </c>
    </row>
    <row r="275" spans="1:8" x14ac:dyDescent="0.3">
      <c r="A275" s="42" t="s">
        <v>330</v>
      </c>
    </row>
    <row r="276" spans="1:8" s="31" customFormat="1" x14ac:dyDescent="0.3"/>
    <row r="277" spans="1:8" x14ac:dyDescent="0.3">
      <c r="A277" s="42" t="s">
        <v>345</v>
      </c>
    </row>
    <row r="278" spans="1:8" ht="15.6" x14ac:dyDescent="0.35">
      <c r="A278" t="s">
        <v>353</v>
      </c>
      <c r="B278" s="3">
        <f>'Design Converter'!H93*(10^-3)</f>
        <v>7.0000000000000007E-2</v>
      </c>
      <c r="C278" s="2" t="s">
        <v>35</v>
      </c>
      <c r="E278" s="95" t="s">
        <v>333</v>
      </c>
    </row>
    <row r="279" spans="1:8" ht="15.6" x14ac:dyDescent="0.35">
      <c r="A279" t="s">
        <v>346</v>
      </c>
      <c r="B279" s="3">
        <f>'Design Converter'!H94*(10^-9)</f>
        <v>5.4000000000000004E-9</v>
      </c>
      <c r="C279" t="s">
        <v>151</v>
      </c>
      <c r="E279" s="95" t="s">
        <v>334</v>
      </c>
    </row>
    <row r="280" spans="1:8" ht="15.6" x14ac:dyDescent="0.35">
      <c r="A280" t="s">
        <v>348</v>
      </c>
      <c r="B280" s="3">
        <f>'Design Converter'!H95*(10^-9)</f>
        <v>3.8000000000000003E-10</v>
      </c>
      <c r="C280" t="s">
        <v>151</v>
      </c>
      <c r="E280" s="95" t="s">
        <v>335</v>
      </c>
    </row>
    <row r="281" spans="1:8" ht="15.6" x14ac:dyDescent="0.35">
      <c r="A281" t="s">
        <v>347</v>
      </c>
      <c r="B281" s="3">
        <f>'Design Converter'!H96*(10^-9)</f>
        <v>3E-10</v>
      </c>
      <c r="C281" t="s">
        <v>151</v>
      </c>
      <c r="E281" s="95" t="s">
        <v>336</v>
      </c>
    </row>
    <row r="282" spans="1:8" ht="15.6" x14ac:dyDescent="0.35">
      <c r="A282" t="s">
        <v>349</v>
      </c>
      <c r="B282" s="3">
        <f>'Design Converter'!H97</f>
        <v>0.7</v>
      </c>
      <c r="C282" s="2" t="s">
        <v>35</v>
      </c>
      <c r="E282" s="95" t="s">
        <v>337</v>
      </c>
    </row>
    <row r="283" spans="1:8" s="31" customFormat="1" x14ac:dyDescent="0.3">
      <c r="A283" s="31" t="s">
        <v>354</v>
      </c>
      <c r="B283" s="21">
        <v>1.5</v>
      </c>
      <c r="C283" s="2"/>
      <c r="E283" s="95" t="s">
        <v>355</v>
      </c>
      <c r="H283" s="31" t="s">
        <v>364</v>
      </c>
    </row>
    <row r="284" spans="1:8" ht="15.6" x14ac:dyDescent="0.35">
      <c r="A284" t="s">
        <v>350</v>
      </c>
      <c r="B284" s="21">
        <v>50</v>
      </c>
      <c r="C284" s="2" t="s">
        <v>342</v>
      </c>
      <c r="E284" s="246" t="s">
        <v>669</v>
      </c>
    </row>
    <row r="285" spans="1:8" ht="15.6" x14ac:dyDescent="0.35">
      <c r="A285" t="s">
        <v>351</v>
      </c>
      <c r="B285" s="3">
        <f>'Design Converter'!H98</f>
        <v>1.2</v>
      </c>
      <c r="C285" s="2" t="s">
        <v>11</v>
      </c>
      <c r="E285" s="95" t="s">
        <v>338</v>
      </c>
    </row>
    <row r="286" spans="1:8" s="31" customFormat="1" x14ac:dyDescent="0.3">
      <c r="A286" s="31" t="s">
        <v>360</v>
      </c>
      <c r="B286" s="21">
        <f>Vcc</f>
        <v>6.75</v>
      </c>
      <c r="C286" s="2" t="s">
        <v>11</v>
      </c>
      <c r="E286" s="95" t="s">
        <v>365</v>
      </c>
    </row>
    <row r="287" spans="1:8" s="31" customFormat="1" x14ac:dyDescent="0.3">
      <c r="B287" s="26"/>
      <c r="C287" s="2"/>
      <c r="E287" s="95"/>
    </row>
    <row r="288" spans="1:8" s="31" customFormat="1" x14ac:dyDescent="0.3">
      <c r="B288" s="26"/>
      <c r="C288" s="2"/>
      <c r="E288" s="95"/>
    </row>
    <row r="289" spans="1:5" x14ac:dyDescent="0.3">
      <c r="A289" t="s">
        <v>356</v>
      </c>
      <c r="B289" s="39">
        <f>Vth+(((VOUT1*IOUT1)/VIN_min)/gfs)</f>
        <v>1.2107142857142856</v>
      </c>
      <c r="C289" s="2" t="s">
        <v>11</v>
      </c>
      <c r="E289" s="95" t="s">
        <v>357</v>
      </c>
    </row>
    <row r="290" spans="1:5" x14ac:dyDescent="0.3">
      <c r="A290" t="s">
        <v>366</v>
      </c>
      <c r="B290" s="1">
        <f>(Qgd+(Qgs/2))*((Rgate+B283)/(Vcc-B289))</f>
        <v>2.1049645390070925E-10</v>
      </c>
      <c r="C290" s="2" t="s">
        <v>47</v>
      </c>
      <c r="E290" s="95" t="s">
        <v>358</v>
      </c>
    </row>
    <row r="291" spans="1:5" ht="15" thickBot="1" x14ac:dyDescent="0.35">
      <c r="A291" t="s">
        <v>367</v>
      </c>
      <c r="B291" s="1">
        <f>(Qgd+(Qgs/2))*((B283+Rgate)/B289)</f>
        <v>9.6306784660766986E-10</v>
      </c>
      <c r="C291" t="s">
        <v>47</v>
      </c>
      <c r="E291" s="96" t="s">
        <v>359</v>
      </c>
    </row>
  </sheetData>
  <mergeCells count="2">
    <mergeCell ref="A1:J1"/>
    <mergeCell ref="E5:H5"/>
  </mergeCells>
  <conditionalFormatting sqref="Q11:U17">
    <cfRule type="expression" priority="1">
      <formula>$B$23=0</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Mathcad" shapeId="2053" r:id="rId4">
          <objectPr defaultSize="0" autoPict="0" r:id="rId5">
            <anchor moveWithCells="1">
              <from>
                <xdr:col>8</xdr:col>
                <xdr:colOff>60960</xdr:colOff>
                <xdr:row>129</xdr:row>
                <xdr:rowOff>137160</xdr:rowOff>
              </from>
              <to>
                <xdr:col>13</xdr:col>
                <xdr:colOff>160020</xdr:colOff>
                <xdr:row>132</xdr:row>
                <xdr:rowOff>22860</xdr:rowOff>
              </to>
            </anchor>
          </objectPr>
        </oleObject>
      </mc:Choice>
      <mc:Fallback>
        <oleObject progId="Mathcad" shapeId="205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708"/>
  <sheetViews>
    <sheetView topLeftCell="A37" zoomScale="55" zoomScaleNormal="55" workbookViewId="0">
      <selection activeCell="H35" sqref="H35"/>
    </sheetView>
  </sheetViews>
  <sheetFormatPr defaultColWidth="8.88671875" defaultRowHeight="14.4" x14ac:dyDescent="0.3"/>
  <cols>
    <col min="1" max="1" width="13.109375" style="31" customWidth="1"/>
    <col min="2" max="2" width="25" style="31" customWidth="1"/>
    <col min="3" max="14" width="8.88671875" style="31"/>
    <col min="15" max="15" width="16.6640625" style="50" bestFit="1" customWidth="1"/>
    <col min="16" max="16" width="16.6640625" style="31" customWidth="1"/>
    <col min="17" max="32" width="8.88671875" style="31"/>
    <col min="33" max="33" width="10.109375" style="31" customWidth="1"/>
    <col min="34" max="34" width="12" style="31" bestFit="1" customWidth="1"/>
    <col min="35" max="44" width="8.88671875" style="31"/>
    <col min="45" max="45" width="9.109375" style="31" customWidth="1"/>
    <col min="46" max="16384" width="8.88671875" style="31"/>
  </cols>
  <sheetData>
    <row r="1" spans="1:50" ht="28.2" x14ac:dyDescent="0.5">
      <c r="A1" s="283" t="s">
        <v>16</v>
      </c>
      <c r="B1" s="283"/>
      <c r="C1" s="283"/>
      <c r="D1" s="283"/>
      <c r="E1" s="283"/>
      <c r="F1" s="283"/>
      <c r="G1" s="283"/>
      <c r="H1" s="283"/>
      <c r="I1" s="283"/>
      <c r="J1" s="283"/>
      <c r="K1" s="283"/>
      <c r="L1" s="283"/>
      <c r="M1" s="283"/>
      <c r="N1" s="283" t="s">
        <v>183</v>
      </c>
      <c r="O1" s="283"/>
      <c r="P1" s="283"/>
      <c r="Q1" s="283"/>
      <c r="R1" s="283"/>
      <c r="S1" s="283"/>
      <c r="T1" s="283"/>
      <c r="U1" s="283"/>
      <c r="V1" s="283"/>
      <c r="W1" s="283"/>
      <c r="X1" s="283"/>
    </row>
    <row r="2" spans="1:50" x14ac:dyDescent="0.3">
      <c r="A2" s="11"/>
      <c r="B2" s="11" t="s">
        <v>17</v>
      </c>
      <c r="C2" s="12"/>
      <c r="D2" s="17"/>
      <c r="E2" s="11"/>
      <c r="F2" s="11"/>
      <c r="G2" s="11"/>
      <c r="H2" s="11"/>
      <c r="I2" s="11"/>
      <c r="J2" s="11"/>
      <c r="K2" s="11"/>
      <c r="L2" s="11"/>
      <c r="M2" s="11"/>
      <c r="O2" s="31"/>
    </row>
    <row r="3" spans="1:50" ht="15" thickBot="1" x14ac:dyDescent="0.35">
      <c r="A3" s="11"/>
      <c r="B3" s="11" t="s">
        <v>18</v>
      </c>
      <c r="C3" s="13"/>
      <c r="D3" s="17"/>
      <c r="E3" s="11"/>
      <c r="F3" s="23"/>
      <c r="G3" s="24"/>
      <c r="H3" s="24"/>
      <c r="I3" s="24"/>
      <c r="J3" s="24"/>
      <c r="K3" s="38"/>
      <c r="L3" s="11"/>
      <c r="M3" s="11"/>
      <c r="O3" s="31"/>
    </row>
    <row r="4" spans="1:50" ht="15" thickBot="1" x14ac:dyDescent="0.35">
      <c r="A4" s="11"/>
      <c r="B4" s="11" t="s">
        <v>19</v>
      </c>
      <c r="C4" s="14"/>
      <c r="D4" s="17"/>
      <c r="E4" s="11"/>
      <c r="F4" s="23"/>
      <c r="G4" s="24"/>
      <c r="H4" s="24"/>
      <c r="I4" s="24"/>
      <c r="J4" s="24"/>
      <c r="K4" s="38"/>
      <c r="L4" s="11"/>
      <c r="M4" s="11"/>
      <c r="N4" s="84"/>
      <c r="O4" s="90"/>
      <c r="P4" s="285" t="s">
        <v>214</v>
      </c>
      <c r="Q4" s="285"/>
      <c r="R4" s="285"/>
      <c r="S4" s="285"/>
      <c r="T4" s="285"/>
      <c r="U4" s="285"/>
      <c r="V4" s="285"/>
      <c r="W4" s="285"/>
      <c r="X4" s="285"/>
      <c r="Y4" s="285"/>
      <c r="Z4" s="285"/>
      <c r="AA4" s="285"/>
      <c r="AB4" s="285"/>
      <c r="AC4" s="285"/>
      <c r="AD4" s="285"/>
      <c r="AE4" s="286"/>
      <c r="AF4" s="287" t="s">
        <v>215</v>
      </c>
      <c r="AG4" s="285"/>
      <c r="AH4" s="285"/>
      <c r="AI4" s="285"/>
      <c r="AJ4" s="285"/>
      <c r="AK4" s="285"/>
      <c r="AL4" s="285"/>
      <c r="AM4" s="285"/>
      <c r="AN4" s="285"/>
      <c r="AO4" s="285"/>
      <c r="AP4" s="285"/>
      <c r="AQ4" s="285"/>
      <c r="AR4" s="285"/>
      <c r="AS4" s="285"/>
      <c r="AT4" s="285"/>
      <c r="AU4" s="286"/>
      <c r="AV4" s="287" t="s">
        <v>226</v>
      </c>
      <c r="AW4" s="285"/>
      <c r="AX4" s="286"/>
    </row>
    <row r="5" spans="1:50" x14ac:dyDescent="0.3">
      <c r="A5" s="11"/>
      <c r="D5" s="17"/>
      <c r="E5" s="11"/>
      <c r="F5" s="11"/>
      <c r="G5" s="11"/>
      <c r="H5" s="11"/>
      <c r="I5" s="11"/>
      <c r="J5" s="11"/>
      <c r="K5" s="11"/>
      <c r="L5" s="11"/>
      <c r="M5" s="11"/>
      <c r="N5" s="58"/>
      <c r="O5" s="61"/>
      <c r="P5" s="49"/>
      <c r="Q5" s="288" t="s">
        <v>206</v>
      </c>
      <c r="R5" s="288"/>
      <c r="S5" s="288"/>
      <c r="T5" s="289" t="s">
        <v>208</v>
      </c>
      <c r="U5" s="289"/>
      <c r="V5" s="289"/>
      <c r="W5" s="289" t="s">
        <v>208</v>
      </c>
      <c r="X5" s="289"/>
      <c r="Y5" s="289"/>
      <c r="Z5" s="289" t="s">
        <v>211</v>
      </c>
      <c r="AA5" s="289"/>
      <c r="AB5" s="289"/>
      <c r="AC5" s="290" t="s">
        <v>213</v>
      </c>
      <c r="AD5" s="289"/>
      <c r="AE5" s="291"/>
      <c r="AF5" s="49"/>
      <c r="AG5" s="289" t="s">
        <v>222</v>
      </c>
      <c r="AH5" s="289"/>
      <c r="AI5" s="289"/>
      <c r="AJ5" s="292" t="s">
        <v>223</v>
      </c>
      <c r="AK5" s="292"/>
      <c r="AL5" s="292"/>
      <c r="AM5" s="292" t="s">
        <v>578</v>
      </c>
      <c r="AN5" s="292"/>
      <c r="AO5" s="292"/>
      <c r="AP5" s="289" t="s">
        <v>579</v>
      </c>
      <c r="AQ5" s="289"/>
      <c r="AR5" s="289"/>
      <c r="AS5" s="290" t="s">
        <v>213</v>
      </c>
      <c r="AT5" s="289"/>
      <c r="AU5" s="291"/>
      <c r="AV5" s="290" t="s">
        <v>213</v>
      </c>
      <c r="AW5" s="289"/>
      <c r="AX5" s="291"/>
    </row>
    <row r="6" spans="1:50" ht="15" thickBot="1" x14ac:dyDescent="0.35">
      <c r="A6" s="10" t="s">
        <v>20</v>
      </c>
      <c r="B6" s="10" t="s">
        <v>21</v>
      </c>
      <c r="C6" s="10" t="s">
        <v>22</v>
      </c>
      <c r="D6" s="17"/>
      <c r="E6" s="284" t="s">
        <v>23</v>
      </c>
      <c r="F6" s="284"/>
      <c r="G6" s="284"/>
      <c r="H6" s="284"/>
      <c r="I6" s="284"/>
      <c r="J6" s="284"/>
      <c r="K6" s="284"/>
      <c r="L6" s="188"/>
      <c r="M6" s="25"/>
      <c r="N6" s="58"/>
      <c r="O6" s="61"/>
      <c r="P6" s="79" t="s">
        <v>189</v>
      </c>
      <c r="Q6" s="49" t="s">
        <v>212</v>
      </c>
      <c r="R6" s="79" t="s">
        <v>209</v>
      </c>
      <c r="S6" s="79" t="s">
        <v>210</v>
      </c>
      <c r="T6" s="79" t="s">
        <v>212</v>
      </c>
      <c r="U6" s="79" t="s">
        <v>209</v>
      </c>
      <c r="V6" s="79" t="s">
        <v>210</v>
      </c>
      <c r="W6" s="81" t="s">
        <v>212</v>
      </c>
      <c r="X6" s="79" t="s">
        <v>209</v>
      </c>
      <c r="Y6" s="79" t="s">
        <v>210</v>
      </c>
      <c r="Z6" s="81" t="s">
        <v>212</v>
      </c>
      <c r="AA6" s="81" t="s">
        <v>209</v>
      </c>
      <c r="AB6" s="81" t="s">
        <v>210</v>
      </c>
      <c r="AC6" s="82" t="s">
        <v>227</v>
      </c>
      <c r="AD6" s="81" t="s">
        <v>209</v>
      </c>
      <c r="AE6" s="83" t="s">
        <v>210</v>
      </c>
      <c r="AF6" s="79" t="s">
        <v>224</v>
      </c>
      <c r="AG6" s="81" t="s">
        <v>212</v>
      </c>
      <c r="AH6" s="81" t="s">
        <v>225</v>
      </c>
      <c r="AI6" s="81" t="s">
        <v>210</v>
      </c>
      <c r="AJ6" s="81" t="s">
        <v>212</v>
      </c>
      <c r="AK6" s="81" t="s">
        <v>225</v>
      </c>
      <c r="AL6" s="81" t="s">
        <v>210</v>
      </c>
      <c r="AM6" s="81" t="s">
        <v>212</v>
      </c>
      <c r="AN6" s="81" t="s">
        <v>225</v>
      </c>
      <c r="AO6" s="81" t="s">
        <v>210</v>
      </c>
      <c r="AP6" s="81" t="s">
        <v>212</v>
      </c>
      <c r="AQ6" s="81" t="s">
        <v>225</v>
      </c>
      <c r="AR6" s="81" t="s">
        <v>210</v>
      </c>
      <c r="AS6" s="82" t="s">
        <v>227</v>
      </c>
      <c r="AT6" s="81" t="s">
        <v>209</v>
      </c>
      <c r="AU6" s="83" t="s">
        <v>210</v>
      </c>
      <c r="AV6" s="82" t="s">
        <v>227</v>
      </c>
      <c r="AW6" s="81" t="s">
        <v>209</v>
      </c>
      <c r="AX6" s="83" t="s">
        <v>210</v>
      </c>
    </row>
    <row r="7" spans="1:50" ht="15" thickBot="1" x14ac:dyDescent="0.35">
      <c r="A7" s="10"/>
      <c r="B7" s="10"/>
      <c r="C7" s="10"/>
      <c r="D7" s="17"/>
      <c r="E7" s="188"/>
      <c r="F7" s="188"/>
      <c r="G7" s="188"/>
      <c r="H7" s="188"/>
      <c r="I7" s="188"/>
      <c r="J7" s="188"/>
      <c r="K7" s="188"/>
      <c r="L7" s="188"/>
      <c r="M7" s="25"/>
      <c r="N7" s="31" t="s">
        <v>395</v>
      </c>
      <c r="O7" s="90">
        <f>fcross</f>
        <v>640</v>
      </c>
      <c r="P7" s="48" t="str">
        <f t="shared" ref="P7:P13" si="0">COMPLEX(Adc,0)</f>
        <v>51201.9230769231</v>
      </c>
      <c r="Q7" s="17" t="str">
        <f t="shared" ref="Q7" si="1">IMSUM(COMPLEX(1,0),IMDIV(COMPLEX(0,2*PI()*O7),COMPLEX(wp_lf,0)))</f>
        <v>1+187.915572879341i</v>
      </c>
      <c r="R7" s="17">
        <f t="shared" ref="R7" si="2">IMABS(Q7)</f>
        <v>187.91823362987137</v>
      </c>
      <c r="S7" s="17">
        <f t="shared" ref="S7" si="3">IMARGUMENT(Q7)</f>
        <v>1.5654748382921264</v>
      </c>
      <c r="T7" s="17" t="str">
        <f t="shared" ref="T7" si="4">IMSUM(COMPLEX(1,0),IMDIV(COMPLEX(0,2*PI()*O7),COMPLEX(wz_esr,0)))</f>
        <v>1+1.20637157897848E-08i</v>
      </c>
      <c r="U7" s="17">
        <f t="shared" ref="U7" si="5">IMABS(T7)</f>
        <v>1</v>
      </c>
      <c r="V7" s="17">
        <f t="shared" ref="V7" si="6">IMARGUMENT(T7)</f>
        <v>1.2063715789784799E-8</v>
      </c>
      <c r="W7" s="31" t="str">
        <f t="shared" ref="W7" si="7">IMSUB(COMPLEX(1,0),IMDIV(COMPLEX(0,2*PI()*O7),COMPLEX(wz_rhp,0)))</f>
        <v>1-0.0065144065264838i</v>
      </c>
      <c r="X7" s="17">
        <f t="shared" ref="X7" si="8">IMABS(W7)</f>
        <v>1.0000212185210833</v>
      </c>
      <c r="Y7" s="17">
        <f t="shared" ref="Y7" si="9">IMARGUMENT(W7)</f>
        <v>-6.5143143771376711E-3</v>
      </c>
      <c r="Z7" s="31" t="str">
        <f t="shared" ref="Z7" si="10">IMSUM(COMPLEX(1,0),IMDIV(COMPLEX(0,2*PI()*O7),COMPLEX(Q*(wsl/2),0)),IMDIV(IMPOWER(COMPLEX(0,2*PI()*O7),2),IMPOWER(COMPLEX(wsl/2,0),2)))</f>
        <v>0.99983616+0.397532573258139i</v>
      </c>
      <c r="AA7" s="17">
        <f t="shared" ref="AA7" si="11">IMABS(Z7)</f>
        <v>1.0759667716267001</v>
      </c>
      <c r="AB7" s="17">
        <f t="shared" ref="AB7" si="12">IMARGUMENT(Z7)</f>
        <v>0.37843372838065337</v>
      </c>
      <c r="AC7" s="66" t="str">
        <f t="shared" ref="AC7" si="13">(IMDIV(IMPRODUCT(P7,T7,W7),IMPRODUCT(Q7,Z7)))</f>
        <v>-93.8430715994193-235.207605226788i</v>
      </c>
      <c r="AD7" s="64">
        <f t="shared" ref="AD7" si="14">20*LOG(IMABS(AC7))</f>
        <v>48.070554134633944</v>
      </c>
      <c r="AE7" s="61">
        <f t="shared" ref="AE7" si="15">(180/PI())*IMARGUMENT(AC7)</f>
        <v>-111.75099865870679</v>
      </c>
      <c r="AF7" s="31" t="str">
        <f t="shared" ref="AF7:AF13" si="16">COMPLEX(Adc_ea_iso,0)</f>
        <v>-0.332666666666667</v>
      </c>
      <c r="AG7" s="31" t="str">
        <f t="shared" ref="AG7" si="17">COMPLEX(0,1*2*PI()*O7)</f>
        <v>4021.23859659494i</v>
      </c>
      <c r="AH7" s="31">
        <f t="shared" ref="AH7" si="18">IMABS(AG7)</f>
        <v>4021.2385965949402</v>
      </c>
      <c r="AI7" s="31">
        <f t="shared" ref="AI7" si="19">IMARGUMENT(AG7)</f>
        <v>1.5707963267948966</v>
      </c>
      <c r="AJ7" s="31" t="str">
        <f t="shared" ref="AJ7:AJ13" si="20">IMSUM(IMPRODUCT(COMPLEX(wpA_ea_iso,0),IMPOWER(COMPLEX(0,2*PI()*O7),2)),COMPLEX(0,wpB_ea_iso*2*PI()*O7),COMPLEX(1,0))</f>
        <v>0.137261497254425+33.1610113859465i</v>
      </c>
      <c r="AK7" s="31">
        <f t="shared" ref="AK7" si="21">IMABS(AJ7)</f>
        <v>33.161295464102459</v>
      </c>
      <c r="AL7" s="31">
        <f t="shared" ref="AL7" si="22">IMARGUMENT(AJ7)</f>
        <v>1.5666571070422424</v>
      </c>
      <c r="AM7" s="31" t="str">
        <f t="shared" ref="AM7:AM13" si="23">IMSUM(COMPLEX(1,0),IMDIV(COMPLEX(0,2*PI()*O7),COMPLEX(wz1_ea_iso,0)))</f>
        <v>1+120650.186710901i</v>
      </c>
      <c r="AN7" s="31">
        <f t="shared" ref="AN7:AN13" si="24">IMABS(AM7)</f>
        <v>120650.18671504522</v>
      </c>
      <c r="AO7" s="31">
        <f t="shared" ref="AO7" si="25">IMARGUMENT(AM7)</f>
        <v>1.5707880383700941</v>
      </c>
      <c r="AP7" s="31" t="str">
        <f t="shared" ref="AP7:AP13" si="26">IMSUM(COMPLEX(1,0),IMDIV(COMPLEX(0,2*PI()*O7),COMPLEX(wz2_ea_iso,0)))</f>
        <v>1+13.0288130529676i</v>
      </c>
      <c r="AQ7" s="31">
        <f t="shared" ref="AQ7" si="27">IMABS(AP7)</f>
        <v>13.06713318096892</v>
      </c>
      <c r="AR7" s="31">
        <f t="shared" ref="AR7" si="28">IMARGUMENT(AP7)</f>
        <v>1.4941935514486133</v>
      </c>
      <c r="AS7" s="58" t="str">
        <f t="shared" ref="AS7" si="29">IMDIV(IMPRODUCT(AF7,AM7,AP7),IMPRODUCT(AG7,AJ7))</f>
        <v>-3.92269713551156+0.284783847150882i</v>
      </c>
      <c r="AT7" s="49">
        <f t="shared" ref="AT7" si="30">20*LOG(IMABS(AS7))</f>
        <v>11.89452543780537</v>
      </c>
      <c r="AU7" s="61">
        <f t="shared" ref="AU7" si="31">(180/PI())*IMARGUMENT(AS7)</f>
        <v>175.84766920421347</v>
      </c>
      <c r="AV7" s="58" t="str">
        <f>IMPRODUCT(AC7,AS7)</f>
        <v>435.101274846279+895.923208315117i</v>
      </c>
      <c r="AW7" s="64">
        <f t="shared" ref="AW7" si="32">20*LOG(IMABS(AV7))</f>
        <v>59.965079572439315</v>
      </c>
      <c r="AX7" s="61">
        <f t="shared" ref="AX7" si="33">(180/PI())*IMARGUMENT(AV7)</f>
        <v>64.096670545506655</v>
      </c>
    </row>
    <row r="8" spans="1:50" ht="15" thickBot="1" x14ac:dyDescent="0.35">
      <c r="A8" s="10"/>
      <c r="B8" s="10"/>
      <c r="C8" s="10"/>
      <c r="D8" s="17"/>
      <c r="E8" s="188"/>
      <c r="F8" s="188"/>
      <c r="G8" s="188"/>
      <c r="H8" s="188"/>
      <c r="I8" s="188"/>
      <c r="J8" s="188"/>
      <c r="K8" s="188"/>
      <c r="L8" s="188"/>
      <c r="M8" s="25"/>
      <c r="N8" s="84" t="s">
        <v>254</v>
      </c>
      <c r="O8" s="90">
        <f>fcross</f>
        <v>640</v>
      </c>
      <c r="P8" s="48" t="str">
        <f t="shared" si="0"/>
        <v>51201.9230769231</v>
      </c>
      <c r="Q8" s="17" t="str">
        <f t="shared" ref="Q8:Q13" si="34">IMSUM(COMPLEX(1,0),IMDIV(COMPLEX(0,2*PI()*O8),COMPLEX(wp_lf,0)))</f>
        <v>1+187.915572879341i</v>
      </c>
      <c r="R8" s="17">
        <f t="shared" ref="R8:R13" si="35">IMABS(Q8)</f>
        <v>187.91823362987137</v>
      </c>
      <c r="S8" s="17">
        <f t="shared" ref="S8:S13" si="36">IMARGUMENT(Q8)</f>
        <v>1.5654748382921264</v>
      </c>
      <c r="T8" s="17" t="str">
        <f t="shared" ref="T8:T13" si="37">IMSUM(COMPLEX(1,0),IMDIV(COMPLEX(0,2*PI()*O8),COMPLEX(wz_esr,0)))</f>
        <v>1+1.20637157897848E-08i</v>
      </c>
      <c r="U8" s="17">
        <f t="shared" ref="U8:U13" si="38">IMABS(T8)</f>
        <v>1</v>
      </c>
      <c r="V8" s="17">
        <f t="shared" ref="V8:V13" si="39">IMARGUMENT(T8)</f>
        <v>1.2063715789784799E-8</v>
      </c>
      <c r="W8" s="31" t="str">
        <f t="shared" ref="W8:W13" si="40">IMSUB(COMPLEX(1,0),IMDIV(COMPLEX(0,2*PI()*O8),COMPLEX(wz_rhp,0)))</f>
        <v>1-0.0065144065264838i</v>
      </c>
      <c r="X8" s="17">
        <f t="shared" ref="X8:X13" si="41">IMABS(W8)</f>
        <v>1.0000212185210833</v>
      </c>
      <c r="Y8" s="17">
        <f t="shared" ref="Y8:Y13" si="42">IMARGUMENT(W8)</f>
        <v>-6.5143143771376711E-3</v>
      </c>
      <c r="Z8" s="31" t="str">
        <f t="shared" ref="Z8:Z13" si="43">IMSUM(COMPLEX(1,0),IMDIV(COMPLEX(0,2*PI()*O8),COMPLEX(Q*(wsl/2),0)),IMDIV(IMPOWER(COMPLEX(0,2*PI()*O8),2),IMPOWER(COMPLEX(wsl/2,0),2)))</f>
        <v>0.99983616+0.397532573258139i</v>
      </c>
      <c r="AA8" s="17">
        <f t="shared" ref="AA8:AA13" si="44">IMABS(Z8)</f>
        <v>1.0759667716267001</v>
      </c>
      <c r="AB8" s="17">
        <f t="shared" ref="AB8:AB13" si="45">IMARGUMENT(Z8)</f>
        <v>0.37843372838065337</v>
      </c>
      <c r="AC8" s="66" t="str">
        <f t="shared" ref="AC8:AC13" si="46">(IMDIV(IMPRODUCT(P8,T8,W8),IMPRODUCT(Q8,Z8)))</f>
        <v>-93.8430715994193-235.207605226788i</v>
      </c>
      <c r="AD8" s="64">
        <f t="shared" ref="AD8:AD13" si="47">20*LOG(IMABS(AC8))</f>
        <v>48.070554134633944</v>
      </c>
      <c r="AE8" s="61">
        <f t="shared" ref="AE8:AE13" si="48">(180/PI())*IMARGUMENT(AC8)</f>
        <v>-111.75099865870679</v>
      </c>
      <c r="AF8" s="31" t="str">
        <f t="shared" si="16"/>
        <v>-0.332666666666667</v>
      </c>
      <c r="AG8" s="31" t="str">
        <f t="shared" ref="AG8:AG13" si="49">COMPLEX(0,1*2*PI()*O8)</f>
        <v>4021.23859659494i</v>
      </c>
      <c r="AH8" s="31">
        <f t="shared" ref="AH8:AH13" si="50">IMABS(AG8)</f>
        <v>4021.2385965949402</v>
      </c>
      <c r="AI8" s="31">
        <f t="shared" ref="AI8:AI13" si="51">IMARGUMENT(AG8)</f>
        <v>1.5707963267948966</v>
      </c>
      <c r="AJ8" s="31" t="str">
        <f t="shared" si="20"/>
        <v>0.137261497254425+33.1610113859465i</v>
      </c>
      <c r="AK8" s="31">
        <f t="shared" ref="AK8:AK13" si="52">IMABS(AJ8)</f>
        <v>33.161295464102459</v>
      </c>
      <c r="AL8" s="31">
        <f t="shared" ref="AL8:AL13" si="53">IMARGUMENT(AJ8)</f>
        <v>1.5666571070422424</v>
      </c>
      <c r="AM8" s="31" t="str">
        <f t="shared" si="23"/>
        <v>1+120650.186710901i</v>
      </c>
      <c r="AN8" s="31">
        <f t="shared" si="24"/>
        <v>120650.18671504522</v>
      </c>
      <c r="AO8" s="31">
        <f t="shared" ref="AO8:AO13" si="54">IMARGUMENT(AM8)</f>
        <v>1.5707880383700941</v>
      </c>
      <c r="AP8" s="31" t="str">
        <f t="shared" si="26"/>
        <v>1+13.0288130529676i</v>
      </c>
      <c r="AQ8" s="31">
        <f t="shared" ref="AQ8:AQ13" si="55">IMABS(AP8)</f>
        <v>13.06713318096892</v>
      </c>
      <c r="AR8" s="31">
        <f t="shared" ref="AR8:AR13" si="56">IMARGUMENT(AP8)</f>
        <v>1.4941935514486133</v>
      </c>
      <c r="AS8" s="58" t="str">
        <f t="shared" ref="AS8:AS13" si="57">IMDIV(IMPRODUCT(AF8,AM8,AP8),IMPRODUCT(AG8,AJ8))</f>
        <v>-3.92269713551156+0.284783847150882i</v>
      </c>
      <c r="AT8" s="49">
        <f t="shared" ref="AT8:AT13" si="58">20*LOG(IMABS(AS8))</f>
        <v>11.89452543780537</v>
      </c>
      <c r="AU8" s="61">
        <f t="shared" ref="AU8:AU13" si="59">(180/PI())*IMARGUMENT(AS8)</f>
        <v>175.84766920421347</v>
      </c>
      <c r="AV8" s="58" t="str">
        <f t="shared" ref="AV8:AV13" si="60">IMPRODUCT(AC8,AS8)</f>
        <v>435.101274846279+895.923208315117i</v>
      </c>
      <c r="AW8" s="64">
        <f t="shared" ref="AW8:AW13" si="61">20*LOG(IMABS(AV8))</f>
        <v>59.965079572439315</v>
      </c>
      <c r="AX8" s="61">
        <f t="shared" ref="AX8:AX13" si="62">(180/PI())*IMARGUMENT(AV8)</f>
        <v>64.096670545506655</v>
      </c>
    </row>
    <row r="9" spans="1:50" x14ac:dyDescent="0.3">
      <c r="A9" s="69" t="s">
        <v>159</v>
      </c>
      <c r="B9" s="10"/>
      <c r="C9" s="10"/>
      <c r="D9" s="17"/>
      <c r="E9" s="188"/>
      <c r="F9" s="188"/>
      <c r="G9" s="188"/>
      <c r="H9" s="188"/>
      <c r="I9" s="188"/>
      <c r="J9" s="188"/>
      <c r="K9" s="188"/>
      <c r="L9" s="188"/>
      <c r="M9" s="25"/>
      <c r="N9" s="71" t="s">
        <v>255</v>
      </c>
      <c r="O9" s="91">
        <f>wz_rhp/(2*PI())</f>
        <v>98243.792032034165</v>
      </c>
      <c r="P9" s="48" t="str">
        <f t="shared" si="0"/>
        <v>51201.9230769231</v>
      </c>
      <c r="Q9" s="17" t="str">
        <f t="shared" si="34"/>
        <v>1+28846.1538461539i</v>
      </c>
      <c r="R9" s="17">
        <f t="shared" si="35"/>
        <v>28846.15386348723</v>
      </c>
      <c r="S9" s="17">
        <f t="shared" si="36"/>
        <v>1.5707616601282439</v>
      </c>
      <c r="T9" s="17" t="str">
        <f t="shared" si="37"/>
        <v>1+1.85185185185185E-06i</v>
      </c>
      <c r="U9" s="17">
        <f t="shared" si="38"/>
        <v>1.0000000000017146</v>
      </c>
      <c r="V9" s="17">
        <f t="shared" si="39"/>
        <v>1.851851851849733E-6</v>
      </c>
      <c r="W9" s="31" t="str">
        <f t="shared" si="40"/>
        <v>1-i</v>
      </c>
      <c r="X9" s="17">
        <f t="shared" si="41"/>
        <v>1.4142135623730951</v>
      </c>
      <c r="Y9" s="17">
        <f t="shared" si="42"/>
        <v>-0.78539816339744828</v>
      </c>
      <c r="Z9" s="31" t="str">
        <f t="shared" si="43"/>
        <v>-2.86073706913344+61.0236053955187i</v>
      </c>
      <c r="AA9" s="17">
        <f t="shared" si="44"/>
        <v>61.090623110643527</v>
      </c>
      <c r="AB9" s="17">
        <f t="shared" si="45"/>
        <v>1.617641218517595</v>
      </c>
      <c r="AC9" s="66" t="str">
        <f t="shared" si="46"/>
        <v>-0.0276638411710161+0.030382900867265i</v>
      </c>
      <c r="AD9" s="64">
        <f t="shared" si="47"/>
        <v>-27.725223997959031</v>
      </c>
      <c r="AE9" s="61">
        <f t="shared" si="48"/>
        <v>132.31807776952644</v>
      </c>
      <c r="AF9" s="31" t="str">
        <f t="shared" si="16"/>
        <v>-0.332666666666667</v>
      </c>
      <c r="AG9" s="31" t="str">
        <f t="shared" si="49"/>
        <v>617283.950617284i</v>
      </c>
      <c r="AH9" s="31">
        <f t="shared" si="50"/>
        <v>617283.95061728405</v>
      </c>
      <c r="AI9" s="31">
        <f t="shared" si="51"/>
        <v>1.5707963267948966</v>
      </c>
      <c r="AJ9" s="31" t="str">
        <f t="shared" si="20"/>
        <v>-20328.6296296297+5090.41172839506i</v>
      </c>
      <c r="AK9" s="31">
        <f t="shared" si="52"/>
        <v>20956.275293649884</v>
      </c>
      <c r="AL9" s="31">
        <f t="shared" si="53"/>
        <v>2.8962318677964429</v>
      </c>
      <c r="AM9" s="31" t="str">
        <f t="shared" si="23"/>
        <v>1+18520518.5185185i</v>
      </c>
      <c r="AN9" s="31">
        <f t="shared" si="24"/>
        <v>18520518.518518526</v>
      </c>
      <c r="AO9" s="31">
        <f t="shared" si="54"/>
        <v>1.5707962728007281</v>
      </c>
      <c r="AP9" s="31" t="str">
        <f t="shared" si="26"/>
        <v>1+2000i</v>
      </c>
      <c r="AQ9" s="31">
        <f t="shared" si="55"/>
        <v>2000.0002499999844</v>
      </c>
      <c r="AR9" s="31">
        <f t="shared" si="56"/>
        <v>1.5702963268365633</v>
      </c>
      <c r="AS9" s="58" t="str">
        <f t="shared" si="57"/>
        <v>-0.230921312832389+0.924148428229538i</v>
      </c>
      <c r="AT9" s="49">
        <f t="shared" si="58"/>
        <v>-0.42213204890337497</v>
      </c>
      <c r="AU9" s="61">
        <f t="shared" si="59"/>
        <v>104.0294865029652</v>
      </c>
      <c r="AV9" s="58" t="str">
        <f t="shared" si="60"/>
        <v>-0.0216901395603391-0.0325815546929113i</v>
      </c>
      <c r="AW9" s="64">
        <f t="shared" si="61"/>
        <v>-28.147356046862395</v>
      </c>
      <c r="AX9" s="61">
        <f t="shared" si="62"/>
        <v>-123.65243572750835</v>
      </c>
    </row>
    <row r="10" spans="1:50" x14ac:dyDescent="0.3">
      <c r="A10" s="31" t="s">
        <v>26</v>
      </c>
      <c r="B10" s="3">
        <f>VIN_min</f>
        <v>14</v>
      </c>
      <c r="C10" s="31" t="s">
        <v>11</v>
      </c>
      <c r="E10" s="31" t="s">
        <v>29</v>
      </c>
      <c r="N10" s="58" t="s">
        <v>208</v>
      </c>
      <c r="O10" s="92">
        <f>wz_esr/(2*PI())</f>
        <v>53051647697.298447</v>
      </c>
      <c r="P10" s="48" t="str">
        <f t="shared" si="0"/>
        <v>51201.9230769231</v>
      </c>
      <c r="Q10" s="17" t="str">
        <f t="shared" si="34"/>
        <v>1+15576923076.9231i</v>
      </c>
      <c r="R10" s="17">
        <f t="shared" si="35"/>
        <v>15576923076.9231</v>
      </c>
      <c r="S10" s="17">
        <f t="shared" si="36"/>
        <v>1.570796326730699</v>
      </c>
      <c r="T10" s="17" t="str">
        <f t="shared" si="37"/>
        <v>1+i</v>
      </c>
      <c r="U10" s="17">
        <f t="shared" si="38"/>
        <v>1.4142135623730951</v>
      </c>
      <c r="V10" s="17">
        <f t="shared" si="39"/>
        <v>0.78539816339744828</v>
      </c>
      <c r="W10" s="31" t="str">
        <f t="shared" si="40"/>
        <v>1-539999.999999999i</v>
      </c>
      <c r="X10" s="17">
        <f t="shared" si="41"/>
        <v>540000.0000009248</v>
      </c>
      <c r="Y10" s="17">
        <f t="shared" si="42"/>
        <v>-1.5707944749430447</v>
      </c>
      <c r="Z10" s="31" t="str">
        <f t="shared" si="43"/>
        <v>-1125790929358.31+32952746.913718i</v>
      </c>
      <c r="AA10" s="17">
        <f t="shared" si="44"/>
        <v>1125790929840.5859</v>
      </c>
      <c r="AB10" s="17">
        <f t="shared" si="45"/>
        <v>3.1415633828379645</v>
      </c>
      <c r="AC10" s="66" t="str">
        <f t="shared" si="46"/>
        <v>1.57662023148405E-12+1.57671837179415E-12i</v>
      </c>
      <c r="AD10" s="64">
        <f t="shared" si="47"/>
        <v>-233.03488780268441</v>
      </c>
      <c r="AE10" s="61">
        <f t="shared" si="48"/>
        <v>45.001783197516808</v>
      </c>
      <c r="AF10" s="31" t="str">
        <f t="shared" si="16"/>
        <v>-0.332666666666667</v>
      </c>
      <c r="AG10" s="31" t="str">
        <f t="shared" si="49"/>
        <v>333333333333.333i</v>
      </c>
      <c r="AH10" s="31">
        <f t="shared" si="50"/>
        <v>333333333333.33301</v>
      </c>
      <c r="AI10" s="31">
        <f t="shared" si="51"/>
        <v>1.5707963267948966</v>
      </c>
      <c r="AJ10" s="31" t="str">
        <f t="shared" si="20"/>
        <v>-5928119999999990+2748822334.05961i</v>
      </c>
      <c r="AK10" s="31">
        <f t="shared" si="52"/>
        <v>5928120000000627</v>
      </c>
      <c r="AL10" s="31">
        <f t="shared" si="53"/>
        <v>3.1415921898977062</v>
      </c>
      <c r="AM10" s="31" t="str">
        <f t="shared" si="23"/>
        <v>1+10001080000000i</v>
      </c>
      <c r="AN10" s="31">
        <f t="shared" si="24"/>
        <v>10001080000000</v>
      </c>
      <c r="AO10" s="31">
        <f t="shared" si="54"/>
        <v>1.5707963267947966</v>
      </c>
      <c r="AP10" s="31" t="str">
        <f t="shared" si="26"/>
        <v>1+1080000000i</v>
      </c>
      <c r="AQ10" s="31">
        <f t="shared" si="55"/>
        <v>1080000000</v>
      </c>
      <c r="AR10" s="31">
        <f t="shared" si="56"/>
        <v>1.5707963258689708</v>
      </c>
      <c r="AS10" s="58" t="str">
        <f t="shared" si="57"/>
        <v>-8.41483708539553E-13+0.0000018183781818178i</v>
      </c>
      <c r="AT10" s="49">
        <f t="shared" si="58"/>
        <v>-114.80631576445732</v>
      </c>
      <c r="AU10" s="61">
        <f t="shared" si="59"/>
        <v>90.000026514542185</v>
      </c>
      <c r="AV10" s="58" t="str">
        <f t="shared" si="60"/>
        <v>-2.86707161284201E-18+2.8668905031603E-18i</v>
      </c>
      <c r="AW10" s="64">
        <f t="shared" si="61"/>
        <v>-347.84120356714175</v>
      </c>
      <c r="AX10" s="61">
        <f t="shared" si="62"/>
        <v>135.00180971205904</v>
      </c>
    </row>
    <row r="11" spans="1:50" ht="15" thickBot="1" x14ac:dyDescent="0.35">
      <c r="A11" s="31" t="s">
        <v>27</v>
      </c>
      <c r="B11" s="3">
        <f>VIN_nom</f>
        <v>15</v>
      </c>
      <c r="C11" s="31" t="s">
        <v>11</v>
      </c>
      <c r="E11" s="31" t="s">
        <v>30</v>
      </c>
      <c r="N11" s="62" t="s">
        <v>206</v>
      </c>
      <c r="O11" s="93">
        <f>wp_lf/(2*PI())</f>
        <v>3.4057847904438514</v>
      </c>
      <c r="P11" s="48" t="str">
        <f t="shared" si="0"/>
        <v>51201.9230769231</v>
      </c>
      <c r="Q11" s="17" t="str">
        <f t="shared" si="34"/>
        <v>1+i</v>
      </c>
      <c r="R11" s="17">
        <f t="shared" si="35"/>
        <v>1.4142135623730951</v>
      </c>
      <c r="S11" s="17">
        <f t="shared" si="36"/>
        <v>0.78539816339744828</v>
      </c>
      <c r="T11" s="17" t="str">
        <f t="shared" si="37"/>
        <v>1+6.41975308641976E-11i</v>
      </c>
      <c r="U11" s="17">
        <f t="shared" si="38"/>
        <v>1</v>
      </c>
      <c r="V11" s="17">
        <f t="shared" si="39"/>
        <v>6.4197530864197595E-11</v>
      </c>
      <c r="W11" s="31" t="str">
        <f t="shared" si="40"/>
        <v>1-0.0000346666666666666i</v>
      </c>
      <c r="X11" s="17">
        <f t="shared" si="41"/>
        <v>1.0000000006008889</v>
      </c>
      <c r="Y11" s="17">
        <f t="shared" si="42"/>
        <v>-3.466666665277939E-5</v>
      </c>
      <c r="Z11" s="31" t="str">
        <f t="shared" si="43"/>
        <v>0.999999995360252+0.00211548498704465i</v>
      </c>
      <c r="AA11" s="17">
        <f t="shared" si="44"/>
        <v>1.000002232996124</v>
      </c>
      <c r="AB11" s="17">
        <f t="shared" si="45"/>
        <v>2.1154818410748185E-3</v>
      </c>
      <c r="AC11" s="66" t="str">
        <f t="shared" si="46"/>
        <v>25545.7995065792-25655.8909111932i</v>
      </c>
      <c r="AD11" s="64">
        <f t="shared" si="47"/>
        <v>91.175406109283088</v>
      </c>
      <c r="AE11" s="61">
        <f t="shared" si="48"/>
        <v>-45.123194431141052</v>
      </c>
      <c r="AF11" s="31" t="str">
        <f t="shared" si="16"/>
        <v>-0.332666666666667</v>
      </c>
      <c r="AG11" s="31" t="str">
        <f t="shared" si="49"/>
        <v>21.3991769547325i</v>
      </c>
      <c r="AH11" s="31">
        <f t="shared" si="50"/>
        <v>21.3991769547325</v>
      </c>
      <c r="AI11" s="31">
        <f t="shared" si="51"/>
        <v>1.5707963267948966</v>
      </c>
      <c r="AJ11" s="31" t="str">
        <f t="shared" si="20"/>
        <v>0.999975568302881+0.176467606584362i</v>
      </c>
      <c r="AK11" s="31">
        <f t="shared" si="52"/>
        <v>1.0154269808195382</v>
      </c>
      <c r="AL11" s="31">
        <f t="shared" si="53"/>
        <v>0.17467348870198474</v>
      </c>
      <c r="AM11" s="31" t="str">
        <f t="shared" si="23"/>
        <v>1+642.044641975309i</v>
      </c>
      <c r="AN11" s="31">
        <f t="shared" si="24"/>
        <v>642.04542073688424</v>
      </c>
      <c r="AO11" s="31">
        <f t="shared" si="54"/>
        <v>1.5692388039592609</v>
      </c>
      <c r="AP11" s="31" t="str">
        <f t="shared" si="26"/>
        <v>1+0.0693333333333333i</v>
      </c>
      <c r="AQ11" s="31">
        <f t="shared" si="55"/>
        <v>1.0024006739378777</v>
      </c>
      <c r="AR11" s="31">
        <f t="shared" si="56"/>
        <v>6.9222554993487867E-2</v>
      </c>
      <c r="AS11" s="58" t="str">
        <f t="shared" si="57"/>
        <v>-9.79668961710749+1.05234845216358i</v>
      </c>
      <c r="AT11" s="49">
        <f t="shared" si="58"/>
        <v>19.871412409651274</v>
      </c>
      <c r="AU11" s="61">
        <f t="shared" si="59"/>
        <v>173.86886706781209</v>
      </c>
      <c r="AV11" s="58" t="str">
        <f t="shared" si="60"/>
        <v>-223265.331697542+278225.882677359i</v>
      </c>
      <c r="AW11" s="64">
        <f t="shared" si="61"/>
        <v>111.04681851893437</v>
      </c>
      <c r="AX11" s="61">
        <f t="shared" si="62"/>
        <v>128.74567263667097</v>
      </c>
    </row>
    <row r="12" spans="1:50" x14ac:dyDescent="0.3">
      <c r="A12" s="31" t="s">
        <v>28</v>
      </c>
      <c r="B12" s="3">
        <f>VIN_max</f>
        <v>16.8</v>
      </c>
      <c r="C12" s="31" t="s">
        <v>11</v>
      </c>
      <c r="E12" s="31" t="s">
        <v>31</v>
      </c>
      <c r="N12" s="71" t="s">
        <v>217</v>
      </c>
      <c r="O12" s="77">
        <f>wz2_ea_iso/(2*PI())</f>
        <v>49.121896016017075</v>
      </c>
      <c r="P12" s="48" t="str">
        <f t="shared" si="0"/>
        <v>51201.9230769231</v>
      </c>
      <c r="Q12" s="17" t="str">
        <f t="shared" si="34"/>
        <v>1+14.4230769230769i</v>
      </c>
      <c r="R12" s="17">
        <f t="shared" si="35"/>
        <v>14.457702027950136</v>
      </c>
      <c r="S12" s="17">
        <f t="shared" si="36"/>
        <v>1.5015737718014086</v>
      </c>
      <c r="T12" s="17" t="str">
        <f t="shared" si="37"/>
        <v>1+9.25925925925927E-10i</v>
      </c>
      <c r="U12" s="17">
        <f t="shared" si="38"/>
        <v>1</v>
      </c>
      <c r="V12" s="17">
        <f t="shared" si="39"/>
        <v>9.2592592592592703E-10</v>
      </c>
      <c r="W12" s="31" t="str">
        <f t="shared" si="40"/>
        <v>1-0.0005i</v>
      </c>
      <c r="X12" s="17">
        <f t="shared" si="41"/>
        <v>1.0000001249999921</v>
      </c>
      <c r="Y12" s="17">
        <f t="shared" si="42"/>
        <v>-4.9999995833333955E-4</v>
      </c>
      <c r="Z12" s="31" t="str">
        <f t="shared" si="43"/>
        <v>0.999999034815733+0.0305118026977594i</v>
      </c>
      <c r="AA12" s="17">
        <f t="shared" si="44"/>
        <v>1.0004644120288662</v>
      </c>
      <c r="AB12" s="17">
        <f t="shared" si="45"/>
        <v>3.0502368879966948E-2</v>
      </c>
      <c r="AC12" s="66" t="str">
        <f t="shared" si="46"/>
        <v>135.260964840487-3537.26934528453i</v>
      </c>
      <c r="AD12" s="64">
        <f t="shared" si="47"/>
        <v>70.97970825214415</v>
      </c>
      <c r="AE12" s="61">
        <f t="shared" si="48"/>
        <v>-87.810144588051756</v>
      </c>
      <c r="AF12" s="31" t="str">
        <f t="shared" si="16"/>
        <v>-0.332666666666667</v>
      </c>
      <c r="AG12" s="31" t="str">
        <f t="shared" si="49"/>
        <v>308.641975308642i</v>
      </c>
      <c r="AH12" s="31">
        <f t="shared" si="50"/>
        <v>308.64197530864197</v>
      </c>
      <c r="AI12" s="31">
        <f t="shared" si="51"/>
        <v>1.5707963267948966</v>
      </c>
      <c r="AJ12" s="31" t="str">
        <f t="shared" si="20"/>
        <v>0.994917592592593+2.54520586419753i</v>
      </c>
      <c r="AK12" s="31">
        <f t="shared" si="52"/>
        <v>2.732752075691415</v>
      </c>
      <c r="AL12" s="31">
        <f t="shared" si="53"/>
        <v>1.1981604607087843</v>
      </c>
      <c r="AM12" s="31" t="str">
        <f t="shared" si="23"/>
        <v>1+9260.25925925927i</v>
      </c>
      <c r="AN12" s="31">
        <f t="shared" si="24"/>
        <v>9260.2593132534366</v>
      </c>
      <c r="AO12" s="31">
        <f t="shared" si="54"/>
        <v>1.5706883384580568</v>
      </c>
      <c r="AP12" s="31" t="str">
        <f t="shared" si="26"/>
        <v>1+i</v>
      </c>
      <c r="AQ12" s="31">
        <f t="shared" si="55"/>
        <v>1.4142135623730951</v>
      </c>
      <c r="AR12" s="31">
        <f t="shared" si="56"/>
        <v>0.78539816339744828</v>
      </c>
      <c r="AS12" s="58" t="str">
        <f t="shared" si="57"/>
        <v>-4.73123855430439+2.07250945071721i</v>
      </c>
      <c r="AT12" s="49">
        <f t="shared" si="58"/>
        <v>14.261844201506214</v>
      </c>
      <c r="AU12" s="61">
        <f t="shared" si="59"/>
        <v>156.34427514599875</v>
      </c>
      <c r="AV12" s="58" t="str">
        <f t="shared" si="60"/>
        <v>6691.07225608874+17015.9947313143i</v>
      </c>
      <c r="AW12" s="64">
        <f t="shared" si="61"/>
        <v>85.241552453650385</v>
      </c>
      <c r="AX12" s="61">
        <f t="shared" si="62"/>
        <v>68.53413055794708</v>
      </c>
    </row>
    <row r="13" spans="1:50" ht="15" thickBot="1" x14ac:dyDescent="0.35">
      <c r="A13" s="31" t="s">
        <v>60</v>
      </c>
      <c r="B13" s="3">
        <f>Fsw</f>
        <v>100000</v>
      </c>
      <c r="C13" s="31" t="s">
        <v>61</v>
      </c>
      <c r="E13" s="31" t="s">
        <v>62</v>
      </c>
      <c r="M13" s="201"/>
      <c r="N13" s="62" t="s">
        <v>223</v>
      </c>
      <c r="O13" s="63">
        <f>wpB_ea_iso/(2*PI())</f>
        <v>1.3124659860941929E-3</v>
      </c>
      <c r="P13" s="48" t="str">
        <f t="shared" si="0"/>
        <v>51201.9230769231</v>
      </c>
      <c r="Q13" s="17" t="str">
        <f t="shared" si="34"/>
        <v>1+0.000385363746346154i</v>
      </c>
      <c r="R13" s="17">
        <f t="shared" si="35"/>
        <v>1.0000000742526058</v>
      </c>
      <c r="S13" s="17">
        <f t="shared" si="36"/>
        <v>3.8536372726998008E-4</v>
      </c>
      <c r="T13" s="17" t="str">
        <f t="shared" si="37"/>
        <v>1+2.4739401E-14i</v>
      </c>
      <c r="U13" s="17">
        <f t="shared" si="38"/>
        <v>1</v>
      </c>
      <c r="V13" s="17">
        <f t="shared" si="39"/>
        <v>2.4739401000000001E-14</v>
      </c>
      <c r="W13" s="31" t="str">
        <f t="shared" si="40"/>
        <v>1-0.00000001335927654i</v>
      </c>
      <c r="X13" s="17">
        <f t="shared" si="41"/>
        <v>1</v>
      </c>
      <c r="Y13" s="17">
        <f t="shared" si="42"/>
        <v>-1.3359276540000001E-8</v>
      </c>
      <c r="Z13" s="31" t="str">
        <f t="shared" si="43"/>
        <v>0.999999999999999+8.15231219946571E-07i</v>
      </c>
      <c r="AA13" s="17">
        <f t="shared" si="44"/>
        <v>1.0000000000003313</v>
      </c>
      <c r="AB13" s="17">
        <f t="shared" si="45"/>
        <v>8.1523121994639119E-7</v>
      </c>
      <c r="AC13" s="66" t="str">
        <f t="shared" si="46"/>
        <v>51201.9154567878-19.7737873861234i</v>
      </c>
      <c r="AD13" s="64">
        <f t="shared" si="47"/>
        <v>94.185724811287116</v>
      </c>
      <c r="AE13" s="61">
        <f t="shared" si="48"/>
        <v>-2.2127189886976182E-2</v>
      </c>
      <c r="AF13" s="31" t="str">
        <f t="shared" si="16"/>
        <v>-0.332666666666667</v>
      </c>
      <c r="AG13" s="31" t="str">
        <f t="shared" si="49"/>
        <v>0.008246467i</v>
      </c>
      <c r="AH13" s="31">
        <f t="shared" si="50"/>
        <v>8.2464670000000004E-3</v>
      </c>
      <c r="AI13" s="31">
        <f t="shared" si="51"/>
        <v>1.5707963267948966</v>
      </c>
      <c r="AJ13" s="31" t="str">
        <f t="shared" si="20"/>
        <v>0.999999999996372+0.000068004217982089i</v>
      </c>
      <c r="AK13" s="31">
        <f t="shared" si="52"/>
        <v>1.0000000023086588</v>
      </c>
      <c r="AL13" s="31">
        <f t="shared" si="53"/>
        <v>6.8004217877505556E-5</v>
      </c>
      <c r="AM13" s="31" t="str">
        <f t="shared" si="23"/>
        <v>1+0.24742072855308i</v>
      </c>
      <c r="AN13" s="31">
        <f t="shared" si="24"/>
        <v>1.0301538802129209</v>
      </c>
      <c r="AO13" s="31">
        <f t="shared" si="54"/>
        <v>0.24254964416305172</v>
      </c>
      <c r="AP13" s="31" t="str">
        <f t="shared" si="26"/>
        <v>1+0.00002671855308i</v>
      </c>
      <c r="AQ13" s="31">
        <f t="shared" si="55"/>
        <v>1.0000000003569405</v>
      </c>
      <c r="AR13" s="31">
        <f t="shared" si="56"/>
        <v>2.6718553073642041E-5</v>
      </c>
      <c r="AS13" s="58" t="str">
        <f t="shared" si="57"/>
        <v>-9.97941232733237+40.3409198024245i</v>
      </c>
      <c r="AT13" s="49">
        <f t="shared" si="58"/>
        <v>32.372869260546437</v>
      </c>
      <c r="AU13" s="61">
        <f t="shared" si="59"/>
        <v>103.89470543859512</v>
      </c>
      <c r="AV13" s="58" t="str">
        <f t="shared" si="60"/>
        <v>-510167.333521364+2065729.6959504i</v>
      </c>
      <c r="AW13" s="64">
        <f t="shared" si="61"/>
        <v>126.55859407183357</v>
      </c>
      <c r="AX13" s="61">
        <f t="shared" si="62"/>
        <v>103.87257824870812</v>
      </c>
    </row>
    <row r="14" spans="1:50" x14ac:dyDescent="0.3">
      <c r="B14" s="26"/>
    </row>
    <row r="15" spans="1:50" ht="15" thickBot="1" x14ac:dyDescent="0.35">
      <c r="A15" s="68" t="s">
        <v>216</v>
      </c>
      <c r="O15" s="50" t="s">
        <v>185</v>
      </c>
      <c r="P15" s="31">
        <f>B16</f>
        <v>15</v>
      </c>
      <c r="Q15" s="31" t="s">
        <v>11</v>
      </c>
    </row>
    <row r="16" spans="1:50" ht="15" thickBot="1" x14ac:dyDescent="0.35">
      <c r="A16" s="31" t="s">
        <v>187</v>
      </c>
      <c r="B16" s="43">
        <f>VIN_var</f>
        <v>15</v>
      </c>
      <c r="C16" s="31" t="s">
        <v>11</v>
      </c>
      <c r="E16" s="31" t="s">
        <v>188</v>
      </c>
      <c r="O16" s="67"/>
      <c r="P16" s="285" t="s">
        <v>214</v>
      </c>
      <c r="Q16" s="285"/>
      <c r="R16" s="285"/>
      <c r="S16" s="285"/>
      <c r="T16" s="285"/>
      <c r="U16" s="285"/>
      <c r="V16" s="285"/>
      <c r="W16" s="285"/>
      <c r="X16" s="285"/>
      <c r="Y16" s="285"/>
      <c r="Z16" s="285"/>
      <c r="AA16" s="285"/>
      <c r="AB16" s="285"/>
      <c r="AC16" s="285"/>
      <c r="AD16" s="285"/>
      <c r="AE16" s="286"/>
      <c r="AF16" s="287" t="s">
        <v>215</v>
      </c>
      <c r="AG16" s="285"/>
      <c r="AH16" s="285"/>
      <c r="AI16" s="285"/>
      <c r="AJ16" s="285"/>
      <c r="AK16" s="285"/>
      <c r="AL16" s="285"/>
      <c r="AM16" s="285"/>
      <c r="AN16" s="285"/>
      <c r="AO16" s="285"/>
      <c r="AP16" s="285"/>
      <c r="AQ16" s="285"/>
      <c r="AR16" s="285"/>
      <c r="AS16" s="285"/>
      <c r="AT16" s="285"/>
      <c r="AU16" s="286"/>
      <c r="AV16" s="287" t="s">
        <v>226</v>
      </c>
      <c r="AW16" s="285"/>
      <c r="AX16" s="286"/>
    </row>
    <row r="17" spans="1:50" x14ac:dyDescent="0.3">
      <c r="A17" s="31" t="s">
        <v>501</v>
      </c>
      <c r="B17" s="43">
        <f>POUT_Total</f>
        <v>7.5</v>
      </c>
      <c r="C17" s="31" t="s">
        <v>36</v>
      </c>
      <c r="E17" s="31" t="s">
        <v>502</v>
      </c>
      <c r="O17" s="52"/>
      <c r="P17" s="49"/>
      <c r="Q17" s="288" t="s">
        <v>206</v>
      </c>
      <c r="R17" s="288"/>
      <c r="S17" s="288"/>
      <c r="T17" s="289" t="s">
        <v>208</v>
      </c>
      <c r="U17" s="289"/>
      <c r="V17" s="289"/>
      <c r="W17" s="289" t="s">
        <v>208</v>
      </c>
      <c r="X17" s="289"/>
      <c r="Y17" s="289"/>
      <c r="Z17" s="289" t="s">
        <v>211</v>
      </c>
      <c r="AA17" s="289"/>
      <c r="AB17" s="289"/>
      <c r="AC17" s="290" t="s">
        <v>213</v>
      </c>
      <c r="AD17" s="289"/>
      <c r="AE17" s="291"/>
      <c r="AF17" s="71"/>
      <c r="AG17" s="292" t="s">
        <v>222</v>
      </c>
      <c r="AH17" s="292"/>
      <c r="AI17" s="292"/>
      <c r="AJ17" s="292" t="s">
        <v>223</v>
      </c>
      <c r="AK17" s="292"/>
      <c r="AL17" s="292"/>
      <c r="AM17" s="292" t="s">
        <v>578</v>
      </c>
      <c r="AN17" s="292"/>
      <c r="AO17" s="292"/>
      <c r="AP17" s="292" t="s">
        <v>217</v>
      </c>
      <c r="AQ17" s="292"/>
      <c r="AR17" s="293"/>
      <c r="AS17" s="290" t="s">
        <v>213</v>
      </c>
      <c r="AT17" s="289"/>
      <c r="AU17" s="291"/>
      <c r="AV17" s="290" t="s">
        <v>213</v>
      </c>
      <c r="AW17" s="289"/>
      <c r="AX17" s="291"/>
    </row>
    <row r="18" spans="1:50" ht="15" thickBot="1" x14ac:dyDescent="0.35">
      <c r="A18" s="31" t="s">
        <v>503</v>
      </c>
      <c r="B18" s="1">
        <f>Cout_total</f>
        <v>2.9999999999999999E-7</v>
      </c>
      <c r="C18" s="31" t="s">
        <v>151</v>
      </c>
      <c r="N18" s="10"/>
      <c r="O18" s="53" t="s">
        <v>184</v>
      </c>
      <c r="P18" s="54" t="s">
        <v>189</v>
      </c>
      <c r="Q18" s="55" t="s">
        <v>212</v>
      </c>
      <c r="R18" s="54" t="s">
        <v>209</v>
      </c>
      <c r="S18" s="54" t="s">
        <v>210</v>
      </c>
      <c r="T18" s="54" t="s">
        <v>212</v>
      </c>
      <c r="U18" s="54" t="s">
        <v>209</v>
      </c>
      <c r="V18" s="54" t="s">
        <v>210</v>
      </c>
      <c r="W18" s="56" t="s">
        <v>212</v>
      </c>
      <c r="X18" s="54" t="s">
        <v>209</v>
      </c>
      <c r="Y18" s="54" t="s">
        <v>210</v>
      </c>
      <c r="Z18" s="56" t="s">
        <v>212</v>
      </c>
      <c r="AA18" s="56" t="s">
        <v>209</v>
      </c>
      <c r="AB18" s="56" t="s">
        <v>210</v>
      </c>
      <c r="AC18" s="60" t="s">
        <v>227</v>
      </c>
      <c r="AD18" s="56" t="s">
        <v>209</v>
      </c>
      <c r="AE18" s="57" t="s">
        <v>210</v>
      </c>
      <c r="AF18" s="59" t="s">
        <v>224</v>
      </c>
      <c r="AG18" s="56" t="s">
        <v>212</v>
      </c>
      <c r="AH18" s="56" t="s">
        <v>225</v>
      </c>
      <c r="AI18" s="56" t="s">
        <v>210</v>
      </c>
      <c r="AJ18" s="56" t="s">
        <v>212</v>
      </c>
      <c r="AK18" s="56" t="s">
        <v>225</v>
      </c>
      <c r="AL18" s="56" t="s">
        <v>210</v>
      </c>
      <c r="AM18" s="56" t="s">
        <v>212</v>
      </c>
      <c r="AN18" s="56" t="s">
        <v>225</v>
      </c>
      <c r="AO18" s="56" t="s">
        <v>210</v>
      </c>
      <c r="AP18" s="56" t="s">
        <v>212</v>
      </c>
      <c r="AQ18" s="56" t="s">
        <v>225</v>
      </c>
      <c r="AR18" s="57" t="s">
        <v>210</v>
      </c>
      <c r="AS18" s="60" t="s">
        <v>227</v>
      </c>
      <c r="AT18" s="56" t="s">
        <v>209</v>
      </c>
      <c r="AU18" s="57" t="s">
        <v>210</v>
      </c>
      <c r="AV18" s="60" t="s">
        <v>227</v>
      </c>
      <c r="AW18" s="56" t="s">
        <v>209</v>
      </c>
      <c r="AX18" s="57" t="s">
        <v>210</v>
      </c>
    </row>
    <row r="19" spans="1:50" x14ac:dyDescent="0.3">
      <c r="A19" s="31" t="s">
        <v>491</v>
      </c>
      <c r="B19" s="1">
        <f>Resr_total</f>
        <v>1.0000000000000001E-5</v>
      </c>
      <c r="C19" s="2" t="s">
        <v>35</v>
      </c>
      <c r="N19" s="10">
        <v>1</v>
      </c>
      <c r="O19" s="50">
        <f>10^(1+(N19/100))</f>
        <v>10.232929922807543</v>
      </c>
      <c r="P19" s="48" t="str">
        <f>COMPLEX(Adc,0)</f>
        <v>51201.9230769231</v>
      </c>
      <c r="Q19" s="17" t="str">
        <f t="shared" ref="Q19:Q82" si="63">IMSUM(COMPLEX(1,0),IMDIV(COMPLEX(0,2*PI()*O19),COMPLEX(wp_lf,0)))</f>
        <v>1+3.00457326356019i</v>
      </c>
      <c r="R19" s="17">
        <f>IMABS(Q19)</f>
        <v>3.1666165691634864</v>
      </c>
      <c r="S19" s="17">
        <f>IMARGUMENT(Q19)</f>
        <v>1.2495024721399919</v>
      </c>
      <c r="T19" s="17" t="str">
        <f t="shared" ref="T19:T82" si="64">IMSUM(COMPLEX(1,0),IMDIV(COMPLEX(0,2*PI()*O19),COMPLEX(wz_esr,0)))</f>
        <v>1+1.92886184821148E-10i</v>
      </c>
      <c r="U19" s="17">
        <f>IMABS(T19)</f>
        <v>1</v>
      </c>
      <c r="V19" s="17">
        <f>IMARGUMENT(T19)</f>
        <v>1.92886184821148E-10</v>
      </c>
      <c r="W19" s="31" t="str">
        <f t="shared" ref="W19:W82" si="65">IMSUB(COMPLEX(1,0),IMDIV(COMPLEX(0,2*PI()*O19),COMPLEX(wz_rhp,0)))</f>
        <v>1-0.00010415853980342i</v>
      </c>
      <c r="X19" s="17">
        <f>IMABS(W19)</f>
        <v>1.0000000054245006</v>
      </c>
      <c r="Y19" s="17">
        <f>IMARGUMENT(W19)</f>
        <v>-1.0415853942674795E-4</v>
      </c>
      <c r="Z19" s="31" t="str">
        <f t="shared" ref="Z19:Z82" si="66">IMSUM(COMPLEX(1,0),IMDIV(COMPLEX(0,2*PI()*O19),COMPLEX(Q*(wsl/2),0)),IMDIV(IMPOWER(COMPLEX(0,2*PI()*O19),2),IMPOWER(COMPLEX(wsl/2,0),2)))</f>
        <v>0.999999958114858+0.00635612963153733i</v>
      </c>
      <c r="AA19" s="17">
        <f>IMABS(Z19)</f>
        <v>1.0000201581036308</v>
      </c>
      <c r="AB19" s="17">
        <f>IMARGUMENT(Z19)</f>
        <v>6.3560443031364065E-3</v>
      </c>
      <c r="AC19" s="66" t="str">
        <f>(IMDIV(IMPRODUCT(P19,T19,W19),IMPRODUCT(Q19,Z19)))</f>
        <v>5006.8522008621-15374.2200898537i</v>
      </c>
      <c r="AD19" s="64">
        <f>20*LOG(IMABS(AC19))</f>
        <v>84.17364081682959</v>
      </c>
      <c r="AE19" s="61">
        <f>(180/PI())*IMARGUMENT(AC19)</f>
        <v>-71.961360491409962</v>
      </c>
      <c r="AF19" s="31" t="str">
        <f>COMPLEX(Adc_ea_iso,0)</f>
        <v>-0.332666666666667</v>
      </c>
      <c r="AG19" s="31" t="str">
        <f>COMPLEX(0,1*2*PI()*O19)</f>
        <v>64.2953949403827i</v>
      </c>
      <c r="AH19" s="31">
        <f>IMABS(AG19)</f>
        <v>64.295394940382707</v>
      </c>
      <c r="AI19" s="31">
        <f>IMARGUMENT(AG19)</f>
        <v>1.5707963267948966</v>
      </c>
      <c r="AJ19" s="31" t="str">
        <f t="shared" ref="AJ19:AJ82" si="67">IMSUM(IMPRODUCT(COMPLEX(wpA_ea_iso,0),IMPOWER(COMPLEX(0,2*PI()*O19),2)),COMPLEX(0,wpB_ea_iso*2*PI()*O19),COMPLEX(1,0))</f>
        <v>0.999779443819402+0.530209852627833i</v>
      </c>
      <c r="AK19" s="31">
        <f>IMABS(AJ19)</f>
        <v>1.1316719595834568</v>
      </c>
      <c r="AL19" s="31">
        <f>IMARGUMENT(AJ19)</f>
        <v>0.4876136933229348</v>
      </c>
      <c r="AM19" s="31" t="str">
        <f t="shared" ref="AM19:AM82" si="68">IMSUM(COMPLEX(1,0),IMDIV(COMPLEX(0,2*PI()*O19),COMPLEX(wz1_ea_iso,0)))</f>
        <v>1+1929.07016529109i</v>
      </c>
      <c r="AN19" s="31">
        <f>IMABS(AM19)</f>
        <v>1929.0704244833034</v>
      </c>
      <c r="AO19" s="31">
        <f>IMARGUMENT(AM19)</f>
        <v>1.5702779423792239</v>
      </c>
      <c r="AP19" s="31" t="str">
        <f t="shared" ref="AP19:AP82" si="69">IMSUM(COMPLEX(1,0),IMDIV(COMPLEX(0,2*PI()*O19),COMPLEX(wz2_ea_iso,0)))</f>
        <v>1+0.20831707960684i</v>
      </c>
      <c r="AQ19" s="31">
        <f>IMABS(AP19)</f>
        <v>1.0214675744515449</v>
      </c>
      <c r="AR19" s="31">
        <f>IMARGUMENT(AP19)</f>
        <v>0.20537981152447154</v>
      </c>
      <c r="AS19" s="58" t="str">
        <f>IMDIV(IMPRODUCT(AF19,AM19,AP19),IMPRODUCT(AG19,AJ19))</f>
        <v>-8.65136185734582+2.51353672018216i</v>
      </c>
      <c r="AT19" s="49">
        <f>20*LOG(IMABS(AS19))</f>
        <v>19.093630613786051</v>
      </c>
      <c r="AU19" s="61">
        <f>(180/PI())*IMARGUMENT(AS19)</f>
        <v>163.79948849817052</v>
      </c>
      <c r="AV19" s="58" t="str">
        <f t="shared" ref="AV19:AV82" si="70">IMPRODUCT(AC19,AS19)</f>
        <v>-4672.42341589681+145592.848131192i</v>
      </c>
      <c r="AW19" s="64">
        <f>20*LOG(IMABS(AV19))</f>
        <v>103.26727143061564</v>
      </c>
      <c r="AX19" s="61">
        <f>(180/PI())*IMARGUMENT(AV19)</f>
        <v>91.838128006760556</v>
      </c>
    </row>
    <row r="20" spans="1:50" x14ac:dyDescent="0.3">
      <c r="N20" s="10">
        <v>2</v>
      </c>
      <c r="O20" s="50">
        <f t="shared" ref="O20:O83" si="71">10^(1+(N20/100))</f>
        <v>10.471285480509</v>
      </c>
      <c r="P20" s="48" t="str">
        <f t="shared" ref="P20:P82" si="72">COMPLEX(Adc,0)</f>
        <v>51201.9230769231</v>
      </c>
      <c r="Q20" s="17" t="str">
        <f t="shared" si="63"/>
        <v>1+3.07455876539526i</v>
      </c>
      <c r="R20" s="17">
        <f t="shared" ref="R20:R83" si="73">IMABS(Q20)</f>
        <v>3.2330962871323252</v>
      </c>
      <c r="S20" s="17">
        <f t="shared" ref="S20:S83" si="74">IMARGUMENT(Q20)</f>
        <v>1.2563383980148</v>
      </c>
      <c r="T20" s="17" t="str">
        <f t="shared" si="64"/>
        <v>1+1.97379081235251E-10i</v>
      </c>
      <c r="U20" s="17">
        <f t="shared" ref="U20:U83" si="75">IMABS(T20)</f>
        <v>1</v>
      </c>
      <c r="V20" s="17">
        <f t="shared" ref="V20:V83" si="76">IMARGUMENT(T20)</f>
        <v>1.9737908123525099E-10</v>
      </c>
      <c r="W20" s="31" t="str">
        <f t="shared" si="65"/>
        <v>1-0.000106584703867036i</v>
      </c>
      <c r="X20" s="17">
        <f t="shared" ref="X20:X83" si="77">IMABS(W20)</f>
        <v>1.0000000056801495</v>
      </c>
      <c r="Y20" s="17">
        <f t="shared" ref="Y20:Y83" si="78">IMARGUMENT(W20)</f>
        <v>-1.0658470346342462E-4</v>
      </c>
      <c r="Z20" s="31" t="str">
        <f t="shared" si="66"/>
        <v>0.999999956140872+0.00650418290998021i</v>
      </c>
      <c r="AA20" s="17">
        <f t="shared" ref="AA20:AA83" si="79">IMABS(Z20)</f>
        <v>1.0000211081157599</v>
      </c>
      <c r="AB20" s="17">
        <f t="shared" ref="AB20:AB83" si="80">IMARGUMENT(Z20)</f>
        <v>6.5040914790555661E-3</v>
      </c>
      <c r="AC20" s="66" t="str">
        <f t="shared" ref="AC20:AC83" si="81">(IMDIV(IMPRODUCT(P20,T20,W20),IMPRODUCT(Q20,Z20)))</f>
        <v>4798.57485967763-15091.9701116586i</v>
      </c>
      <c r="AD20" s="64">
        <f t="shared" ref="AD20:AD83" si="82">20*LOG(IMABS(AC20))</f>
        <v>83.993169388028562</v>
      </c>
      <c r="AE20" s="61">
        <f t="shared" ref="AE20:AE83" si="83">(180/PI())*IMARGUMENT(AC20)</f>
        <v>-72.361651680152036</v>
      </c>
      <c r="AF20" s="31" t="str">
        <f t="shared" ref="AF20:AF82" si="84">COMPLEX(Adc_ea_iso,0)</f>
        <v>-0.332666666666667</v>
      </c>
      <c r="AG20" s="31" t="str">
        <f t="shared" ref="AG20:AG83" si="85">COMPLEX(0,1*2*PI()*O20)</f>
        <v>65.7930270784171i</v>
      </c>
      <c r="AH20" s="31">
        <f t="shared" ref="AH20:AH83" si="86">IMABS(AG20)</f>
        <v>65.793027078417097</v>
      </c>
      <c r="AI20" s="31">
        <f t="shared" ref="AI20:AI83" si="87">IMARGUMENT(AG20)</f>
        <v>1.5707963267948966</v>
      </c>
      <c r="AJ20" s="31" t="str">
        <f t="shared" si="67"/>
        <v>0.999769049326847+0.542560026632273i</v>
      </c>
      <c r="AK20" s="31">
        <f t="shared" ref="AK20:AK83" si="88">IMABS(AJ20)</f>
        <v>1.1375014437314444</v>
      </c>
      <c r="AL20" s="31">
        <f t="shared" ref="AL20:AL83" si="89">IMARGUMENT(AJ20)</f>
        <v>0.49721002471094666</v>
      </c>
      <c r="AM20" s="31" t="str">
        <f t="shared" si="68"/>
        <v>1+1974.00398176025i</v>
      </c>
      <c r="AN20" s="31">
        <f t="shared" ref="AN20:AN83" si="90">IMABS(AM20)</f>
        <v>1974.0042350525293</v>
      </c>
      <c r="AO20" s="31">
        <f t="shared" ref="AO20:AO83" si="91">IMARGUMENT(AM20)</f>
        <v>1.5702897422470956</v>
      </c>
      <c r="AP20" s="31" t="str">
        <f t="shared" si="69"/>
        <v>1+0.213169407734071i</v>
      </c>
      <c r="AQ20" s="31">
        <f t="shared" ref="AQ20:AQ83" si="92">IMABS(AP20)</f>
        <v>1.0224681884507187</v>
      </c>
      <c r="AR20" s="31">
        <f t="shared" ref="AR20:AR83" si="93">IMARGUMENT(AP20)</f>
        <v>0.21002579150291384</v>
      </c>
      <c r="AS20" s="58" t="str">
        <f t="shared" ref="AS20:AS83" si="94">IMDIV(IMPRODUCT(AF20,AM20,AP20),IMPRODUCT(AG20,AJ20))</f>
        <v>-8.60298976423763+2.54562207727048i</v>
      </c>
      <c r="AT20" s="49">
        <f t="shared" ref="AT20:AT83" si="95">20*LOG(IMABS(AS20))</f>
        <v>19.057506932848135</v>
      </c>
      <c r="AU20" s="61">
        <f t="shared" ref="AU20:AU83" si="96">(180/PI())*IMARGUMENT(AS20)</f>
        <v>163.5165303379234</v>
      </c>
      <c r="AV20" s="58" t="str">
        <f t="shared" si="70"/>
        <v>-2863.63809499031+142051.42249501i</v>
      </c>
      <c r="AW20" s="64">
        <f t="shared" ref="AW20:AW83" si="97">20*LOG(IMABS(AV20))</f>
        <v>103.05067632087672</v>
      </c>
      <c r="AX20" s="61">
        <f t="shared" ref="AX20:AX83" si="98">(180/PI())*IMARGUMENT(AV20)</f>
        <v>91.154878657771363</v>
      </c>
    </row>
    <row r="21" spans="1:50" x14ac:dyDescent="0.3">
      <c r="N21" s="10">
        <v>3</v>
      </c>
      <c r="O21" s="50">
        <f t="shared" si="71"/>
        <v>10.715193052376069</v>
      </c>
      <c r="P21" s="48" t="str">
        <f t="shared" si="72"/>
        <v>51201.9230769231</v>
      </c>
      <c r="Q21" s="17" t="str">
        <f t="shared" si="63"/>
        <v>1+3.14617443898434i</v>
      </c>
      <c r="R21" s="17">
        <f t="shared" si="73"/>
        <v>3.3012745418275085</v>
      </c>
      <c r="S21" s="17">
        <f t="shared" si="74"/>
        <v>1.2630482209263834</v>
      </c>
      <c r="T21" s="17" t="str">
        <f t="shared" si="64"/>
        <v>1+2.01976630650847E-10i</v>
      </c>
      <c r="U21" s="17">
        <f t="shared" si="75"/>
        <v>1</v>
      </c>
      <c r="V21" s="17">
        <f t="shared" si="76"/>
        <v>2.01976630650847E-10</v>
      </c>
      <c r="W21" s="31" t="str">
        <f t="shared" si="65"/>
        <v>1-0.000109067380551457i</v>
      </c>
      <c r="X21" s="17">
        <f t="shared" si="77"/>
        <v>1.0000000059478467</v>
      </c>
      <c r="Y21" s="17">
        <f t="shared" si="78"/>
        <v>-1.0906738011897962E-4</v>
      </c>
      <c r="Z21" s="31" t="str">
        <f t="shared" si="66"/>
        <v>0.999999954073855+0.00665568479229499i</v>
      </c>
      <c r="AA21" s="17">
        <f t="shared" si="79"/>
        <v>1.0000221028996141</v>
      </c>
      <c r="AB21" s="17">
        <f t="shared" si="80"/>
        <v>6.6555868224110878E-3</v>
      </c>
      <c r="AC21" s="66" t="str">
        <f t="shared" si="81"/>
        <v>4597.91076912632-14812.1823333662i</v>
      </c>
      <c r="AD21" s="64">
        <f t="shared" si="82"/>
        <v>83.811900670832586</v>
      </c>
      <c r="AE21" s="61">
        <f t="shared" si="83"/>
        <v>-72.75491850468697</v>
      </c>
      <c r="AF21" s="31" t="str">
        <f t="shared" si="84"/>
        <v>-0.332666666666667</v>
      </c>
      <c r="AG21" s="31" t="str">
        <f t="shared" si="85"/>
        <v>67.3255435502821i</v>
      </c>
      <c r="AH21" s="31">
        <f t="shared" si="86"/>
        <v>67.325543550282106</v>
      </c>
      <c r="AI21" s="31">
        <f t="shared" si="87"/>
        <v>1.5707963267948966</v>
      </c>
      <c r="AJ21" s="31" t="str">
        <f t="shared" si="67"/>
        <v>0.99975816495695+0.555197873144464i</v>
      </c>
      <c r="AK21" s="31">
        <f t="shared" si="88"/>
        <v>1.1435738134209896</v>
      </c>
      <c r="AL21" s="31">
        <f t="shared" si="89"/>
        <v>0.50692778939197147</v>
      </c>
      <c r="AM21" s="31" t="str">
        <f t="shared" si="68"/>
        <v>1+2019.98444126957i</v>
      </c>
      <c r="AN21" s="31">
        <f t="shared" si="90"/>
        <v>2019.984688796214</v>
      </c>
      <c r="AO21" s="31">
        <f t="shared" si="91"/>
        <v>1.5703012735173185</v>
      </c>
      <c r="AP21" s="31" t="str">
        <f t="shared" si="69"/>
        <v>1+0.218134761102914i</v>
      </c>
      <c r="AQ21" s="31">
        <f t="shared" si="92"/>
        <v>1.023514911469992</v>
      </c>
      <c r="AR21" s="31">
        <f t="shared" si="93"/>
        <v>0.21477048116572414</v>
      </c>
      <c r="AS21" s="58" t="str">
        <f t="shared" si="94"/>
        <v>-8.55338680348553+2.57716654618386i</v>
      </c>
      <c r="AT21" s="49">
        <f t="shared" si="95"/>
        <v>19.020149361441991</v>
      </c>
      <c r="AU21" s="61">
        <f t="shared" si="96"/>
        <v>163.23225482129391</v>
      </c>
      <c r="AV21" s="58" t="str">
        <f t="shared" si="70"/>
        <v>-1154.24851072211+138543.906717567i</v>
      </c>
      <c r="AW21" s="64">
        <f t="shared" si="97"/>
        <v>102.83205003227458</v>
      </c>
      <c r="AX21" s="61">
        <f t="shared" si="98"/>
        <v>90.477336316606937</v>
      </c>
    </row>
    <row r="22" spans="1:50" x14ac:dyDescent="0.3">
      <c r="N22" s="10">
        <v>4</v>
      </c>
      <c r="O22" s="50">
        <f t="shared" si="71"/>
        <v>10.964781961431854</v>
      </c>
      <c r="P22" s="48" t="str">
        <f t="shared" si="72"/>
        <v>51201.9230769231</v>
      </c>
      <c r="Q22" s="17" t="str">
        <f t="shared" si="63"/>
        <v>1+3.21945825590551i</v>
      </c>
      <c r="R22" s="17">
        <f t="shared" si="73"/>
        <v>3.3711884345907079</v>
      </c>
      <c r="S22" s="17">
        <f t="shared" si="74"/>
        <v>1.2696330809653218</v>
      </c>
      <c r="T22" s="17" t="str">
        <f t="shared" si="64"/>
        <v>1+2.06681270749489E-10i</v>
      </c>
      <c r="U22" s="17">
        <f t="shared" si="75"/>
        <v>1</v>
      </c>
      <c r="V22" s="17">
        <f t="shared" si="76"/>
        <v>2.0668127074948899E-10</v>
      </c>
      <c r="W22" s="31" t="str">
        <f t="shared" si="65"/>
        <v>1-0.000111607886204724i</v>
      </c>
      <c r="X22" s="17">
        <f t="shared" si="77"/>
        <v>1.00000000622816</v>
      </c>
      <c r="Y22" s="17">
        <f t="shared" si="78"/>
        <v>-1.1160788574131615E-4</v>
      </c>
      <c r="Z22" s="31" t="str">
        <f t="shared" si="66"/>
        <v>0.999999951909423+0.00681071560678505i</v>
      </c>
      <c r="AA22" s="17">
        <f t="shared" si="79"/>
        <v>1.0000231445651269</v>
      </c>
      <c r="AB22" s="17">
        <f t="shared" si="80"/>
        <v>6.8106106302943314E-3</v>
      </c>
      <c r="AC22" s="66" t="str">
        <f t="shared" si="81"/>
        <v>4404.6512739975-14535.0107666235i</v>
      </c>
      <c r="AD22" s="64">
        <f t="shared" si="82"/>
        <v>83.629863914548039</v>
      </c>
      <c r="AE22" s="61">
        <f t="shared" si="83"/>
        <v>-73.141230963498671</v>
      </c>
      <c r="AF22" s="31" t="str">
        <f t="shared" si="84"/>
        <v>-0.332666666666667</v>
      </c>
      <c r="AG22" s="31" t="str">
        <f t="shared" si="85"/>
        <v>68.8937569164964i</v>
      </c>
      <c r="AH22" s="31">
        <f t="shared" si="86"/>
        <v>68.8937569164964</v>
      </c>
      <c r="AI22" s="31">
        <f t="shared" si="87"/>
        <v>1.5707963267948966</v>
      </c>
      <c r="AJ22" s="31" t="str">
        <f t="shared" si="67"/>
        <v>0.999746767622503+0.568130092917909i</v>
      </c>
      <c r="AK22" s="31">
        <f t="shared" si="88"/>
        <v>1.1498979962807809</v>
      </c>
      <c r="AL22" s="31">
        <f t="shared" si="89"/>
        <v>0.5167648199924646</v>
      </c>
      <c r="AM22" s="31" t="str">
        <f t="shared" si="68"/>
        <v>1+2067.0359232673i</v>
      </c>
      <c r="AN22" s="31">
        <f t="shared" si="90"/>
        <v>2067.0361651595504</v>
      </c>
      <c r="AO22" s="31">
        <f t="shared" si="91"/>
        <v>1.5703125423039124</v>
      </c>
      <c r="AP22" s="31" t="str">
        <f t="shared" si="69"/>
        <v>1+0.223215772409448i</v>
      </c>
      <c r="AQ22" s="31">
        <f t="shared" si="92"/>
        <v>1.0246098189322346</v>
      </c>
      <c r="AR22" s="31">
        <f t="shared" si="93"/>
        <v>0.21961554131284561</v>
      </c>
      <c r="AS22" s="58" t="str">
        <f t="shared" si="94"/>
        <v>-8.50255998888874+2.60811534728221i</v>
      </c>
      <c r="AT22" s="49">
        <f t="shared" si="95"/>
        <v>18.981533792368491</v>
      </c>
      <c r="AU22" s="61">
        <f t="shared" si="96"/>
        <v>162.94688163677387</v>
      </c>
      <c r="AV22" s="58" t="str">
        <f t="shared" si="70"/>
        <v>458.172966043952+135072.639569499i</v>
      </c>
      <c r="AW22" s="64">
        <f t="shared" si="97"/>
        <v>102.61139770691655</v>
      </c>
      <c r="AX22" s="61">
        <f t="shared" si="98"/>
        <v>89.80565067327521</v>
      </c>
    </row>
    <row r="23" spans="1:50" x14ac:dyDescent="0.3">
      <c r="N23" s="10">
        <v>5</v>
      </c>
      <c r="O23" s="50">
        <f t="shared" si="71"/>
        <v>11.220184543019636</v>
      </c>
      <c r="P23" s="48" t="str">
        <f t="shared" si="72"/>
        <v>51201.9230769231</v>
      </c>
      <c r="Q23" s="17" t="str">
        <f t="shared" si="63"/>
        <v>1+3.29444907220852i</v>
      </c>
      <c r="R23" s="17">
        <f t="shared" si="73"/>
        <v>3.4428759329048697</v>
      </c>
      <c r="S23" s="17">
        <f t="shared" si="74"/>
        <v>1.2760941845185014</v>
      </c>
      <c r="T23" s="17" t="str">
        <f t="shared" si="64"/>
        <v>1+2.11495495993634E-10i</v>
      </c>
      <c r="U23" s="17">
        <f t="shared" si="75"/>
        <v>1</v>
      </c>
      <c r="V23" s="17">
        <f t="shared" si="76"/>
        <v>2.11495495993634E-10</v>
      </c>
      <c r="W23" s="31" t="str">
        <f t="shared" si="65"/>
        <v>1-0.000114207567836562i</v>
      </c>
      <c r="X23" s="17">
        <f t="shared" si="77"/>
        <v>1.0000000065216843</v>
      </c>
      <c r="Y23" s="17">
        <f t="shared" si="78"/>
        <v>-1.1420756734001154E-4</v>
      </c>
      <c r="Z23" s="31" t="str">
        <f t="shared" si="66"/>
        <v>0.999999949642984+0.0069693575528403i</v>
      </c>
      <c r="AA23" s="17">
        <f t="shared" si="79"/>
        <v>1.0000242353216595</v>
      </c>
      <c r="AB23" s="17">
        <f t="shared" si="80"/>
        <v>6.9692450686511271E-3</v>
      </c>
      <c r="AC23" s="66" t="str">
        <f t="shared" si="81"/>
        <v>4218.58771004657-14260.5969334065i</v>
      </c>
      <c r="AD23" s="64">
        <f t="shared" si="82"/>
        <v>83.447087554130306</v>
      </c>
      <c r="AE23" s="61">
        <f t="shared" si="83"/>
        <v>-73.520662962403975</v>
      </c>
      <c r="AF23" s="31" t="str">
        <f t="shared" si="84"/>
        <v>-0.332666666666667</v>
      </c>
      <c r="AG23" s="31" t="str">
        <f t="shared" si="85"/>
        <v>70.4984986645445i</v>
      </c>
      <c r="AH23" s="31">
        <f t="shared" si="86"/>
        <v>70.498498664544499</v>
      </c>
      <c r="AI23" s="31">
        <f t="shared" si="87"/>
        <v>1.5707963267948966</v>
      </c>
      <c r="AJ23" s="31" t="str">
        <f t="shared" si="67"/>
        <v>0.999734833148233+0.58136354278671i</v>
      </c>
      <c r="AK23" s="31">
        <f t="shared" si="88"/>
        <v>1.1564831626493488</v>
      </c>
      <c r="AL23" s="31">
        <f t="shared" si="89"/>
        <v>0.52671873988624773</v>
      </c>
      <c r="AM23" s="31" t="str">
        <f t="shared" si="68"/>
        <v>1+2115.18337507201i</v>
      </c>
      <c r="AN23" s="31">
        <f t="shared" si="90"/>
        <v>2115.183611458121</v>
      </c>
      <c r="AO23" s="31">
        <f t="shared" si="91"/>
        <v>1.5703235545817256</v>
      </c>
      <c r="AP23" s="31" t="str">
        <f t="shared" si="69"/>
        <v>1+0.228415135673124i</v>
      </c>
      <c r="AQ23" s="31">
        <f t="shared" si="92"/>
        <v>1.0257550751541868</v>
      </c>
      <c r="AR23" s="31">
        <f t="shared" si="93"/>
        <v>0.22456263055635681</v>
      </c>
      <c r="AS23" s="58" t="str">
        <f t="shared" si="94"/>
        <v>-8.45051934243277+2.63841301060022i</v>
      </c>
      <c r="AT23" s="49">
        <f t="shared" si="95"/>
        <v>18.941637025820242</v>
      </c>
      <c r="AU23" s="61">
        <f t="shared" si="96"/>
        <v>162.66064232881797</v>
      </c>
      <c r="AV23" s="58" t="str">
        <f t="shared" si="70"/>
        <v>1976.08744652761+131639.826920934i</v>
      </c>
      <c r="AW23" s="64">
        <f t="shared" si="97"/>
        <v>102.38872457995055</v>
      </c>
      <c r="AX23" s="61">
        <f t="shared" si="98"/>
        <v>89.139979366414011</v>
      </c>
    </row>
    <row r="24" spans="1:50" x14ac:dyDescent="0.3">
      <c r="N24" s="10">
        <v>6</v>
      </c>
      <c r="O24" s="50">
        <f t="shared" si="71"/>
        <v>11.481536214968834</v>
      </c>
      <c r="P24" s="48" t="str">
        <f t="shared" si="72"/>
        <v>51201.9230769231</v>
      </c>
      <c r="Q24" s="17" t="str">
        <f t="shared" si="63"/>
        <v>1+3.37118664901681i</v>
      </c>
      <c r="R24" s="17">
        <f t="shared" si="73"/>
        <v>3.5163758932328593</v>
      </c>
      <c r="S24" s="17">
        <f t="shared" si="74"/>
        <v>1.2824327987650548</v>
      </c>
      <c r="T24" s="17" t="str">
        <f t="shared" si="64"/>
        <v>1+2.16421858949228E-10i</v>
      </c>
      <c r="U24" s="17">
        <f t="shared" si="75"/>
        <v>1</v>
      </c>
      <c r="V24" s="17">
        <f t="shared" si="76"/>
        <v>2.16421858949228E-10</v>
      </c>
      <c r="W24" s="31" t="str">
        <f t="shared" si="65"/>
        <v>1-0.000116867803832583i</v>
      </c>
      <c r="X24" s="17">
        <f t="shared" si="77"/>
        <v>1.0000000068290418</v>
      </c>
      <c r="Y24" s="17">
        <f t="shared" si="78"/>
        <v>-1.168678033005196E-4</v>
      </c>
      <c r="Z24" s="31" t="str">
        <f t="shared" si="66"/>
        <v>0.99999994726973+0.00713169474452043i</v>
      </c>
      <c r="AA24" s="17">
        <f t="shared" si="79"/>
        <v>1.0000253774826875</v>
      </c>
      <c r="AB24" s="17">
        <f t="shared" si="80"/>
        <v>7.1315742157053979E-3</v>
      </c>
      <c r="AC24" s="66" t="str">
        <f t="shared" si="81"/>
        <v>4039.51197001929-13989.0703159974i</v>
      </c>
      <c r="AD24" s="64">
        <f t="shared" si="82"/>
        <v>83.263599211226861</v>
      </c>
      <c r="AE24" s="61">
        <f t="shared" si="83"/>
        <v>-73.893292001721989</v>
      </c>
      <c r="AF24" s="31" t="str">
        <f t="shared" si="84"/>
        <v>-0.332666666666667</v>
      </c>
      <c r="AG24" s="31" t="str">
        <f t="shared" si="85"/>
        <v>72.1406196497425i</v>
      </c>
      <c r="AH24" s="31">
        <f t="shared" si="86"/>
        <v>72.140619649742504</v>
      </c>
      <c r="AI24" s="31">
        <f t="shared" si="87"/>
        <v>1.5707963267948966</v>
      </c>
      <c r="AJ24" s="31" t="str">
        <f t="shared" si="67"/>
        <v>0.999722336219517+0.594905239301153i</v>
      </c>
      <c r="AK24" s="31">
        <f t="shared" si="88"/>
        <v>1.163338726804954</v>
      </c>
      <c r="AL24" s="31">
        <f t="shared" si="89"/>
        <v>0.53678696091018074</v>
      </c>
      <c r="AM24" s="31" t="str">
        <f t="shared" si="68"/>
        <v>1+2164.45232509994i</v>
      </c>
      <c r="AN24" s="31">
        <f t="shared" si="90"/>
        <v>2164.4525561052465</v>
      </c>
      <c r="AO24" s="31">
        <f t="shared" si="91"/>
        <v>1.5703343161896028</v>
      </c>
      <c r="AP24" s="31" t="str">
        <f t="shared" si="69"/>
        <v>1+0.233735607665166i</v>
      </c>
      <c r="AQ24" s="31">
        <f t="shared" si="92"/>
        <v>1.0269529367456935</v>
      </c>
      <c r="AR24" s="31">
        <f t="shared" si="93"/>
        <v>0.22961340288231397</v>
      </c>
      <c r="AS24" s="58" t="str">
        <f t="shared" si="94"/>
        <v>-8.39727800440995+2.66800355870298i</v>
      </c>
      <c r="AT24" s="49">
        <f t="shared" si="95"/>
        <v>18.900436887433987</v>
      </c>
      <c r="AU24" s="61">
        <f t="shared" si="96"/>
        <v>162.37378028921276</v>
      </c>
      <c r="AV24" s="58" t="str">
        <f t="shared" si="70"/>
        <v>3401.9843716336+128247.544778104i</v>
      </c>
      <c r="AW24" s="64">
        <f t="shared" si="97"/>
        <v>102.16403609866084</v>
      </c>
      <c r="AX24" s="61">
        <f t="shared" si="98"/>
        <v>88.480488287490772</v>
      </c>
    </row>
    <row r="25" spans="1:50" x14ac:dyDescent="0.3">
      <c r="A25" s="31" t="s">
        <v>32</v>
      </c>
      <c r="B25" s="43">
        <f>VOUT1</f>
        <v>1500</v>
      </c>
      <c r="C25" s="31" t="s">
        <v>11</v>
      </c>
      <c r="E25" s="31" t="s">
        <v>160</v>
      </c>
      <c r="N25" s="10">
        <v>7</v>
      </c>
      <c r="O25" s="50">
        <f t="shared" si="71"/>
        <v>11.748975549395301</v>
      </c>
      <c r="P25" s="48" t="str">
        <f t="shared" si="72"/>
        <v>51201.9230769231</v>
      </c>
      <c r="Q25" s="17" t="str">
        <f t="shared" si="63"/>
        <v>1+3.44971167360935i</v>
      </c>
      <c r="R25" s="17">
        <f t="shared" si="73"/>
        <v>3.5917280842286239</v>
      </c>
      <c r="S25" s="17">
        <f t="shared" si="74"/>
        <v>1.2886502463769622</v>
      </c>
      <c r="T25" s="17" t="str">
        <f t="shared" si="64"/>
        <v>1+2.21462971639119E-10i</v>
      </c>
      <c r="U25" s="17">
        <f t="shared" si="75"/>
        <v>1</v>
      </c>
      <c r="V25" s="17">
        <f t="shared" si="76"/>
        <v>2.21462971639119E-10</v>
      </c>
      <c r="W25" s="31" t="str">
        <f t="shared" si="65"/>
        <v>1-0.000119590004685124i</v>
      </c>
      <c r="X25" s="17">
        <f t="shared" si="77"/>
        <v>1.0000000071508846</v>
      </c>
      <c r="Y25" s="17">
        <f t="shared" si="78"/>
        <v>-1.195900041150078E-4</v>
      </c>
      <c r="Z25" s="31" t="str">
        <f t="shared" si="66"/>
        <v>0.999999944784629+0.00729781325515324i</v>
      </c>
      <c r="AA25" s="17">
        <f t="shared" si="79"/>
        <v>1.0000265734707094</v>
      </c>
      <c r="AB25" s="17">
        <f t="shared" si="80"/>
        <v>7.2976841063864444E-3</v>
      </c>
      <c r="AC25" s="66" t="str">
        <f t="shared" si="81"/>
        <v>3867.21702128888-13720.5488185618i</v>
      </c>
      <c r="AD25" s="64">
        <f t="shared" si="82"/>
        <v>83.079425697329654</v>
      </c>
      <c r="AE25" s="61">
        <f t="shared" si="83"/>
        <v>-74.25919887522808</v>
      </c>
      <c r="AF25" s="31" t="str">
        <f t="shared" si="84"/>
        <v>-0.332666666666667</v>
      </c>
      <c r="AG25" s="31" t="str">
        <f t="shared" si="85"/>
        <v>73.8209905463728i</v>
      </c>
      <c r="AH25" s="31">
        <f t="shared" si="86"/>
        <v>73.820990546372798</v>
      </c>
      <c r="AI25" s="31">
        <f t="shared" si="87"/>
        <v>1.5707963267948966</v>
      </c>
      <c r="AJ25" s="31" t="str">
        <f t="shared" si="67"/>
        <v>0.999709250328697+0.608762362447975i</v>
      </c>
      <c r="AK25" s="31">
        <f t="shared" si="88"/>
        <v>1.1704743479145561</v>
      </c>
      <c r="AL25" s="31">
        <f t="shared" si="89"/>
        <v>0.54696668180060215</v>
      </c>
      <c r="AM25" s="31" t="str">
        <f t="shared" si="68"/>
        <v>1+2214.86889640056i</v>
      </c>
      <c r="AN25" s="31">
        <f t="shared" si="90"/>
        <v>2214.8691221475447</v>
      </c>
      <c r="AO25" s="31">
        <f t="shared" si="91"/>
        <v>1.5703448328334815</v>
      </c>
      <c r="AP25" s="31" t="str">
        <f t="shared" si="69"/>
        <v>1+0.239180009370248i</v>
      </c>
      <c r="AQ25" s="31">
        <f t="shared" si="92"/>
        <v>1.0282057561025186</v>
      </c>
      <c r="AR25" s="31">
        <f t="shared" si="93"/>
        <v>0.23476950504267596</v>
      </c>
      <c r="AS25" s="58" t="str">
        <f t="shared" si="94"/>
        <v>-8.34285233168412+2.69683070301408i</v>
      </c>
      <c r="AT25" s="49">
        <f t="shared" si="95"/>
        <v>18.857912349577202</v>
      </c>
      <c r="AU25" s="61">
        <f t="shared" si="96"/>
        <v>162.08655069740632</v>
      </c>
      <c r="AV25" s="58" t="str">
        <f t="shared" si="70"/>
        <v>4738.37677291258+124897.742301155i</v>
      </c>
      <c r="AW25" s="64">
        <f t="shared" si="97"/>
        <v>101.93733804690687</v>
      </c>
      <c r="AX25" s="61">
        <f t="shared" si="98"/>
        <v>87.827351822178258</v>
      </c>
    </row>
    <row r="26" spans="1:50" x14ac:dyDescent="0.3">
      <c r="A26" s="31" t="s">
        <v>33</v>
      </c>
      <c r="B26" s="43">
        <f>IOUT1</f>
        <v>5.0000000000000001E-3</v>
      </c>
      <c r="C26" s="31" t="s">
        <v>12</v>
      </c>
      <c r="E26" s="31" t="s">
        <v>34</v>
      </c>
      <c r="N26" s="10">
        <v>8</v>
      </c>
      <c r="O26" s="50">
        <f t="shared" si="71"/>
        <v>12.022644346174133</v>
      </c>
      <c r="P26" s="48" t="str">
        <f t="shared" si="72"/>
        <v>51201.9230769231</v>
      </c>
      <c r="Q26" s="17" t="str">
        <f t="shared" si="63"/>
        <v>1+3.53006578099355i</v>
      </c>
      <c r="R26" s="17">
        <f t="shared" si="73"/>
        <v>3.668973210333049</v>
      </c>
      <c r="S26" s="17">
        <f t="shared" si="74"/>
        <v>1.2947479004287072</v>
      </c>
      <c r="T26" s="17" t="str">
        <f t="shared" si="64"/>
        <v>1+2.26621506927981E-10i</v>
      </c>
      <c r="U26" s="17">
        <f t="shared" si="75"/>
        <v>1</v>
      </c>
      <c r="V26" s="17">
        <f t="shared" si="76"/>
        <v>2.2662150692798099E-10</v>
      </c>
      <c r="W26" s="31" t="str">
        <f t="shared" si="65"/>
        <v>1-0.00012237561374111i</v>
      </c>
      <c r="X26" s="17">
        <f t="shared" si="77"/>
        <v>1.0000000074878954</v>
      </c>
      <c r="Y26" s="17">
        <f t="shared" si="78"/>
        <v>-1.2237561313021948E-4</v>
      </c>
      <c r="Z26" s="31" t="str">
        <f t="shared" si="66"/>
        <v>0.999999942182409+0.0074678011629719i</v>
      </c>
      <c r="AA26" s="17">
        <f t="shared" si="79"/>
        <v>1.0000278258223771</v>
      </c>
      <c r="AB26" s="17">
        <f t="shared" si="80"/>
        <v>7.4676627777829933E-3</v>
      </c>
      <c r="AC26" s="66" t="str">
        <f t="shared" si="81"/>
        <v>3701.49737680896-13455.1392367195i</v>
      </c>
      <c r="AD26" s="64">
        <f t="shared" si="82"/>
        <v>82.89459301885222</v>
      </c>
      <c r="AE26" s="61">
        <f t="shared" si="83"/>
        <v>-74.618467381146658</v>
      </c>
      <c r="AF26" s="31" t="str">
        <f t="shared" si="84"/>
        <v>-0.332666666666667</v>
      </c>
      <c r="AG26" s="31" t="str">
        <f t="shared" si="85"/>
        <v>75.540502309327i</v>
      </c>
      <c r="AH26" s="31">
        <f t="shared" si="86"/>
        <v>75.540502309326996</v>
      </c>
      <c r="AI26" s="31">
        <f t="shared" si="87"/>
        <v>1.5707963267948966</v>
      </c>
      <c r="AJ26" s="31" t="str">
        <f t="shared" si="67"/>
        <v>0.999695547718842+0.622942259457289i</v>
      </c>
      <c r="AK26" s="31">
        <f t="shared" si="88"/>
        <v>1.1778999307015123</v>
      </c>
      <c r="AL26" s="31">
        <f t="shared" si="89"/>
        <v>0.5572548874004184</v>
      </c>
      <c r="AM26" s="31" t="str">
        <f t="shared" si="68"/>
        <v>1+2266.4598205073i</v>
      </c>
      <c r="AN26" s="31">
        <f t="shared" si="90"/>
        <v>2266.4600411156562</v>
      </c>
      <c r="AO26" s="31">
        <f t="shared" si="91"/>
        <v>1.5703551100894155</v>
      </c>
      <c r="AP26" s="31" t="str">
        <f t="shared" si="69"/>
        <v>1+0.244751227482219i</v>
      </c>
      <c r="AQ26" s="31">
        <f t="shared" si="92"/>
        <v>1.0295159849920024</v>
      </c>
      <c r="AR26" s="31">
        <f t="shared" si="93"/>
        <v>0.2400325737710606</v>
      </c>
      <c r="AS26" s="58" t="str">
        <f t="shared" si="94"/>
        <v>-8.28726198249655+2.72483805288378i</v>
      </c>
      <c r="AT26" s="49">
        <f t="shared" si="95"/>
        <v>18.814043655370391</v>
      </c>
      <c r="AU26" s="61">
        <f t="shared" si="96"/>
        <v>161.79922040658772</v>
      </c>
      <c r="AV26" s="58" t="str">
        <f t="shared" si="70"/>
        <v>5987.79690992331+121592.244770642i</v>
      </c>
      <c r="AW26" s="64">
        <f t="shared" si="97"/>
        <v>101.70863667422262</v>
      </c>
      <c r="AX26" s="61">
        <f t="shared" si="98"/>
        <v>87.180753025441064</v>
      </c>
    </row>
    <row r="27" spans="1:50" x14ac:dyDescent="0.3">
      <c r="N27" s="10">
        <v>9</v>
      </c>
      <c r="O27" s="50">
        <f t="shared" si="71"/>
        <v>12.302687708123818</v>
      </c>
      <c r="P27" s="48" t="str">
        <f t="shared" si="72"/>
        <v>51201.9230769231</v>
      </c>
      <c r="Q27" s="17" t="str">
        <f t="shared" si="63"/>
        <v>1+3.61229157598079i</v>
      </c>
      <c r="R27" s="17">
        <f t="shared" si="73"/>
        <v>3.7481529357674002</v>
      </c>
      <c r="S27" s="17">
        <f t="shared" si="74"/>
        <v>1.3007271795188329</v>
      </c>
      <c r="T27" s="17" t="str">
        <f t="shared" si="64"/>
        <v>1+2.31900199939508E-10i</v>
      </c>
      <c r="U27" s="17">
        <f t="shared" si="75"/>
        <v>1</v>
      </c>
      <c r="V27" s="17">
        <f t="shared" si="76"/>
        <v>2.31900199939508E-10</v>
      </c>
      <c r="W27" s="31" t="str">
        <f t="shared" si="65"/>
        <v>1-0.000125226107967334i</v>
      </c>
      <c r="X27" s="17">
        <f t="shared" si="77"/>
        <v>1.0000000078407889</v>
      </c>
      <c r="Y27" s="17">
        <f t="shared" si="78"/>
        <v>-1.2522610731275301E-4</v>
      </c>
      <c r="Z27" s="31" t="str">
        <f t="shared" si="66"/>
        <v>0.99999993945755+0.00764174859781522i</v>
      </c>
      <c r="AA27" s="17">
        <f t="shared" si="79"/>
        <v>1.0000291371938796</v>
      </c>
      <c r="AB27" s="17">
        <f t="shared" si="80"/>
        <v>7.6416003156470867E-3</v>
      </c>
      <c r="AC27" s="66" t="str">
        <f t="shared" si="81"/>
        <v>3542.14952124021-13192.9377318239i</v>
      </c>
      <c r="AD27" s="64">
        <f t="shared" si="82"/>
        <v>82.709126383951102</v>
      </c>
      <c r="AE27" s="61">
        <f t="shared" si="83"/>
        <v>-74.97118404534389</v>
      </c>
      <c r="AF27" s="31" t="str">
        <f t="shared" si="84"/>
        <v>-0.332666666666667</v>
      </c>
      <c r="AG27" s="31" t="str">
        <f t="shared" si="85"/>
        <v>77.3000666465025i</v>
      </c>
      <c r="AH27" s="31">
        <f t="shared" si="86"/>
        <v>77.300066646502501</v>
      </c>
      <c r="AI27" s="31">
        <f t="shared" si="87"/>
        <v>1.5707963267948966</v>
      </c>
      <c r="AJ27" s="31" t="str">
        <f t="shared" si="67"/>
        <v>0.99968119932488+0.637452448698183i</v>
      </c>
      <c r="AK27" s="31">
        <f t="shared" si="88"/>
        <v>1.185625625834285</v>
      </c>
      <c r="AL27" s="31">
        <f t="shared" si="89"/>
        <v>0.56764834868353076</v>
      </c>
      <c r="AM27" s="31" t="str">
        <f t="shared" si="68"/>
        <v>1+2319.25245161101i</v>
      </c>
      <c r="AN27" s="31">
        <f t="shared" si="90"/>
        <v>2319.2526671977075</v>
      </c>
      <c r="AO27" s="31">
        <f t="shared" si="91"/>
        <v>1.5703651534065339</v>
      </c>
      <c r="AP27" s="31" t="str">
        <f t="shared" si="69"/>
        <v>1+0.250452215934668i</v>
      </c>
      <c r="AQ27" s="31">
        <f t="shared" si="92"/>
        <v>1.0308861782304513</v>
      </c>
      <c r="AR27" s="31">
        <f t="shared" si="93"/>
        <v>0.24540423281629387</v>
      </c>
      <c r="AS27" s="58" t="str">
        <f t="shared" si="94"/>
        <v>-8.23052998624126+2.75196933646975i</v>
      </c>
      <c r="AT27" s="49">
        <f t="shared" si="95"/>
        <v>18.76881244488877</v>
      </c>
      <c r="AU27" s="61">
        <f t="shared" si="96"/>
        <v>161.51206777249112</v>
      </c>
      <c r="AV27" s="58" t="str">
        <f t="shared" si="70"/>
        <v>7152.79224561647+118332.756476034i</v>
      </c>
      <c r="AW27" s="64">
        <f t="shared" si="97"/>
        <v>101.47793882883983</v>
      </c>
      <c r="AX27" s="61">
        <f t="shared" si="98"/>
        <v>86.540883727147246</v>
      </c>
    </row>
    <row r="28" spans="1:50" x14ac:dyDescent="0.3">
      <c r="A28" s="31" t="s">
        <v>161</v>
      </c>
      <c r="N28" s="10">
        <v>10</v>
      </c>
      <c r="O28" s="50">
        <f t="shared" si="71"/>
        <v>12.58925411794168</v>
      </c>
      <c r="P28" s="48" t="str">
        <f t="shared" si="72"/>
        <v>51201.9230769231</v>
      </c>
      <c r="Q28" s="17" t="str">
        <f t="shared" si="63"/>
        <v>1+3.69643265577595i</v>
      </c>
      <c r="R28" s="17">
        <f t="shared" si="73"/>
        <v>3.8293099089374896</v>
      </c>
      <c r="S28" s="17">
        <f t="shared" si="74"/>
        <v>1.3065895431048087</v>
      </c>
      <c r="T28" s="17" t="str">
        <f t="shared" si="64"/>
        <v>1+2.37301849506604E-10i</v>
      </c>
      <c r="U28" s="17">
        <f t="shared" si="75"/>
        <v>1</v>
      </c>
      <c r="V28" s="17">
        <f t="shared" si="76"/>
        <v>2.37301849506604E-10</v>
      </c>
      <c r="W28" s="31" t="str">
        <f t="shared" si="65"/>
        <v>1-0.000128142998733566i</v>
      </c>
      <c r="X28" s="17">
        <f t="shared" si="77"/>
        <v>1.000000008210314</v>
      </c>
      <c r="Y28" s="17">
        <f t="shared" si="78"/>
        <v>-1.2814299803216983E-4</v>
      </c>
      <c r="Z28" s="31" t="str">
        <f t="shared" si="66"/>
        <v>0.999999936604272+0.00781974778891559i</v>
      </c>
      <c r="AA28" s="17">
        <f t="shared" si="79"/>
        <v>1.0000305103665739</v>
      </c>
      <c r="AB28" s="17">
        <f t="shared" si="80"/>
        <v>7.819588901971623E-3</v>
      </c>
      <c r="AC28" s="66" t="str">
        <f t="shared" si="81"/>
        <v>3388.9722942292-12934.0303069905i</v>
      </c>
      <c r="AD28" s="64">
        <f t="shared" si="82"/>
        <v>82.523050210923031</v>
      </c>
      <c r="AE28" s="61">
        <f t="shared" si="83"/>
        <v>-75.317437856807373</v>
      </c>
      <c r="AF28" s="31" t="str">
        <f t="shared" si="84"/>
        <v>-0.332666666666667</v>
      </c>
      <c r="AG28" s="31" t="str">
        <f t="shared" si="85"/>
        <v>79.1006165022013i</v>
      </c>
      <c r="AH28" s="31">
        <f t="shared" si="86"/>
        <v>79.100616502201305</v>
      </c>
      <c r="AI28" s="31">
        <f t="shared" si="87"/>
        <v>1.5707963267948966</v>
      </c>
      <c r="AJ28" s="31" t="str">
        <f t="shared" si="67"/>
        <v>0.999666174711944+0.652300623665058i</v>
      </c>
      <c r="AK28" s="31">
        <f t="shared" si="88"/>
        <v>1.1936618300410859</v>
      </c>
      <c r="AL28" s="31">
        <f t="shared" si="89"/>
        <v>0.57814362363942007</v>
      </c>
      <c r="AM28" s="31" t="str">
        <f t="shared" si="68"/>
        <v>1+2373.27478106351i</v>
      </c>
      <c r="AN28" s="31">
        <f t="shared" si="90"/>
        <v>2373.2749917428555</v>
      </c>
      <c r="AO28" s="31">
        <f t="shared" si="91"/>
        <v>1.5703749681099277</v>
      </c>
      <c r="AP28" s="31" t="str">
        <f t="shared" si="69"/>
        <v>1+0.256285997467132i</v>
      </c>
      <c r="AQ28" s="31">
        <f t="shared" si="92"/>
        <v>1.0323189974507505</v>
      </c>
      <c r="AR28" s="31">
        <f t="shared" si="93"/>
        <v>0.25088608978798554</v>
      </c>
      <c r="AS28" s="58" t="str">
        <f t="shared" si="94"/>
        <v>-8.17268279669101+2.77816863230281i</v>
      </c>
      <c r="AT28" s="49">
        <f t="shared" si="95"/>
        <v>18.722201882926981</v>
      </c>
      <c r="AU28" s="61">
        <f t="shared" si="96"/>
        <v>161.22538242214324</v>
      </c>
      <c r="AV28" s="58" t="str">
        <f t="shared" si="70"/>
        <v>8235.92172062545+115120.863505392i</v>
      </c>
      <c r="AW28" s="64">
        <f t="shared" si="97"/>
        <v>101.24525209385</v>
      </c>
      <c r="AX28" s="61">
        <f t="shared" si="98"/>
        <v>85.907944565335868</v>
      </c>
    </row>
    <row r="29" spans="1:50" x14ac:dyDescent="0.3">
      <c r="A29" s="31" t="s">
        <v>162</v>
      </c>
      <c r="B29" s="43">
        <f>Lm</f>
        <v>4.4999999999999996E-5</v>
      </c>
      <c r="C29" s="31" t="s">
        <v>75</v>
      </c>
      <c r="E29" s="31" t="s">
        <v>163</v>
      </c>
      <c r="N29" s="10">
        <v>11</v>
      </c>
      <c r="O29" s="50">
        <f t="shared" si="71"/>
        <v>12.882495516931346</v>
      </c>
      <c r="P29" s="48" t="str">
        <f t="shared" si="72"/>
        <v>51201.9230769231</v>
      </c>
      <c r="Q29" s="17" t="str">
        <f t="shared" si="63"/>
        <v>1+3.78253363309326i</v>
      </c>
      <c r="R29" s="17">
        <f t="shared" si="73"/>
        <v>3.9124877872629451</v>
      </c>
      <c r="S29" s="17">
        <f t="shared" si="74"/>
        <v>1.3123364870514151</v>
      </c>
      <c r="T29" s="17" t="str">
        <f t="shared" si="64"/>
        <v>1+2.4282931965537E-10i</v>
      </c>
      <c r="U29" s="17">
        <f t="shared" si="75"/>
        <v>1</v>
      </c>
      <c r="V29" s="17">
        <f t="shared" si="76"/>
        <v>2.4282931965536998E-10</v>
      </c>
      <c r="W29" s="31" t="str">
        <f t="shared" si="65"/>
        <v>1-0.0001311278326139i</v>
      </c>
      <c r="X29" s="17">
        <f t="shared" si="77"/>
        <v>1.0000000085972542</v>
      </c>
      <c r="Y29" s="17">
        <f t="shared" si="78"/>
        <v>-1.3112783186234047E-4</v>
      </c>
      <c r="Z29" s="31" t="str">
        <f t="shared" si="66"/>
        <v>0.999999933616524+0.00800189311380024i</v>
      </c>
      <c r="AA29" s="17">
        <f t="shared" si="79"/>
        <v>1.000031948252883</v>
      </c>
      <c r="AB29" s="17">
        <f t="shared" si="80"/>
        <v>8.0017228636661778E-3</v>
      </c>
      <c r="AC29" s="66" t="str">
        <f t="shared" si="81"/>
        <v>3241.76723290497-12678.4932822146i</v>
      </c>
      <c r="AD29" s="64">
        <f t="shared" si="82"/>
        <v>82.336388138013092</v>
      </c>
      <c r="AE29" s="61">
        <f t="shared" si="83"/>
        <v>-75.657320015421618</v>
      </c>
      <c r="AF29" s="31" t="str">
        <f t="shared" si="84"/>
        <v>-0.332666666666667</v>
      </c>
      <c r="AG29" s="31" t="str">
        <f t="shared" si="85"/>
        <v>80.9431065517899i</v>
      </c>
      <c r="AH29" s="31">
        <f t="shared" si="86"/>
        <v>80.943106551789896</v>
      </c>
      <c r="AI29" s="31">
        <f t="shared" si="87"/>
        <v>1.5707963267948966</v>
      </c>
      <c r="AJ29" s="31" t="str">
        <f t="shared" si="67"/>
        <v>0.999650442010816+0.667494657056819i</v>
      </c>
      <c r="AK29" s="31">
        <f t="shared" si="88"/>
        <v>1.2020191859582858</v>
      </c>
      <c r="AL29" s="31">
        <f t="shared" si="89"/>
        <v>0.58873705905602425</v>
      </c>
      <c r="AM29" s="31" t="str">
        <f t="shared" si="68"/>
        <v>1+2428.55545221893i</v>
      </c>
      <c r="AN29" s="31">
        <f t="shared" si="90"/>
        <v>2428.5556581026285</v>
      </c>
      <c r="AO29" s="31">
        <f t="shared" si="91"/>
        <v>1.5703845594034751</v>
      </c>
      <c r="AP29" s="31" t="str">
        <f t="shared" si="69"/>
        <v>1+0.262255665227799i</v>
      </c>
      <c r="AQ29" s="31">
        <f t="shared" si="92"/>
        <v>1.0338172149582707</v>
      </c>
      <c r="AR29" s="31">
        <f t="shared" si="93"/>
        <v>0.25647973280874697</v>
      </c>
      <c r="AS29" s="58" t="str">
        <f t="shared" si="94"/>
        <v>-8.11375032723669+2.80338061021092i</v>
      </c>
      <c r="AT29" s="49">
        <f t="shared" si="95"/>
        <v>18.674196787654246</v>
      </c>
      <c r="AU29" s="61">
        <f t="shared" si="96"/>
        <v>160.93946496006012</v>
      </c>
      <c r="AV29" s="58" t="str">
        <f t="shared" si="70"/>
        <v>9239.75228724194+111958.03642098i</v>
      </c>
      <c r="AW29" s="64">
        <f t="shared" si="97"/>
        <v>101.01058492566736</v>
      </c>
      <c r="AX29" s="61">
        <f t="shared" si="98"/>
        <v>85.282144944638517</v>
      </c>
    </row>
    <row r="30" spans="1:50" x14ac:dyDescent="0.3">
      <c r="N30" s="10">
        <v>12</v>
      </c>
      <c r="O30" s="50">
        <f t="shared" si="71"/>
        <v>13.182567385564075</v>
      </c>
      <c r="P30" s="48" t="str">
        <f t="shared" si="72"/>
        <v>51201.9230769231</v>
      </c>
      <c r="Q30" s="17" t="str">
        <f t="shared" si="63"/>
        <v>1+3.87064015981059i</v>
      </c>
      <c r="R30" s="17">
        <f t="shared" si="73"/>
        <v>3.9977312624460573</v>
      </c>
      <c r="S30" s="17">
        <f t="shared" si="74"/>
        <v>1.3179695393916813</v>
      </c>
      <c r="T30" s="17" t="str">
        <f t="shared" si="64"/>
        <v>1+2.48485541123643E-10i</v>
      </c>
      <c r="U30" s="17">
        <f t="shared" si="75"/>
        <v>1</v>
      </c>
      <c r="V30" s="17">
        <f t="shared" si="76"/>
        <v>2.4848554112364299E-10</v>
      </c>
      <c r="W30" s="31" t="str">
        <f t="shared" si="65"/>
        <v>1-0.000134182192206767i</v>
      </c>
      <c r="X30" s="17">
        <f t="shared" si="77"/>
        <v>1.0000000090024304</v>
      </c>
      <c r="Y30" s="17">
        <f t="shared" si="78"/>
        <v>-1.3418219140145645E-4</v>
      </c>
      <c r="Z30" s="31" t="str">
        <f t="shared" si="66"/>
        <v>0.999999930487967+0.00818828114833141i</v>
      </c>
      <c r="AA30" s="17">
        <f t="shared" si="79"/>
        <v>1.0000334539024696</v>
      </c>
      <c r="AB30" s="17">
        <f t="shared" si="80"/>
        <v>8.1880987223556419E-3</v>
      </c>
      <c r="AC30" s="66" t="str">
        <f t="shared" si="81"/>
        <v>3100.33887571759-12426.3937662145i</v>
      </c>
      <c r="AD30" s="64">
        <f t="shared" si="82"/>
        <v>82.149163034478903</v>
      </c>
      <c r="AE30" s="61">
        <f t="shared" si="83"/>
        <v>-75.990923691987874</v>
      </c>
      <c r="AF30" s="31" t="str">
        <f t="shared" si="84"/>
        <v>-0.332666666666667</v>
      </c>
      <c r="AG30" s="31" t="str">
        <f t="shared" si="85"/>
        <v>82.828513707881i</v>
      </c>
      <c r="AH30" s="31">
        <f t="shared" si="86"/>
        <v>82.828513707881001</v>
      </c>
      <c r="AI30" s="31">
        <f t="shared" si="87"/>
        <v>1.5707963267948966</v>
      </c>
      <c r="AJ30" s="31" t="str">
        <f t="shared" si="67"/>
        <v>0.999633967850326+0.683042604951088i</v>
      </c>
      <c r="AK30" s="31">
        <f t="shared" si="88"/>
        <v>1.2107085817233454</v>
      </c>
      <c r="AL30" s="31">
        <f t="shared" si="89"/>
        <v>0.59942479323364684</v>
      </c>
      <c r="AM30" s="31" t="str">
        <f t="shared" si="68"/>
        <v>1+2485.12377562085i</v>
      </c>
      <c r="AN30" s="31">
        <f t="shared" si="90"/>
        <v>2485.1239768180644</v>
      </c>
      <c r="AO30" s="31">
        <f t="shared" si="91"/>
        <v>1.5703939323726002</v>
      </c>
      <c r="AP30" s="31" t="str">
        <f t="shared" si="69"/>
        <v>1+0.268364384413534i</v>
      </c>
      <c r="AQ30" s="31">
        <f t="shared" si="92"/>
        <v>1.0353837176726584</v>
      </c>
      <c r="AR30" s="31">
        <f t="shared" si="93"/>
        <v>0.26218672696806056</v>
      </c>
      <c r="AS30" s="58" t="str">
        <f t="shared" si="94"/>
        <v>-8.05376596681191+2.82755078008089i</v>
      </c>
      <c r="AT30" s="49">
        <f t="shared" si="95"/>
        <v>18.624783759434756</v>
      </c>
      <c r="AU30" s="61">
        <f t="shared" si="96"/>
        <v>160.65462660973154</v>
      </c>
      <c r="AV30" s="58" t="str">
        <f t="shared" si="70"/>
        <v>10166.8556644139+108845.632811092i</v>
      </c>
      <c r="AW30" s="64">
        <f t="shared" si="97"/>
        <v>100.77394679391362</v>
      </c>
      <c r="AX30" s="61">
        <f t="shared" si="98"/>
        <v>84.663702917743677</v>
      </c>
    </row>
    <row r="31" spans="1:50" x14ac:dyDescent="0.3">
      <c r="A31" s="31" t="s">
        <v>124</v>
      </c>
      <c r="B31" s="43">
        <f>R_cs</f>
        <v>4.0000000000000001E-3</v>
      </c>
      <c r="C31" s="2" t="s">
        <v>35</v>
      </c>
      <c r="E31" s="31" t="s">
        <v>164</v>
      </c>
      <c r="N31" s="10">
        <v>13</v>
      </c>
      <c r="O31" s="50">
        <f t="shared" si="71"/>
        <v>13.489628825916535</v>
      </c>
      <c r="P31" s="48" t="str">
        <f t="shared" si="72"/>
        <v>51201.9230769231</v>
      </c>
      <c r="Q31" s="17" t="str">
        <f t="shared" si="63"/>
        <v>1+3.96079895117464i</v>
      </c>
      <c r="R31" s="17">
        <f t="shared" si="73"/>
        <v>4.0850860861952629</v>
      </c>
      <c r="S31" s="17">
        <f t="shared" si="74"/>
        <v>1.3234902562984252</v>
      </c>
      <c r="T31" s="17" t="str">
        <f t="shared" si="64"/>
        <v>1+2.54273512914915E-10i</v>
      </c>
      <c r="U31" s="17">
        <f t="shared" si="75"/>
        <v>1</v>
      </c>
      <c r="V31" s="17">
        <f t="shared" si="76"/>
        <v>2.5427351291491501E-10</v>
      </c>
      <c r="W31" s="31" t="str">
        <f t="shared" si="65"/>
        <v>1-0.000137307696974054i</v>
      </c>
      <c r="X31" s="17">
        <f t="shared" si="77"/>
        <v>1.0000000094267019</v>
      </c>
      <c r="Y31" s="17">
        <f t="shared" si="78"/>
        <v>-1.3730769611114819E-4</v>
      </c>
      <c r="Z31" s="31" t="str">
        <f t="shared" si="66"/>
        <v>0.999999927211966+0.00837901071791214i</v>
      </c>
      <c r="AA31" s="17">
        <f t="shared" si="79"/>
        <v>1.0000350305087058</v>
      </c>
      <c r="AB31" s="17">
        <f t="shared" si="80"/>
        <v>8.3788152453271383E-3</v>
      </c>
      <c r="AC31" s="66" t="str">
        <f t="shared" si="81"/>
        <v>2964.49502977667-12177.7901229162i</v>
      </c>
      <c r="AD31" s="64">
        <f t="shared" si="82"/>
        <v>81.961397012765374</v>
      </c>
      <c r="AE31" s="61">
        <f t="shared" si="83"/>
        <v>-76.318343800377519</v>
      </c>
      <c r="AF31" s="31" t="str">
        <f t="shared" si="84"/>
        <v>-0.332666666666667</v>
      </c>
      <c r="AG31" s="31" t="str">
        <f t="shared" si="85"/>
        <v>84.757837638305i</v>
      </c>
      <c r="AH31" s="31">
        <f t="shared" si="86"/>
        <v>84.757837638305006</v>
      </c>
      <c r="AI31" s="31">
        <f t="shared" si="87"/>
        <v>1.5707963267948966</v>
      </c>
      <c r="AJ31" s="31" t="str">
        <f t="shared" si="67"/>
        <v>0.999616717286572+0.69895271107564i</v>
      </c>
      <c r="AK31" s="31">
        <f t="shared" si="88"/>
        <v>1.219741150326072</v>
      </c>
      <c r="AL31" s="31">
        <f t="shared" si="89"/>
        <v>0.6102027596564743</v>
      </c>
      <c r="AM31" s="31" t="str">
        <f t="shared" si="68"/>
        <v>1+2543.0097445431i</v>
      </c>
      <c r="AN31" s="31">
        <f t="shared" si="90"/>
        <v>2543.0099411605065</v>
      </c>
      <c r="AO31" s="31">
        <f t="shared" si="91"/>
        <v>1.5704030919869683</v>
      </c>
      <c r="AP31" s="31" t="str">
        <f t="shared" si="69"/>
        <v>1+0.274615393948108i</v>
      </c>
      <c r="AQ31" s="31">
        <f t="shared" si="92"/>
        <v>1.0370215111526253</v>
      </c>
      <c r="AR31" s="31">
        <f t="shared" si="93"/>
        <v>0.26800861057336339</v>
      </c>
      <c r="AS31" s="58" t="str">
        <f t="shared" si="94"/>
        <v>-7.99276657530849+2.85062574674911i</v>
      </c>
      <c r="AT31" s="49">
        <f t="shared" si="95"/>
        <v>18.573951309036293</v>
      </c>
      <c r="AU31" s="61">
        <f t="shared" si="96"/>
        <v>160.37118878861531</v>
      </c>
      <c r="AV31" s="58" t="str">
        <f t="shared" si="70"/>
        <v>11019.8052762248+105784.899713558i</v>
      </c>
      <c r="AW31" s="64">
        <f t="shared" si="97"/>
        <v>100.53534832180169</v>
      </c>
      <c r="AX31" s="61">
        <f t="shared" si="98"/>
        <v>84.052844988237851</v>
      </c>
    </row>
    <row r="32" spans="1:50" x14ac:dyDescent="0.3">
      <c r="A32" s="31" t="s">
        <v>125</v>
      </c>
      <c r="B32" s="43">
        <f>R_sl</f>
        <v>3250</v>
      </c>
      <c r="C32" s="2" t="s">
        <v>35</v>
      </c>
      <c r="E32" s="31" t="s">
        <v>165</v>
      </c>
      <c r="N32" s="10">
        <v>14</v>
      </c>
      <c r="O32" s="50">
        <f t="shared" si="71"/>
        <v>13.803842646028857</v>
      </c>
      <c r="P32" s="48" t="str">
        <f t="shared" si="72"/>
        <v>51201.9230769231</v>
      </c>
      <c r="Q32" s="17" t="str">
        <f t="shared" si="63"/>
        <v>1+4.05305781056997i</v>
      </c>
      <c r="R32" s="17">
        <f t="shared" si="73"/>
        <v>4.174599096418989</v>
      </c>
      <c r="S32" s="17">
        <f t="shared" si="74"/>
        <v>1.3289002182635827</v>
      </c>
      <c r="T32" s="17" t="str">
        <f t="shared" si="64"/>
        <v>1+2.60196303888443E-10i</v>
      </c>
      <c r="U32" s="17">
        <f t="shared" si="75"/>
        <v>1</v>
      </c>
      <c r="V32" s="17">
        <f t="shared" si="76"/>
        <v>2.6019630388844299E-10</v>
      </c>
      <c r="W32" s="31" t="str">
        <f t="shared" si="65"/>
        <v>1-0.000140506004099759i</v>
      </c>
      <c r="X32" s="17">
        <f t="shared" si="77"/>
        <v>1.0000000098709685</v>
      </c>
      <c r="Y32" s="17">
        <f t="shared" si="78"/>
        <v>-1.4050600317513879E-4</v>
      </c>
      <c r="Z32" s="31" t="str">
        <f t="shared" si="66"/>
        <v>0.999999923781571+0.00857418294988483i</v>
      </c>
      <c r="AA32" s="17">
        <f t="shared" si="79"/>
        <v>1.0000366814154398</v>
      </c>
      <c r="AB32" s="17">
        <f t="shared" si="80"/>
        <v>8.5739734976512955E-3</v>
      </c>
      <c r="AC32" s="66" t="str">
        <f t="shared" si="81"/>
        <v>2834.04700385729-11932.7324307555i</v>
      </c>
      <c r="AD32" s="64">
        <f t="shared" si="82"/>
        <v>81.773111441651224</v>
      </c>
      <c r="AE32" s="61">
        <f t="shared" si="83"/>
        <v>-76.639676781659716</v>
      </c>
      <c r="AF32" s="31" t="str">
        <f t="shared" si="84"/>
        <v>-0.332666666666667</v>
      </c>
      <c r="AG32" s="31" t="str">
        <f t="shared" si="85"/>
        <v>86.7321012961475i</v>
      </c>
      <c r="AH32" s="31">
        <f t="shared" si="86"/>
        <v>86.732101296147505</v>
      </c>
      <c r="AI32" s="31">
        <f t="shared" si="87"/>
        <v>1.5707963267948966</v>
      </c>
      <c r="AJ32" s="31" t="str">
        <f t="shared" si="67"/>
        <v>0.999598653728795+0.715233411179338i</v>
      </c>
      <c r="AK32" s="31">
        <f t="shared" si="88"/>
        <v>1.2291282687350622</v>
      </c>
      <c r="AL32" s="31">
        <f t="shared" si="89"/>
        <v>0.62106669164148287</v>
      </c>
      <c r="AM32" s="31" t="str">
        <f t="shared" si="68"/>
        <v>1+2602.24405089263i</v>
      </c>
      <c r="AN32" s="31">
        <f t="shared" si="90"/>
        <v>2602.2442430344786</v>
      </c>
      <c r="AO32" s="31">
        <f t="shared" si="91"/>
        <v>1.5704120431031221</v>
      </c>
      <c r="AP32" s="31" t="str">
        <f t="shared" si="69"/>
        <v>1+0.281012008199518i</v>
      </c>
      <c r="AQ32" s="31">
        <f t="shared" si="92"/>
        <v>1.0387337237003167</v>
      </c>
      <c r="AR32" s="31">
        <f t="shared" si="93"/>
        <v>0.27394689119451809</v>
      </c>
      <c r="AS32" s="58" t="str">
        <f t="shared" si="94"/>
        <v>-7.93079245745357+2.87255346913849i</v>
      </c>
      <c r="AT32" s="49">
        <f t="shared" si="95"/>
        <v>18.521689984406894</v>
      </c>
      <c r="AU32" s="61">
        <f t="shared" si="96"/>
        <v>160.08948261529119</v>
      </c>
      <c r="AV32" s="58" t="str">
        <f t="shared" si="70"/>
        <v>11801.1733380078+102776.975911279i</v>
      </c>
      <c r="AW32" s="64">
        <f t="shared" si="97"/>
        <v>100.29480142605811</v>
      </c>
      <c r="AX32" s="61">
        <f t="shared" si="98"/>
        <v>83.449805833631459</v>
      </c>
    </row>
    <row r="33" spans="1:50" x14ac:dyDescent="0.3">
      <c r="A33" s="31" t="s">
        <v>111</v>
      </c>
      <c r="B33" s="21">
        <f>Rsl_int</f>
        <v>1333</v>
      </c>
      <c r="C33" s="2" t="s">
        <v>35</v>
      </c>
      <c r="E33" s="31" t="s">
        <v>166</v>
      </c>
      <c r="N33" s="10">
        <v>15</v>
      </c>
      <c r="O33" s="50">
        <f t="shared" si="71"/>
        <v>14.125375446227544</v>
      </c>
      <c r="P33" s="48" t="str">
        <f t="shared" si="72"/>
        <v>51201.9230769231</v>
      </c>
      <c r="Q33" s="17" t="str">
        <f t="shared" si="63"/>
        <v>1+4.14746565486503i</v>
      </c>
      <c r="R33" s="17">
        <f t="shared" si="73"/>
        <v>4.2663182439059817</v>
      </c>
      <c r="S33" s="17">
        <f t="shared" si="74"/>
        <v>1.3342010264817368</v>
      </c>
      <c r="T33" s="17" t="str">
        <f t="shared" si="64"/>
        <v>1+2.66257054386397E-10i</v>
      </c>
      <c r="U33" s="17">
        <f t="shared" si="75"/>
        <v>1</v>
      </c>
      <c r="V33" s="17">
        <f t="shared" si="76"/>
        <v>2.6625705438639699E-10</v>
      </c>
      <c r="W33" s="31" t="str">
        <f t="shared" si="65"/>
        <v>1-0.000143778809368654i</v>
      </c>
      <c r="X33" s="17">
        <f t="shared" si="77"/>
        <v>1.000000010336173</v>
      </c>
      <c r="Y33" s="17">
        <f t="shared" si="78"/>
        <v>-1.4377880837790558E-4</v>
      </c>
      <c r="Z33" s="31" t="str">
        <f t="shared" si="66"/>
        <v>0.999999920189507+0.00877390132715026i</v>
      </c>
      <c r="AA33" s="17">
        <f t="shared" si="79"/>
        <v>1.0000384101240907</v>
      </c>
      <c r="AB33" s="17">
        <f t="shared" si="80"/>
        <v>8.7736768955040643E-3</v>
      </c>
      <c r="AC33" s="66" t="str">
        <f t="shared" si="81"/>
        <v>2708.80980923205-11691.26293322i</v>
      </c>
      <c r="AD33" s="64">
        <f t="shared" si="82"/>
        <v>81.584326960236922</v>
      </c>
      <c r="AE33" s="61">
        <f t="shared" si="83"/>
        <v>-76.955020399997579</v>
      </c>
      <c r="AF33" s="31" t="str">
        <f t="shared" si="84"/>
        <v>-0.332666666666667</v>
      </c>
      <c r="AG33" s="31" t="str">
        <f t="shared" si="85"/>
        <v>88.7523514621322i</v>
      </c>
      <c r="AH33" s="31">
        <f t="shared" si="86"/>
        <v>88.752351462132197</v>
      </c>
      <c r="AI33" s="31">
        <f t="shared" si="87"/>
        <v>1.5707963267948966</v>
      </c>
      <c r="AJ33" s="31" t="str">
        <f t="shared" si="67"/>
        <v>0.999579738861767+0.731893337504875i</v>
      </c>
      <c r="AK33" s="31">
        <f t="shared" si="88"/>
        <v>1.2388815568192881</v>
      </c>
      <c r="AL33" s="31">
        <f t="shared" si="89"/>
        <v>0.63201212797702055</v>
      </c>
      <c r="AM33" s="31" t="str">
        <f t="shared" si="68"/>
        <v>1+2662.85810148271i</v>
      </c>
      <c r="AN33" s="31">
        <f t="shared" si="90"/>
        <v>2662.8582892508757</v>
      </c>
      <c r="AO33" s="31">
        <f t="shared" si="91"/>
        <v>1.5704207904670562</v>
      </c>
      <c r="AP33" s="31" t="str">
        <f t="shared" si="69"/>
        <v>1+0.287557618737308i</v>
      </c>
      <c r="AQ33" s="31">
        <f t="shared" si="92"/>
        <v>1.0405236105412845</v>
      </c>
      <c r="AR33" s="31">
        <f t="shared" si="93"/>
        <v>0.28000304149856797</v>
      </c>
      <c r="AS33" s="58" t="str">
        <f t="shared" si="94"/>
        <v>-7.8678873143065+2.89328352160007i</v>
      </c>
      <c r="AT33" s="49">
        <f t="shared" si="95"/>
        <v>18.467992495158395</v>
      </c>
      <c r="AU33" s="61">
        <f t="shared" si="96"/>
        <v>159.80984834788998</v>
      </c>
      <c r="AV33" s="58" t="str">
        <f t="shared" si="70"/>
        <v>12513.5280564533+99822.8941047032i</v>
      </c>
      <c r="AW33" s="64">
        <f t="shared" si="97"/>
        <v>100.05231945539532</v>
      </c>
      <c r="AX33" s="61">
        <f t="shared" si="98"/>
        <v>82.854827947892375</v>
      </c>
    </row>
    <row r="34" spans="1:50" x14ac:dyDescent="0.3">
      <c r="A34" s="31" t="s">
        <v>109</v>
      </c>
      <c r="B34" s="21">
        <f>Isl</f>
        <v>2.9999999999999997E-5</v>
      </c>
      <c r="C34" s="2" t="s">
        <v>12</v>
      </c>
      <c r="E34" s="31" t="s">
        <v>167</v>
      </c>
      <c r="N34" s="10">
        <v>16</v>
      </c>
      <c r="O34" s="50">
        <f t="shared" si="71"/>
        <v>14.454397707459275</v>
      </c>
      <c r="P34" s="48" t="str">
        <f t="shared" si="72"/>
        <v>51201.9230769231</v>
      </c>
      <c r="Q34" s="17" t="str">
        <f t="shared" si="63"/>
        <v>1+4.24407254034849i</v>
      </c>
      <c r="R34" s="17">
        <f t="shared" si="73"/>
        <v>4.360292619508475</v>
      </c>
      <c r="S34" s="17">
        <f t="shared" si="74"/>
        <v>1.3393942994335994</v>
      </c>
      <c r="T34" s="17" t="str">
        <f t="shared" si="64"/>
        <v>1+2.72458977898915E-10i</v>
      </c>
      <c r="U34" s="17">
        <f t="shared" si="75"/>
        <v>1</v>
      </c>
      <c r="V34" s="17">
        <f t="shared" si="76"/>
        <v>2.7245897789891499E-10</v>
      </c>
      <c r="W34" s="31" t="str">
        <f t="shared" si="65"/>
        <v>1-0.000147127848065414i</v>
      </c>
      <c r="X34" s="17">
        <f t="shared" si="77"/>
        <v>1.0000000108233018</v>
      </c>
      <c r="Y34" s="17">
        <f t="shared" si="78"/>
        <v>-1.4712784700380793E-4</v>
      </c>
      <c r="Z34" s="31" t="str">
        <f t="shared" si="66"/>
        <v>0.999999916428155+0.00897827174303567i</v>
      </c>
      <c r="AA34" s="17">
        <f t="shared" si="79"/>
        <v>1.0000402203010681</v>
      </c>
      <c r="AB34" s="17">
        <f t="shared" si="80"/>
        <v>8.978031260716425E-3</v>
      </c>
      <c r="AC34" s="66" t="str">
        <f t="shared" si="81"/>
        <v>2588.60233046135-11453.4164792847i</v>
      </c>
      <c r="AD34" s="64">
        <f t="shared" si="82"/>
        <v>81.395063492653691</v>
      </c>
      <c r="AE34" s="61">
        <f t="shared" si="83"/>
        <v>-77.264473550073802</v>
      </c>
      <c r="AF34" s="31" t="str">
        <f t="shared" si="84"/>
        <v>-0.332666666666667</v>
      </c>
      <c r="AG34" s="31" t="str">
        <f t="shared" si="85"/>
        <v>90.8196592996384i</v>
      </c>
      <c r="AH34" s="31">
        <f t="shared" si="86"/>
        <v>90.819659299638403</v>
      </c>
      <c r="AI34" s="31">
        <f t="shared" si="87"/>
        <v>1.5707963267948966</v>
      </c>
      <c r="AJ34" s="31" t="str">
        <f t="shared" si="67"/>
        <v>0.99955993256452+0.748941323365711i</v>
      </c>
      <c r="AK34" s="31">
        <f t="shared" si="88"/>
        <v>1.249012876087821</v>
      </c>
      <c r="AL34" s="31">
        <f t="shared" si="89"/>
        <v>0.64303441955535745</v>
      </c>
      <c r="AM34" s="31" t="str">
        <f t="shared" si="68"/>
        <v>1+2724.88403468529i</v>
      </c>
      <c r="AN34" s="31">
        <f t="shared" si="90"/>
        <v>2724.8842181793311</v>
      </c>
      <c r="AO34" s="31">
        <f t="shared" si="91"/>
        <v>1.5704293387167334</v>
      </c>
      <c r="AP34" s="31" t="str">
        <f t="shared" si="69"/>
        <v>1+0.294255696130828i</v>
      </c>
      <c r="AQ34" s="31">
        <f t="shared" si="92"/>
        <v>1.0423945580755103</v>
      </c>
      <c r="AR34" s="31">
        <f t="shared" si="93"/>
        <v>0.28617849487251301</v>
      </c>
      <c r="AS34" s="58" t="str">
        <f t="shared" si="94"/>
        <v>-7.80409817174913+2.91276735527966i</v>
      </c>
      <c r="AT34" s="49">
        <f t="shared" si="95"/>
        <v>18.412853833864336</v>
      </c>
      <c r="AU34" s="61">
        <f t="shared" si="96"/>
        <v>159.53263475342422</v>
      </c>
      <c r="AV34" s="58" t="str">
        <f t="shared" si="70"/>
        <v>13159.4309127436+96923.5829702358i</v>
      </c>
      <c r="AW34" s="64">
        <f t="shared" si="97"/>
        <v>99.807917326518023</v>
      </c>
      <c r="AX34" s="61">
        <f t="shared" si="98"/>
        <v>82.268161203350459</v>
      </c>
    </row>
    <row r="35" spans="1:50" x14ac:dyDescent="0.3">
      <c r="B35" s="26"/>
      <c r="C35" s="2"/>
      <c r="N35" s="10">
        <v>17</v>
      </c>
      <c r="O35" s="50">
        <f t="shared" si="71"/>
        <v>14.791083881682074</v>
      </c>
      <c r="P35" s="48" t="str">
        <f t="shared" si="72"/>
        <v>51201.9230769231</v>
      </c>
      <c r="Q35" s="17" t="str">
        <f t="shared" si="63"/>
        <v>1+4.34292968926979i</v>
      </c>
      <c r="R35" s="17">
        <f t="shared" si="73"/>
        <v>4.4565724818453241</v>
      </c>
      <c r="S35" s="17">
        <f t="shared" si="74"/>
        <v>1.3444816696646593</v>
      </c>
      <c r="T35" s="17" t="str">
        <f t="shared" si="64"/>
        <v>1+2.78805362767937E-10i</v>
      </c>
      <c r="U35" s="17">
        <f t="shared" si="75"/>
        <v>1</v>
      </c>
      <c r="V35" s="17">
        <f t="shared" si="76"/>
        <v>2.78805362767937E-10</v>
      </c>
      <c r="W35" s="31" t="str">
        <f t="shared" si="65"/>
        <v>1-0.000150554895894686i</v>
      </c>
      <c r="X35" s="17">
        <f t="shared" si="77"/>
        <v>1.0000000113333882</v>
      </c>
      <c r="Y35" s="17">
        <f t="shared" si="78"/>
        <v>-1.5055489475715461E-4</v>
      </c>
      <c r="Z35" s="31" t="str">
        <f t="shared" si="66"/>
        <v>0.999999912489535+0.00918740255744071i</v>
      </c>
      <c r="AA35" s="17">
        <f t="shared" si="79"/>
        <v>1.0000421157855455</v>
      </c>
      <c r="AB35" s="17">
        <f t="shared" si="80"/>
        <v>9.1871448765791733E-3</v>
      </c>
      <c r="AC35" s="66" t="str">
        <f t="shared" si="81"/>
        <v>2473.24746823372-11219.2209526052i</v>
      </c>
      <c r="AD35" s="64">
        <f t="shared" si="82"/>
        <v>81.205340263380151</v>
      </c>
      <c r="AE35" s="61">
        <f t="shared" si="83"/>
        <v>-77.568136075770525</v>
      </c>
      <c r="AF35" s="31" t="str">
        <f t="shared" si="84"/>
        <v>-0.332666666666667</v>
      </c>
      <c r="AG35" s="31" t="str">
        <f t="shared" si="85"/>
        <v>92.9351209226456i</v>
      </c>
      <c r="AH35" s="31">
        <f t="shared" si="86"/>
        <v>92.935120922645595</v>
      </c>
      <c r="AI35" s="31">
        <f t="shared" si="87"/>
        <v>1.5707963267948966</v>
      </c>
      <c r="AJ35" s="31" t="str">
        <f t="shared" si="67"/>
        <v>0.999539192825242+0.766386407829607i</v>
      </c>
      <c r="AK35" s="31">
        <f t="shared" si="88"/>
        <v>1.2595343282736304</v>
      </c>
      <c r="AL35" s="31">
        <f t="shared" si="89"/>
        <v>0.65412873699495211</v>
      </c>
      <c r="AM35" s="31" t="str">
        <f t="shared" si="68"/>
        <v>1+2788.35473747116i</v>
      </c>
      <c r="AN35" s="31">
        <f t="shared" si="90"/>
        <v>2788.3549167883675</v>
      </c>
      <c r="AO35" s="31">
        <f t="shared" si="91"/>
        <v>1.570437692384544</v>
      </c>
      <c r="AP35" s="31" t="str">
        <f t="shared" si="69"/>
        <v>1+0.301109791789372i</v>
      </c>
      <c r="AQ35" s="31">
        <f t="shared" si="92"/>
        <v>1.0443500881942984</v>
      </c>
      <c r="AR35" s="31">
        <f t="shared" si="93"/>
        <v>0.2924746408327859</v>
      </c>
      <c r="AS35" s="58" t="str">
        <f t="shared" si="94"/>
        <v>-7.73947528557836+2.93095855721588i</v>
      </c>
      <c r="AT35" s="49">
        <f t="shared" si="95"/>
        <v>18.356271393253326</v>
      </c>
      <c r="AU35" s="61">
        <f t="shared" si="96"/>
        <v>159.25819840818806</v>
      </c>
      <c r="AV35" s="58" t="str">
        <f t="shared" si="70"/>
        <v>13741.4340008198+94079.869117263i</v>
      </c>
      <c r="AW35" s="64">
        <f t="shared" si="97"/>
        <v>99.561611656633474</v>
      </c>
      <c r="AX35" s="61">
        <f t="shared" si="98"/>
        <v>81.69006233241754</v>
      </c>
    </row>
    <row r="36" spans="1:50" x14ac:dyDescent="0.3">
      <c r="A36" s="31" t="s">
        <v>190</v>
      </c>
      <c r="B36" s="21">
        <f>Gcomp</f>
        <v>0.14199999999999999</v>
      </c>
      <c r="C36" s="2"/>
      <c r="E36" s="31" t="s">
        <v>191</v>
      </c>
      <c r="N36" s="10">
        <v>18</v>
      </c>
      <c r="O36" s="50">
        <f t="shared" si="71"/>
        <v>15.135612484362087</v>
      </c>
      <c r="P36" s="48" t="str">
        <f t="shared" si="72"/>
        <v>51201.9230769231</v>
      </c>
      <c r="Q36" s="17" t="str">
        <f t="shared" si="63"/>
        <v>1+4.44408951699781i</v>
      </c>
      <c r="R36" s="17">
        <f t="shared" si="73"/>
        <v>4.555209285542194</v>
      </c>
      <c r="S36" s="17">
        <f t="shared" si="74"/>
        <v>1.3494647807537206</v>
      </c>
      <c r="T36" s="17" t="str">
        <f t="shared" si="64"/>
        <v>1+2.85299573930724E-10i</v>
      </c>
      <c r="U36" s="17">
        <f t="shared" si="75"/>
        <v>1</v>
      </c>
      <c r="V36" s="17">
        <f t="shared" si="76"/>
        <v>2.85299573930724E-10</v>
      </c>
      <c r="W36" s="31" t="str">
        <f t="shared" si="65"/>
        <v>1-0.000154061769922591i</v>
      </c>
      <c r="X36" s="17">
        <f t="shared" si="77"/>
        <v>1.0000000118675145</v>
      </c>
      <c r="Y36" s="17">
        <f t="shared" si="78"/>
        <v>-1.5406176870370417E-4</v>
      </c>
      <c r="Z36" s="31" t="str">
        <f t="shared" si="66"/>
        <v>0.999999908365294+0.00940140465429137i</v>
      </c>
      <c r="AA36" s="17">
        <f t="shared" si="79"/>
        <v>1.0000441005976035</v>
      </c>
      <c r="AB36" s="17">
        <f t="shared" si="80"/>
        <v>9.4011285449312528E-3</v>
      </c>
      <c r="AC36" s="66" t="str">
        <f t="shared" si="81"/>
        <v>2362.57225629482-10988.6976885285i</v>
      </c>
      <c r="AD36" s="64">
        <f t="shared" si="82"/>
        <v>81.015175813060978</v>
      </c>
      <c r="AE36" s="61">
        <f t="shared" si="83"/>
        <v>-77.866108599804278</v>
      </c>
      <c r="AF36" s="31" t="str">
        <f t="shared" si="84"/>
        <v>-0.332666666666667</v>
      </c>
      <c r="AG36" s="31" t="str">
        <f t="shared" si="85"/>
        <v>95.0998579769078i</v>
      </c>
      <c r="AH36" s="31">
        <f t="shared" si="86"/>
        <v>95.099857976907799</v>
      </c>
      <c r="AI36" s="31">
        <f t="shared" si="87"/>
        <v>1.5707963267948966</v>
      </c>
      <c r="AJ36" s="31" t="str">
        <f t="shared" si="67"/>
        <v>0.999517475652164+0.784237840511257i</v>
      </c>
      <c r="AK36" s="31">
        <f t="shared" si="88"/>
        <v>1.2704582537902747</v>
      </c>
      <c r="AL36" s="31">
        <f t="shared" si="89"/>
        <v>0.66529007923932804</v>
      </c>
      <c r="AM36" s="31" t="str">
        <f t="shared" si="68"/>
        <v>1+2853.30386284708i</v>
      </c>
      <c r="AN36" s="31">
        <f t="shared" si="90"/>
        <v>2853.3040380825296</v>
      </c>
      <c r="AO36" s="31">
        <f t="shared" si="91"/>
        <v>1.5704458558997081</v>
      </c>
      <c r="AP36" s="31" t="str">
        <f t="shared" si="69"/>
        <v>1+0.308123539845181i</v>
      </c>
      <c r="AQ36" s="31">
        <f t="shared" si="92"/>
        <v>1.0463938626572333</v>
      </c>
      <c r="AR36" s="31">
        <f t="shared" si="93"/>
        <v>0.29889282022120367</v>
      </c>
      <c r="AS36" s="58" t="str">
        <f t="shared" si="94"/>
        <v>-7.67407202306621+2.94781310479088i</v>
      </c>
      <c r="AT36" s="49">
        <f t="shared" si="95"/>
        <v>18.298245078362847</v>
      </c>
      <c r="AU36" s="61">
        <f t="shared" si="96"/>
        <v>158.98690292996341</v>
      </c>
      <c r="AV36" s="58" t="str">
        <f t="shared" si="70"/>
        <v>14262.0773963251+91292.4789595901i</v>
      </c>
      <c r="AW36" s="64">
        <f t="shared" si="97"/>
        <v>99.313420891423817</v>
      </c>
      <c r="AX36" s="61">
        <f t="shared" si="98"/>
        <v>81.120794330159114</v>
      </c>
    </row>
    <row r="37" spans="1:50" x14ac:dyDescent="0.3">
      <c r="N37" s="10">
        <v>19</v>
      </c>
      <c r="O37" s="50">
        <f t="shared" si="71"/>
        <v>15.488166189124817</v>
      </c>
      <c r="P37" s="48" t="str">
        <f t="shared" si="72"/>
        <v>51201.9230769231</v>
      </c>
      <c r="Q37" s="17" t="str">
        <f t="shared" si="63"/>
        <v>1+4.54760565981222i</v>
      </c>
      <c r="R37" s="17">
        <f t="shared" si="73"/>
        <v>4.6562557100266879</v>
      </c>
      <c r="S37" s="17">
        <f t="shared" si="74"/>
        <v>1.3543452844657002</v>
      </c>
      <c r="T37" s="17" t="str">
        <f t="shared" si="64"/>
        <v>1+2.91945054703994E-10i</v>
      </c>
      <c r="U37" s="17">
        <f t="shared" si="75"/>
        <v>1</v>
      </c>
      <c r="V37" s="17">
        <f t="shared" si="76"/>
        <v>2.9194505470399399E-10</v>
      </c>
      <c r="W37" s="31" t="str">
        <f t="shared" si="65"/>
        <v>1-0.000157650329540157i</v>
      </c>
      <c r="X37" s="17">
        <f t="shared" si="77"/>
        <v>1.0000000124268131</v>
      </c>
      <c r="Y37" s="17">
        <f t="shared" si="78"/>
        <v>-1.5765032823409622E-4</v>
      </c>
      <c r="Z37" s="31" t="str">
        <f t="shared" si="66"/>
        <v>0.999999904046683+0.00962039150033202i</v>
      </c>
      <c r="AA37" s="17">
        <f t="shared" si="79"/>
        <v>1.0000461789467499</v>
      </c>
      <c r="AB37" s="17">
        <f t="shared" si="80"/>
        <v>9.620095644560147E-3</v>
      </c>
      <c r="AC37" s="66" t="str">
        <f t="shared" si="81"/>
        <v>2256.40795444136-10761.8618781612i</v>
      </c>
      <c r="AD37" s="64">
        <f t="shared" si="82"/>
        <v>80.824588014730949</v>
      </c>
      <c r="AE37" s="61">
        <f t="shared" si="83"/>
        <v>-78.158492363994426</v>
      </c>
      <c r="AF37" s="31" t="str">
        <f t="shared" si="84"/>
        <v>-0.332666666666667</v>
      </c>
      <c r="AG37" s="31" t="str">
        <f t="shared" si="85"/>
        <v>97.3150182346647i</v>
      </c>
      <c r="AH37" s="31">
        <f t="shared" si="86"/>
        <v>97.315018234664706</v>
      </c>
      <c r="AI37" s="31">
        <f t="shared" si="87"/>
        <v>1.5707963267948966</v>
      </c>
      <c r="AJ37" s="31" t="str">
        <f t="shared" si="67"/>
        <v>0.999494734980251+0.802505086476561i</v>
      </c>
      <c r="AK37" s="31">
        <f t="shared" si="88"/>
        <v>1.2817972300929641</v>
      </c>
      <c r="AL37" s="31">
        <f t="shared" si="89"/>
        <v>0.67651328311028502</v>
      </c>
      <c r="AM37" s="31" t="str">
        <f t="shared" si="68"/>
        <v>1+2919.76584769903i</v>
      </c>
      <c r="AN37" s="31">
        <f t="shared" si="90"/>
        <v>2919.7660189456342</v>
      </c>
      <c r="AO37" s="31">
        <f t="shared" si="91"/>
        <v>1.5704538335906255</v>
      </c>
      <c r="AP37" s="31" t="str">
        <f t="shared" si="69"/>
        <v>1+0.315300659080314i</v>
      </c>
      <c r="AQ37" s="31">
        <f t="shared" si="92"/>
        <v>1.0485296875227141</v>
      </c>
      <c r="AR37" s="31">
        <f t="shared" si="93"/>
        <v>0.30543432018838207</v>
      </c>
      <c r="AS37" s="58" t="str">
        <f t="shared" si="94"/>
        <v>-7.60794472112363+2.96328961310033i</v>
      </c>
      <c r="AT37" s="49">
        <f t="shared" si="95"/>
        <v>18.238777412709744</v>
      </c>
      <c r="AU37" s="61">
        <f t="shared" si="96"/>
        <v>158.71911814336679</v>
      </c>
      <c r="AV37" s="58" t="str">
        <f t="shared" si="70"/>
        <v>14723.886535482+88562.0405197312i</v>
      </c>
      <c r="AW37" s="64">
        <f t="shared" si="97"/>
        <v>99.063365427440701</v>
      </c>
      <c r="AX37" s="61">
        <f t="shared" si="98"/>
        <v>80.560625779372359</v>
      </c>
    </row>
    <row r="38" spans="1:50" x14ac:dyDescent="0.3">
      <c r="N38" s="10">
        <v>20</v>
      </c>
      <c r="O38" s="50">
        <f t="shared" si="71"/>
        <v>15.848931924611136</v>
      </c>
      <c r="P38" s="48" t="str">
        <f t="shared" si="72"/>
        <v>51201.9230769231</v>
      </c>
      <c r="Q38" s="17" t="str">
        <f t="shared" si="63"/>
        <v>1+4.65353300334214i</v>
      </c>
      <c r="R38" s="17">
        <f t="shared" si="73"/>
        <v>4.7597656888963051</v>
      </c>
      <c r="S38" s="17">
        <f t="shared" si="74"/>
        <v>1.3591248380827285</v>
      </c>
      <c r="T38" s="17" t="str">
        <f t="shared" si="64"/>
        <v>1+2.98745328609619E-10i</v>
      </c>
      <c r="U38" s="17">
        <f t="shared" si="75"/>
        <v>1</v>
      </c>
      <c r="V38" s="17">
        <f t="shared" si="76"/>
        <v>2.98745328609619E-10</v>
      </c>
      <c r="W38" s="31" t="str">
        <f t="shared" si="65"/>
        <v>1-0.000161322477449194i</v>
      </c>
      <c r="X38" s="17">
        <f t="shared" si="77"/>
        <v>1.0000000130124709</v>
      </c>
      <c r="Y38" s="17">
        <f t="shared" si="78"/>
        <v>-1.6132247604972466E-4</v>
      </c>
      <c r="Z38" s="31" t="str">
        <f t="shared" si="66"/>
        <v>0.999999899524543+0.00984447920528709i</v>
      </c>
      <c r="AA38" s="17">
        <f t="shared" si="79"/>
        <v>1.000048355240845</v>
      </c>
      <c r="AB38" s="17">
        <f t="shared" si="80"/>
        <v>9.8441621909438302E-3</v>
      </c>
      <c r="AC38" s="66" t="str">
        <f t="shared" si="81"/>
        <v>2154.59011948555-10538.7229588971i</v>
      </c>
      <c r="AD38" s="64">
        <f t="shared" si="82"/>
        <v>80.633594090354364</v>
      </c>
      <c r="AE38" s="61">
        <f t="shared" si="83"/>
        <v>-78.445389079826441</v>
      </c>
      <c r="AF38" s="31" t="str">
        <f t="shared" si="84"/>
        <v>-0.332666666666667</v>
      </c>
      <c r="AG38" s="31" t="str">
        <f t="shared" si="85"/>
        <v>99.5817762032062i</v>
      </c>
      <c r="AH38" s="31">
        <f t="shared" si="86"/>
        <v>99.581776203206203</v>
      </c>
      <c r="AI38" s="31">
        <f t="shared" si="87"/>
        <v>1.5707963267948966</v>
      </c>
      <c r="AJ38" s="31" t="str">
        <f t="shared" si="67"/>
        <v>0.999470922573489+0.821197831261125i</v>
      </c>
      <c r="AK38" s="31">
        <f t="shared" si="88"/>
        <v>1.2935640699779336</v>
      </c>
      <c r="AL38" s="31">
        <f t="shared" si="89"/>
        <v>0.68779303378387757</v>
      </c>
      <c r="AM38" s="31" t="str">
        <f t="shared" si="68"/>
        <v>1+2987.77593105109i</v>
      </c>
      <c r="AN38" s="31">
        <f t="shared" si="90"/>
        <v>2987.7760983996454</v>
      </c>
      <c r="AO38" s="31">
        <f t="shared" si="91"/>
        <v>1.5704616296871696</v>
      </c>
      <c r="AP38" s="31" t="str">
        <f t="shared" si="69"/>
        <v>1+0.322644954898388i</v>
      </c>
      <c r="AQ38" s="31">
        <f t="shared" si="92"/>
        <v>1.0507615176248999</v>
      </c>
      <c r="AR38" s="31">
        <f t="shared" si="93"/>
        <v>0.31210036896692506</v>
      </c>
      <c r="AS38" s="58" t="str">
        <f t="shared" si="94"/>
        <v>-7.5411525214874+2.97734957279029i</v>
      </c>
      <c r="AT38" s="49">
        <f t="shared" si="95"/>
        <v>18.177873637535708</v>
      </c>
      <c r="AU38" s="61">
        <f t="shared" si="96"/>
        <v>158.45521918027757</v>
      </c>
      <c r="AV38" s="58" t="str">
        <f t="shared" si="70"/>
        <v>15129.3695870972+85889.0851865325i</v>
      </c>
      <c r="AW38" s="64">
        <f t="shared" si="97"/>
        <v>98.811467727890076</v>
      </c>
      <c r="AX38" s="61">
        <f t="shared" si="98"/>
        <v>80.00983010045114</v>
      </c>
    </row>
    <row r="39" spans="1:50" x14ac:dyDescent="0.3">
      <c r="A39" s="31" t="s">
        <v>504</v>
      </c>
      <c r="N39" s="10">
        <v>21</v>
      </c>
      <c r="O39" s="50">
        <f t="shared" si="71"/>
        <v>16.218100973589298</v>
      </c>
      <c r="P39" s="48" t="str">
        <f t="shared" si="72"/>
        <v>51201.9230769231</v>
      </c>
      <c r="Q39" s="17" t="str">
        <f t="shared" si="63"/>
        <v>1+4.76192771166721i</v>
      </c>
      <c r="R39" s="17">
        <f t="shared" si="73"/>
        <v>4.865794439877634</v>
      </c>
      <c r="S39" s="17">
        <f t="shared" si="74"/>
        <v>1.3638051019073736</v>
      </c>
      <c r="T39" s="17" t="str">
        <f t="shared" si="64"/>
        <v>1+3.05704001242833E-10i</v>
      </c>
      <c r="U39" s="17">
        <f t="shared" si="75"/>
        <v>1</v>
      </c>
      <c r="V39" s="17">
        <f t="shared" si="76"/>
        <v>3.05704001242833E-10</v>
      </c>
      <c r="W39" s="31" t="str">
        <f t="shared" si="65"/>
        <v>1-0.00016508016067113i</v>
      </c>
      <c r="X39" s="17">
        <f t="shared" si="77"/>
        <v>1.0000000136257297</v>
      </c>
      <c r="Y39" s="17">
        <f t="shared" si="78"/>
        <v>-1.6508015917157161E-4</v>
      </c>
      <c r="Z39" s="31" t="str">
        <f t="shared" si="66"/>
        <v>0.99999989478928+0.0100737865834239i</v>
      </c>
      <c r="AA39" s="17">
        <f t="shared" si="79"/>
        <v>1.000050634095444</v>
      </c>
      <c r="AB39" s="17">
        <f t="shared" si="80"/>
        <v>1.0073446897363954E-2</v>
      </c>
      <c r="AC39" s="66" t="str">
        <f t="shared" si="81"/>
        <v>2056.95865601933-10319.2849909545i</v>
      </c>
      <c r="AD39" s="64">
        <f t="shared" si="82"/>
        <v>80.442210627597802</v>
      </c>
      <c r="AE39" s="61">
        <f t="shared" si="83"/>
        <v>-78.72690078895603</v>
      </c>
      <c r="AF39" s="31" t="str">
        <f t="shared" si="84"/>
        <v>-0.332666666666667</v>
      </c>
      <c r="AG39" s="31" t="str">
        <f t="shared" si="85"/>
        <v>101.901333747611i</v>
      </c>
      <c r="AH39" s="31">
        <f t="shared" si="86"/>
        <v>101.90133374761101</v>
      </c>
      <c r="AI39" s="31">
        <f t="shared" si="87"/>
        <v>1.5707963267948966</v>
      </c>
      <c r="AJ39" s="31" t="str">
        <f t="shared" si="67"/>
        <v>0.999445987922571+0.840325986005662i</v>
      </c>
      <c r="AK39" s="31">
        <f t="shared" si="88"/>
        <v>1.30577181985633</v>
      </c>
      <c r="AL39" s="31">
        <f t="shared" si="89"/>
        <v>0.69912387614829541</v>
      </c>
      <c r="AM39" s="31" t="str">
        <f t="shared" si="68"/>
        <v>1+3057.37017274968i</v>
      </c>
      <c r="AN39" s="31">
        <f t="shared" si="90"/>
        <v>3057.3703362889178</v>
      </c>
      <c r="AO39" s="31">
        <f t="shared" si="91"/>
        <v>1.5704692483229299</v>
      </c>
      <c r="AP39" s="31" t="str">
        <f t="shared" si="69"/>
        <v>1+0.33016032134226i</v>
      </c>
      <c r="AQ39" s="31">
        <f t="shared" si="92"/>
        <v>1.0530934610891971</v>
      </c>
      <c r="AR39" s="31">
        <f t="shared" si="93"/>
        <v>0.31889213043824338</v>
      </c>
      <c r="AS39" s="58" t="str">
        <f t="shared" si="94"/>
        <v>-7.47375718363923+2.98995757592497i</v>
      </c>
      <c r="AT39" s="49">
        <f t="shared" si="95"/>
        <v>18.115541803197406</v>
      </c>
      <c r="AU39" s="61">
        <f t="shared" si="96"/>
        <v>158.19558551790934</v>
      </c>
      <c r="AV39" s="58" t="str">
        <f t="shared" si="70"/>
        <v>15481.0148049599+83274.0494480961i</v>
      </c>
      <c r="AW39" s="64">
        <f t="shared" si="97"/>
        <v>98.557752430795205</v>
      </c>
      <c r="AX39" s="61">
        <f t="shared" si="98"/>
        <v>79.46868472895332</v>
      </c>
    </row>
    <row r="40" spans="1:50" x14ac:dyDescent="0.3">
      <c r="A40" s="31" t="s">
        <v>505</v>
      </c>
      <c r="B40" s="32">
        <f>((Np/NS1_)*(VOUT1+VD))/((VIN_var+(Np/NS1_)*(VOUT1+VD)))</f>
        <v>0.92592592592592593</v>
      </c>
      <c r="C40" s="31" t="s">
        <v>14</v>
      </c>
      <c r="E40" s="31" t="s">
        <v>506</v>
      </c>
      <c r="N40" s="10">
        <v>22</v>
      </c>
      <c r="O40" s="50">
        <f t="shared" si="71"/>
        <v>16.595869074375614</v>
      </c>
      <c r="P40" s="48" t="str">
        <f t="shared" si="72"/>
        <v>51201.9230769231</v>
      </c>
      <c r="Q40" s="17" t="str">
        <f t="shared" si="63"/>
        <v>1+4.8728472570966i</v>
      </c>
      <c r="R40" s="17">
        <f t="shared" si="73"/>
        <v>4.9743984953955849</v>
      </c>
      <c r="S40" s="17">
        <f t="shared" si="74"/>
        <v>1.3683877369316371</v>
      </c>
      <c r="T40" s="17" t="str">
        <f t="shared" si="64"/>
        <v>1+3.12824762183979E-10i</v>
      </c>
      <c r="U40" s="17">
        <f t="shared" si="75"/>
        <v>1</v>
      </c>
      <c r="V40" s="17">
        <f t="shared" si="76"/>
        <v>3.1282476218397899E-10</v>
      </c>
      <c r="W40" s="31" t="str">
        <f t="shared" si="65"/>
        <v>1-0.000168925371579349i</v>
      </c>
      <c r="X40" s="17">
        <f t="shared" si="77"/>
        <v>1.0000000142678904</v>
      </c>
      <c r="Y40" s="17">
        <f t="shared" si="78"/>
        <v>-1.6892536997254322E-4</v>
      </c>
      <c r="Z40" s="31" t="str">
        <f t="shared" si="66"/>
        <v>0.999999889830852+0.0103084352165495i</v>
      </c>
      <c r="AA40" s="17">
        <f t="shared" si="79"/>
        <v>1.0000530203435865</v>
      </c>
      <c r="AB40" s="17">
        <f t="shared" si="80"/>
        <v>1.030807123742076E-2</v>
      </c>
      <c r="AC40" s="66" t="str">
        <f t="shared" si="81"/>
        <v>1963.35784872546-10103.5470196049i</v>
      </c>
      <c r="AD40" s="64">
        <f t="shared" si="82"/>
        <v>80.250453596759542</v>
      </c>
      <c r="AE40" s="61">
        <f t="shared" si="83"/>
        <v>-79.003129733293775</v>
      </c>
      <c r="AF40" s="31" t="str">
        <f t="shared" si="84"/>
        <v>-0.332666666666667</v>
      </c>
      <c r="AG40" s="31" t="str">
        <f t="shared" si="85"/>
        <v>104.274920727993i</v>
      </c>
      <c r="AH40" s="31">
        <f t="shared" si="86"/>
        <v>104.27492072799301</v>
      </c>
      <c r="AI40" s="31">
        <f t="shared" si="87"/>
        <v>1.5707963267948966</v>
      </c>
      <c r="AJ40" s="31" t="str">
        <f t="shared" si="67"/>
        <v>0.99941987813776+0.85989969271101i</v>
      </c>
      <c r="AK40" s="31">
        <f t="shared" si="88"/>
        <v>1.3184337580407233</v>
      </c>
      <c r="AL40" s="31">
        <f t="shared" si="89"/>
        <v>0.71050022699361637</v>
      </c>
      <c r="AM40" s="31" t="str">
        <f t="shared" si="68"/>
        <v>1+3128.58547258295i</v>
      </c>
      <c r="AN40" s="31">
        <f t="shared" si="90"/>
        <v>3128.5856323995799</v>
      </c>
      <c r="AO40" s="31">
        <f t="shared" si="91"/>
        <v>1.5704766935374044</v>
      </c>
      <c r="AP40" s="31" t="str">
        <f t="shared" si="69"/>
        <v>1+0.337850743158697i</v>
      </c>
      <c r="AQ40" s="31">
        <f t="shared" si="92"/>
        <v>1.0555297838776905</v>
      </c>
      <c r="AR40" s="31">
        <f t="shared" si="93"/>
        <v>0.32581069849844879</v>
      </c>
      <c r="AS40" s="58" t="str">
        <f t="shared" si="94"/>
        <v>-7.40582287645655+3.00108152750476i</v>
      </c>
      <c r="AT40" s="49">
        <f t="shared" si="95"/>
        <v>18.051792851792431</v>
      </c>
      <c r="AU40" s="61">
        <f t="shared" si="96"/>
        <v>157.94059995770277</v>
      </c>
      <c r="AV40" s="58" t="str">
        <f t="shared" si="70"/>
        <v>15781.2878520505+80717.2766228358i</v>
      </c>
      <c r="AW40" s="64">
        <f t="shared" si="97"/>
        <v>98.302246448551955</v>
      </c>
      <c r="AX40" s="61">
        <f t="shared" si="98"/>
        <v>78.937470224409026</v>
      </c>
    </row>
    <row r="41" spans="1:50" x14ac:dyDescent="0.3">
      <c r="A41" s="31" t="s">
        <v>189</v>
      </c>
      <c r="B41" s="27">
        <f>Gcomp*((VOUT1^2)/(Pout_var))*((1-Dc_var_ccm)/((1+Dc_var_ccm)*((Acs*R_cs)/(Np/NS1_))))</f>
        <v>51201.923076923063</v>
      </c>
      <c r="C41" s="31" t="s">
        <v>144</v>
      </c>
      <c r="E41" s="31" t="s">
        <v>193</v>
      </c>
      <c r="N41" s="10">
        <v>23</v>
      </c>
      <c r="O41" s="50">
        <f t="shared" si="71"/>
        <v>16.982436524617448</v>
      </c>
      <c r="P41" s="48" t="str">
        <f t="shared" si="72"/>
        <v>51201.9230769231</v>
      </c>
      <c r="Q41" s="17" t="str">
        <f t="shared" si="63"/>
        <v>1+4.98635045064143i</v>
      </c>
      <c r="R41" s="17">
        <f t="shared" si="73"/>
        <v>5.0856357337713431</v>
      </c>
      <c r="S41" s="17">
        <f t="shared" si="74"/>
        <v>1.3728744026652435</v>
      </c>
      <c r="T41" s="17" t="str">
        <f t="shared" si="64"/>
        <v>1+3.20111386954758E-10i</v>
      </c>
      <c r="U41" s="17">
        <f t="shared" si="75"/>
        <v>1</v>
      </c>
      <c r="V41" s="17">
        <f t="shared" si="76"/>
        <v>3.2011138695475798E-10</v>
      </c>
      <c r="W41" s="31" t="str">
        <f t="shared" si="65"/>
        <v>1-0.000172860148955569i</v>
      </c>
      <c r="X41" s="17">
        <f t="shared" si="77"/>
        <v>1.0000000149403154</v>
      </c>
      <c r="Y41" s="17">
        <f t="shared" si="78"/>
        <v>-1.7286014723384561E-4</v>
      </c>
      <c r="Z41" s="31" t="str">
        <f t="shared" si="66"/>
        <v>0.99999988463874+0.0105485495184753i</v>
      </c>
      <c r="AA41" s="17">
        <f t="shared" si="79"/>
        <v>1.0000555190460363</v>
      </c>
      <c r="AB41" s="17">
        <f t="shared" si="80"/>
        <v>1.0548159508981532E-2</v>
      </c>
      <c r="AC41" s="66" t="str">
        <f t="shared" si="81"/>
        <v>1873.6363778994-9891.50342289638i</v>
      </c>
      <c r="AD41" s="64">
        <f t="shared" si="82"/>
        <v>80.058338367788622</v>
      </c>
      <c r="AE41" s="61">
        <f t="shared" si="83"/>
        <v>-79.274178234299299</v>
      </c>
      <c r="AF41" s="31" t="str">
        <f t="shared" si="84"/>
        <v>-0.332666666666667</v>
      </c>
      <c r="AG41" s="31" t="str">
        <f t="shared" si="85"/>
        <v>106.703795651586i</v>
      </c>
      <c r="AH41" s="31">
        <f t="shared" si="86"/>
        <v>106.70379565158601</v>
      </c>
      <c r="AI41" s="31">
        <f t="shared" si="87"/>
        <v>1.5707963267948966</v>
      </c>
      <c r="AJ41" s="31" t="str">
        <f t="shared" si="67"/>
        <v>0.9993925378367+0.87992932961555i</v>
      </c>
      <c r="AK41" s="31">
        <f t="shared" si="88"/>
        <v>1.331563393083991</v>
      </c>
      <c r="AL41" s="31">
        <f t="shared" si="89"/>
        <v>0.72191638797451785</v>
      </c>
      <c r="AM41" s="31" t="str">
        <f t="shared" si="68"/>
        <v>1+3201.4595898455i</v>
      </c>
      <c r="AN41" s="31">
        <f t="shared" si="90"/>
        <v>3201.4597460242599</v>
      </c>
      <c r="AO41" s="31">
        <f t="shared" si="91"/>
        <v>1.5704839692781409</v>
      </c>
      <c r="AP41" s="31" t="str">
        <f t="shared" si="69"/>
        <v>1+0.345720297911139i</v>
      </c>
      <c r="AQ41" s="31">
        <f t="shared" si="92"/>
        <v>1.0580749143552013</v>
      </c>
      <c r="AR41" s="31">
        <f t="shared" si="93"/>
        <v>0.33285709123059337</v>
      </c>
      <c r="AS41" s="58" t="str">
        <f t="shared" si="94"/>
        <v>-7.33741594988154+3.0106928403465i</v>
      </c>
      <c r="AT41" s="49">
        <f t="shared" si="95"/>
        <v>17.986640690143531</v>
      </c>
      <c r="AU41" s="61">
        <f t="shared" si="96"/>
        <v>157.69064754883595</v>
      </c>
      <c r="AV41" s="58" t="str">
        <f t="shared" si="70"/>
        <v>16032.6290920997+78219.0186118222i</v>
      </c>
      <c r="AW41" s="64">
        <f t="shared" si="97"/>
        <v>98.044979057932139</v>
      </c>
      <c r="AX41" s="61">
        <f t="shared" si="98"/>
        <v>78.416469314536656</v>
      </c>
    </row>
    <row r="42" spans="1:50" x14ac:dyDescent="0.3">
      <c r="A42" s="31" t="s">
        <v>206</v>
      </c>
      <c r="B42" s="29">
        <f>(1+Dc_var_ccm)/(Cout_total*((VOUT1^2)/Pout_var))</f>
        <v>21.399176954732514</v>
      </c>
      <c r="C42" s="31" t="s">
        <v>205</v>
      </c>
      <c r="E42" s="31" t="s">
        <v>196</v>
      </c>
      <c r="N42" s="10">
        <v>24</v>
      </c>
      <c r="O42" s="50">
        <f t="shared" si="71"/>
        <v>17.378008287493756</v>
      </c>
      <c r="P42" s="48" t="str">
        <f t="shared" si="72"/>
        <v>51201.9230769231</v>
      </c>
      <c r="Q42" s="17" t="str">
        <f t="shared" si="63"/>
        <v>1+5.10249747319737i</v>
      </c>
      <c r="R42" s="17">
        <f t="shared" si="73"/>
        <v>5.199565411069039</v>
      </c>
      <c r="S42" s="17">
        <f t="shared" si="74"/>
        <v>1.3772667551167093</v>
      </c>
      <c r="T42" s="17" t="str">
        <f t="shared" si="64"/>
        <v>1+3.27567739020078E-10i</v>
      </c>
      <c r="U42" s="17">
        <f t="shared" si="75"/>
        <v>1</v>
      </c>
      <c r="V42" s="17">
        <f t="shared" si="76"/>
        <v>3.2756773902007801E-10</v>
      </c>
      <c r="W42" s="31" t="str">
        <f t="shared" si="65"/>
        <v>1-0.000176886579070842i</v>
      </c>
      <c r="X42" s="17">
        <f t="shared" si="77"/>
        <v>1.0000000156444309</v>
      </c>
      <c r="Y42" s="17">
        <f t="shared" si="78"/>
        <v>-1.7688657722598211E-4</v>
      </c>
      <c r="Z42" s="31" t="str">
        <f t="shared" si="66"/>
        <v>0.999999879201931+0.0107942568009823i</v>
      </c>
      <c r="AA42" s="17">
        <f t="shared" si="79"/>
        <v>1.0000581355020128</v>
      </c>
      <c r="AB42" s="17">
        <f t="shared" si="80"/>
        <v>1.079383889959256E-2</v>
      </c>
      <c r="AC42" s="66" t="str">
        <f t="shared" si="81"/>
        <v>1787.64731975774-9683.1442447775i</v>
      </c>
      <c r="AD42" s="64">
        <f t="shared" si="82"/>
        <v>79.865879727329499</v>
      </c>
      <c r="AE42" s="61">
        <f t="shared" si="83"/>
        <v>-79.540148581115446</v>
      </c>
      <c r="AF42" s="31" t="str">
        <f t="shared" si="84"/>
        <v>-0.332666666666667</v>
      </c>
      <c r="AG42" s="31" t="str">
        <f t="shared" si="85"/>
        <v>109.189246340026i</v>
      </c>
      <c r="AH42" s="31">
        <f t="shared" si="86"/>
        <v>109.189246340026</v>
      </c>
      <c r="AI42" s="31">
        <f t="shared" si="87"/>
        <v>1.5707963267948966</v>
      </c>
      <c r="AJ42" s="31" t="str">
        <f t="shared" si="67"/>
        <v>0.999363909026947+0.900425516697894i</v>
      </c>
      <c r="AK42" s="31">
        <f t="shared" si="88"/>
        <v>1.3451744622116082</v>
      </c>
      <c r="AL42" s="31">
        <f t="shared" si="89"/>
        <v>0.73336655927859207</v>
      </c>
      <c r="AM42" s="31" t="str">
        <f t="shared" si="68"/>
        <v>1+3276.03116335893i</v>
      </c>
      <c r="AN42" s="31">
        <f t="shared" si="90"/>
        <v>3276.0313159826273</v>
      </c>
      <c r="AO42" s="31">
        <f t="shared" si="91"/>
        <v>1.5704910794028308</v>
      </c>
      <c r="AP42" s="31" t="str">
        <f t="shared" si="69"/>
        <v>1+0.353773158141684i</v>
      </c>
      <c r="AQ42" s="31">
        <f t="shared" si="92"/>
        <v>1.0607334478659287</v>
      </c>
      <c r="AR42" s="31">
        <f t="shared" si="93"/>
        <v>0.34003224489246603</v>
      </c>
      <c r="AS42" s="58" t="str">
        <f t="shared" si="94"/>
        <v>-7.26860468817325+3.01876661117274i</v>
      </c>
      <c r="AT42" s="49">
        <f t="shared" si="95"/>
        <v>17.92010225230857</v>
      </c>
      <c r="AU42" s="61">
        <f t="shared" si="96"/>
        <v>157.44611446073054</v>
      </c>
      <c r="AV42" s="58" t="str">
        <f t="shared" si="70"/>
        <v>16237.4508481123+75779.4376952847i</v>
      </c>
      <c r="AW42" s="64">
        <f t="shared" si="97"/>
        <v>97.78598197963808</v>
      </c>
      <c r="AX42" s="61">
        <f t="shared" si="98"/>
        <v>77.905965879615152</v>
      </c>
    </row>
    <row r="43" spans="1:50" x14ac:dyDescent="0.3">
      <c r="B43" s="29">
        <f>wp_lf/(2*PI())</f>
        <v>3.4057847904438514</v>
      </c>
      <c r="C43" s="31" t="s">
        <v>61</v>
      </c>
      <c r="N43" s="10">
        <v>25</v>
      </c>
      <c r="O43" s="50">
        <f t="shared" si="71"/>
        <v>17.782794100389236</v>
      </c>
      <c r="P43" s="48" t="str">
        <f t="shared" si="72"/>
        <v>51201.9230769231</v>
      </c>
      <c r="Q43" s="17" t="str">
        <f t="shared" si="63"/>
        <v>1+5.2213499074531i</v>
      </c>
      <c r="R43" s="17">
        <f t="shared" si="73"/>
        <v>5.3162481936098978</v>
      </c>
      <c r="S43" s="17">
        <f t="shared" si="74"/>
        <v>1.381566444920606</v>
      </c>
      <c r="T43" s="17" t="str">
        <f t="shared" si="64"/>
        <v>1+3.35197771836495E-10i</v>
      </c>
      <c r="U43" s="17">
        <f t="shared" si="75"/>
        <v>1</v>
      </c>
      <c r="V43" s="17">
        <f t="shared" si="76"/>
        <v>3.35197771836495E-10</v>
      </c>
      <c r="W43" s="31" t="str">
        <f t="shared" si="65"/>
        <v>1-0.000181006796791707i</v>
      </c>
      <c r="X43" s="17">
        <f t="shared" si="77"/>
        <v>1.00000001638173</v>
      </c>
      <c r="Y43" s="17">
        <f t="shared" si="78"/>
        <v>-1.8100679481490402E-4</v>
      </c>
      <c r="Z43" s="31" t="str">
        <f t="shared" si="66"/>
        <v>0.999999873508894+0.011045687341324i</v>
      </c>
      <c r="AA43" s="17">
        <f t="shared" si="79"/>
        <v>1.0000608752604243</v>
      </c>
      <c r="AB43" s="17">
        <f t="shared" si="80"/>
        <v>1.1045239553389343E-2</v>
      </c>
      <c r="AC43" s="66" t="str">
        <f t="shared" si="81"/>
        <v>1705.24813302347-9478.45551362332i</v>
      </c>
      <c r="AD43" s="64">
        <f t="shared" si="82"/>
        <v>79.673091895736633</v>
      </c>
      <c r="AE43" s="61">
        <f t="shared" si="83"/>
        <v>-79.801142927164847</v>
      </c>
      <c r="AF43" s="31" t="str">
        <f t="shared" si="84"/>
        <v>-0.332666666666667</v>
      </c>
      <c r="AG43" s="31" t="str">
        <f t="shared" si="85"/>
        <v>111.732590612165i</v>
      </c>
      <c r="AH43" s="31">
        <f t="shared" si="86"/>
        <v>111.732590612165</v>
      </c>
      <c r="AI43" s="31">
        <f t="shared" si="87"/>
        <v>1.5707963267948966</v>
      </c>
      <c r="AJ43" s="31" t="str">
        <f t="shared" si="67"/>
        <v>0.999333930982959+0.921399121307732i</v>
      </c>
      <c r="AK43" s="31">
        <f t="shared" si="88"/>
        <v>1.3592809298892243</v>
      </c>
      <c r="AL43" s="31">
        <f t="shared" si="89"/>
        <v>0.74484485392501276</v>
      </c>
      <c r="AM43" s="31" t="str">
        <f t="shared" si="68"/>
        <v>1+3352.33973195854i</v>
      </c>
      <c r="AN43" s="31">
        <f t="shared" si="90"/>
        <v>3352.3398811080983</v>
      </c>
      <c r="AO43" s="31">
        <f t="shared" si="91"/>
        <v>1.5704980276813534</v>
      </c>
      <c r="AP43" s="31" t="str">
        <f t="shared" si="69"/>
        <v>1+0.362013593583415i</v>
      </c>
      <c r="AQ43" s="31">
        <f t="shared" si="92"/>
        <v>1.0635101513098866</v>
      </c>
      <c r="AR43" s="31">
        <f t="shared" si="93"/>
        <v>0.34733700773121623</v>
      </c>
      <c r="AS43" s="58" t="str">
        <f t="shared" si="94"/>
        <v>-7.19945904656702+3.02528177592257i</v>
      </c>
      <c r="AT43" s="49">
        <f t="shared" si="95"/>
        <v>17.852197550831711</v>
      </c>
      <c r="AU43" s="61">
        <f t="shared" si="96"/>
        <v>157.20738680952172</v>
      </c>
      <c r="AV43" s="58" t="str">
        <f t="shared" si="70"/>
        <v>16398.1346313201+73398.6083953004i</v>
      </c>
      <c r="AW43" s="64">
        <f t="shared" si="97"/>
        <v>97.525289446568337</v>
      </c>
      <c r="AX43" s="61">
        <f t="shared" si="98"/>
        <v>77.406243882356861</v>
      </c>
    </row>
    <row r="44" spans="1:50" x14ac:dyDescent="0.3">
      <c r="B44" s="26"/>
      <c r="N44" s="10">
        <v>26</v>
      </c>
      <c r="O44" s="50">
        <f t="shared" si="71"/>
        <v>18.197008586099841</v>
      </c>
      <c r="P44" s="48" t="str">
        <f t="shared" si="72"/>
        <v>51201.9230769231</v>
      </c>
      <c r="Q44" s="17" t="str">
        <f t="shared" si="63"/>
        <v>1+5.34297077054253i</v>
      </c>
      <c r="R44" s="17">
        <f t="shared" si="73"/>
        <v>5.4357461911748448</v>
      </c>
      <c r="S44" s="17">
        <f t="shared" si="74"/>
        <v>1.385775115604521</v>
      </c>
      <c r="T44" s="17" t="str">
        <f t="shared" si="64"/>
        <v>1+3.43005530948409E-10i</v>
      </c>
      <c r="U44" s="17">
        <f t="shared" si="75"/>
        <v>1</v>
      </c>
      <c r="V44" s="17">
        <f t="shared" si="76"/>
        <v>3.4300553094840898E-10</v>
      </c>
      <c r="W44" s="31" t="str">
        <f t="shared" si="65"/>
        <v>1-0.000185222986712141i</v>
      </c>
      <c r="X44" s="17">
        <f t="shared" si="77"/>
        <v>1.0000000171537773</v>
      </c>
      <c r="Y44" s="17">
        <f t="shared" si="78"/>
        <v>-1.8522298459395844E-4</v>
      </c>
      <c r="Z44" s="31" t="str">
        <f t="shared" si="66"/>
        <v>0.999999867547551+0.0113029744513011i</v>
      </c>
      <c r="AA44" s="17">
        <f t="shared" si="79"/>
        <v>1.000063744131626</v>
      </c>
      <c r="AB44" s="17">
        <f t="shared" si="80"/>
        <v>1.1302494639536226E-2</v>
      </c>
      <c r="AC44" s="66" t="str">
        <f t="shared" si="81"/>
        <v>1626.30063318903-9277.41954624501i</v>
      </c>
      <c r="AD44" s="64">
        <f t="shared" si="82"/>
        <v>79.479988544007256</v>
      </c>
      <c r="AE44" s="61">
        <f t="shared" si="83"/>
        <v>-80.057263194840758</v>
      </c>
      <c r="AF44" s="31" t="str">
        <f t="shared" si="84"/>
        <v>-0.332666666666667</v>
      </c>
      <c r="AG44" s="31" t="str">
        <f t="shared" si="85"/>
        <v>114.335176982803i</v>
      </c>
      <c r="AH44" s="31">
        <f t="shared" si="86"/>
        <v>114.33517698280301</v>
      </c>
      <c r="AI44" s="31">
        <f t="shared" si="87"/>
        <v>1.5707963267948966</v>
      </c>
      <c r="AJ44" s="31" t="str">
        <f t="shared" si="67"/>
        <v>0.999302540117284+0.942861263927847i</v>
      </c>
      <c r="AK44" s="31">
        <f t="shared" si="88"/>
        <v>1.3738969865679425</v>
      </c>
      <c r="AL44" s="31">
        <f t="shared" si="89"/>
        <v>0.75634531261115756</v>
      </c>
      <c r="AM44" s="31" t="str">
        <f t="shared" si="68"/>
        <v>1+3430.42575545752i</v>
      </c>
      <c r="AN44" s="31">
        <f t="shared" si="90"/>
        <v>3430.4259012120197</v>
      </c>
      <c r="AO44" s="31">
        <f t="shared" si="91"/>
        <v>1.5705048177977747</v>
      </c>
      <c r="AP44" s="31" t="str">
        <f t="shared" si="69"/>
        <v>1+0.370445973424282i</v>
      </c>
      <c r="AQ44" s="31">
        <f t="shared" si="92"/>
        <v>1.0664099677076653</v>
      </c>
      <c r="AR44" s="31">
        <f t="shared" si="93"/>
        <v>0.35477213363837407</v>
      </c>
      <c r="AS44" s="58" t="str">
        <f t="shared" si="94"/>
        <v>-7.13005037340824+3.03022124250474i</v>
      </c>
      <c r="AT44" s="49">
        <f t="shared" si="95"/>
        <v>17.782949716017168</v>
      </c>
      <c r="AU44" s="61">
        <f t="shared" si="96"/>
        <v>156.97484944398249</v>
      </c>
      <c r="AV44" s="58" t="str">
        <f t="shared" si="70"/>
        <v>16517.0283477168+71076.5194253574i</v>
      </c>
      <c r="AW44" s="64">
        <f t="shared" si="97"/>
        <v>97.262938260024413</v>
      </c>
      <c r="AX44" s="61">
        <f t="shared" si="98"/>
        <v>76.917586249141749</v>
      </c>
    </row>
    <row r="45" spans="1:50" x14ac:dyDescent="0.3">
      <c r="A45" s="31" t="s">
        <v>207</v>
      </c>
      <c r="B45" s="29">
        <f>(((VOUT1^2)/Pout_var)*((1-Dc_var_ccm)^2))/((Lm/((Np/NS1_)^2))*Dc_var_ccm)</f>
        <v>617283.95061728393</v>
      </c>
      <c r="C45" s="31" t="s">
        <v>205</v>
      </c>
      <c r="E45" s="31" t="s">
        <v>197</v>
      </c>
      <c r="N45" s="10">
        <v>27</v>
      </c>
      <c r="O45" s="50">
        <f t="shared" si="71"/>
        <v>18.62087136662868</v>
      </c>
      <c r="P45" s="48" t="str">
        <f t="shared" si="72"/>
        <v>51201.9230769231</v>
      </c>
      <c r="Q45" s="17" t="str">
        <f t="shared" si="63"/>
        <v>1+5.46742454745706i</v>
      </c>
      <c r="R45" s="17">
        <f t="shared" si="73"/>
        <v>5.558122990914832</v>
      </c>
      <c r="S45" s="17">
        <f t="shared" si="74"/>
        <v>1.389894401989193</v>
      </c>
      <c r="T45" s="17" t="str">
        <f t="shared" si="64"/>
        <v>1+3.50995156133046E-10i</v>
      </c>
      <c r="U45" s="17">
        <f t="shared" si="75"/>
        <v>1</v>
      </c>
      <c r="V45" s="17">
        <f t="shared" si="76"/>
        <v>3.50995156133046E-10</v>
      </c>
      <c r="W45" s="31" t="str">
        <f t="shared" si="65"/>
        <v>1-0.000189537384311845i</v>
      </c>
      <c r="X45" s="17">
        <f t="shared" si="77"/>
        <v>1.0000000179622099</v>
      </c>
      <c r="Y45" s="17">
        <f t="shared" si="78"/>
        <v>-1.8953738204217151E-4</v>
      </c>
      <c r="Z45" s="31" t="str">
        <f t="shared" si="66"/>
        <v>0.99999986130526+0.0115662545479448i</v>
      </c>
      <c r="AA45" s="17">
        <f t="shared" si="79"/>
        <v>1.0000667481997425</v>
      </c>
      <c r="AB45" s="17">
        <f t="shared" si="80"/>
        <v>1.1565740422229137E-2</v>
      </c>
      <c r="AC45" s="66" t="str">
        <f t="shared" si="81"/>
        <v>1550.67095577339-9080.01523753748i</v>
      </c>
      <c r="AD45" s="64">
        <f t="shared" si="82"/>
        <v>79.28658281058776</v>
      </c>
      <c r="AE45" s="61">
        <f t="shared" si="83"/>
        <v>-80.3086109879182</v>
      </c>
      <c r="AF45" s="31" t="str">
        <f t="shared" si="84"/>
        <v>-0.332666666666667</v>
      </c>
      <c r="AG45" s="31" t="str">
        <f t="shared" si="85"/>
        <v>116.998385377682i</v>
      </c>
      <c r="AH45" s="31">
        <f t="shared" si="86"/>
        <v>116.998385377682</v>
      </c>
      <c r="AI45" s="31">
        <f t="shared" si="87"/>
        <v>1.5707963267948966</v>
      </c>
      <c r="AJ45" s="31" t="str">
        <f t="shared" si="67"/>
        <v>0.999269669845688+0.96482332407034i</v>
      </c>
      <c r="AK45" s="31">
        <f t="shared" si="88"/>
        <v>1.389037047649792</v>
      </c>
      <c r="AL45" s="31">
        <f t="shared" si="89"/>
        <v>0.76786191901844492</v>
      </c>
      <c r="AM45" s="31" t="str">
        <f t="shared" si="68"/>
        <v>1+3510.33063609909i</v>
      </c>
      <c r="AN45" s="31">
        <f t="shared" si="90"/>
        <v>3510.330778535812</v>
      </c>
      <c r="AO45" s="31">
        <f t="shared" si="91"/>
        <v>1.5705114533523026</v>
      </c>
      <c r="AP45" s="31" t="str">
        <f t="shared" si="69"/>
        <v>1+0.37907476862369i</v>
      </c>
      <c r="AQ45" s="31">
        <f t="shared" si="92"/>
        <v>1.0694380207413163</v>
      </c>
      <c r="AR45" s="31">
        <f t="shared" si="93"/>
        <v>0.36233827566113497</v>
      </c>
      <c r="AS45" s="58" t="str">
        <f t="shared" si="94"/>
        <v>-7.06045112004069+3.03357199944924i</v>
      </c>
      <c r="AT45" s="49">
        <f t="shared" si="95"/>
        <v>17.71238502257566</v>
      </c>
      <c r="AU45" s="61">
        <f t="shared" si="96"/>
        <v>156.74888469690174</v>
      </c>
      <c r="AV45" s="58" t="str">
        <f t="shared" si="70"/>
        <v>16596.4434926613+68813.0757456514i</v>
      </c>
      <c r="AW45" s="64">
        <f t="shared" si="97"/>
        <v>96.998967833163448</v>
      </c>
      <c r="AX45" s="61">
        <f t="shared" si="98"/>
        <v>76.440273708983597</v>
      </c>
    </row>
    <row r="46" spans="1:50" x14ac:dyDescent="0.3">
      <c r="B46" s="29">
        <f>wz_rhp/(2*PI())</f>
        <v>98243.792032034165</v>
      </c>
      <c r="C46" s="31" t="s">
        <v>61</v>
      </c>
      <c r="N46" s="10">
        <v>28</v>
      </c>
      <c r="O46" s="50">
        <f t="shared" si="71"/>
        <v>19.054607179632477</v>
      </c>
      <c r="P46" s="48" t="str">
        <f t="shared" si="72"/>
        <v>51201.9230769231</v>
      </c>
      <c r="Q46" s="17" t="str">
        <f t="shared" si="63"/>
        <v>1+5.59477722523659i</v>
      </c>
      <c r="R46" s="17">
        <f t="shared" si="73"/>
        <v>5.6834436919904494</v>
      </c>
      <c r="S46" s="17">
        <f t="shared" si="74"/>
        <v>1.3939259287154611</v>
      </c>
      <c r="T46" s="17" t="str">
        <f t="shared" si="64"/>
        <v>1+3.59170883595435E-10i</v>
      </c>
      <c r="U46" s="17">
        <f t="shared" si="75"/>
        <v>1</v>
      </c>
      <c r="V46" s="17">
        <f t="shared" si="76"/>
        <v>3.5917088359543499E-10</v>
      </c>
      <c r="W46" s="31" t="str">
        <f t="shared" si="65"/>
        <v>1-0.000193952277141535i</v>
      </c>
      <c r="X46" s="17">
        <f t="shared" si="77"/>
        <v>1.0000000188087428</v>
      </c>
      <c r="Y46" s="17">
        <f t="shared" si="78"/>
        <v>-1.9395227470953605E-4</v>
      </c>
      <c r="Z46" s="31" t="str">
        <f t="shared" si="66"/>
        <v>0.999999854768778+0.0118356672258473i</v>
      </c>
      <c r="AA46" s="17">
        <f t="shared" si="79"/>
        <v>1.000069893835555</v>
      </c>
      <c r="AB46" s="17">
        <f t="shared" si="80"/>
        <v>1.1835116332297051E-2</v>
      </c>
      <c r="AC46" s="66" t="str">
        <f t="shared" si="81"/>
        <v>1478.22950980247-8886.218335979i</v>
      </c>
      <c r="AD46" s="64">
        <f t="shared" si="82"/>
        <v>79.092887318012032</v>
      </c>
      <c r="AE46" s="61">
        <f t="shared" si="83"/>
        <v>-80.555287511325389</v>
      </c>
      <c r="AF46" s="31" t="str">
        <f t="shared" si="84"/>
        <v>-0.332666666666667</v>
      </c>
      <c r="AG46" s="31" t="str">
        <f t="shared" si="85"/>
        <v>119.723627865145i</v>
      </c>
      <c r="AH46" s="31">
        <f t="shared" si="86"/>
        <v>119.723627865145</v>
      </c>
      <c r="AI46" s="31">
        <f t="shared" si="87"/>
        <v>1.5707963267948966</v>
      </c>
      <c r="AJ46" s="31" t="str">
        <f t="shared" si="67"/>
        <v>0.999235250445918+0.987296946310202i</v>
      </c>
      <c r="AK46" s="31">
        <f t="shared" si="88"/>
        <v>1.404715752715533</v>
      </c>
      <c r="AL46" s="31">
        <f t="shared" si="89"/>
        <v>0.77938861548329508</v>
      </c>
      <c r="AM46" s="31" t="str">
        <f t="shared" si="68"/>
        <v>1+3592.09674050864i</v>
      </c>
      <c r="AN46" s="31">
        <f t="shared" si="90"/>
        <v>3592.0968797031069</v>
      </c>
      <c r="AO46" s="31">
        <f t="shared" si="91"/>
        <v>1.5705179378631928</v>
      </c>
      <c r="AP46" s="31" t="str">
        <f t="shared" si="69"/>
        <v>1+0.38790455428307i</v>
      </c>
      <c r="AQ46" s="31">
        <f t="shared" si="92"/>
        <v>1.0725996192585316</v>
      </c>
      <c r="AR46" s="31">
        <f t="shared" si="93"/>
        <v>0.37003597938837568</v>
      </c>
      <c r="AS46" s="58" t="str">
        <f t="shared" si="94"/>
        <v>-6.9907345409134+3.03532519918071i</v>
      </c>
      <c r="AT46" s="49">
        <f t="shared" si="95"/>
        <v>17.640532903074217</v>
      </c>
      <c r="AU46" s="61">
        <f t="shared" si="96"/>
        <v>156.52987110835656</v>
      </c>
      <c r="AV46" s="58" t="str">
        <f t="shared" si="70"/>
        <v>16638.6523470451+66608.1007407024i</v>
      </c>
      <c r="AW46" s="64">
        <f t="shared" si="97"/>
        <v>96.733420221086263</v>
      </c>
      <c r="AX46" s="61">
        <f t="shared" si="98"/>
        <v>75.974583597031199</v>
      </c>
    </row>
    <row r="47" spans="1:50" x14ac:dyDescent="0.3">
      <c r="B47" s="1"/>
      <c r="N47" s="10">
        <v>29</v>
      </c>
      <c r="O47" s="50">
        <f t="shared" si="71"/>
        <v>19.498445997580465</v>
      </c>
      <c r="P47" s="48" t="str">
        <f t="shared" si="72"/>
        <v>51201.9230769231</v>
      </c>
      <c r="Q47" s="17" t="str">
        <f t="shared" si="63"/>
        <v>1+5.72509632795657i</v>
      </c>
      <c r="R47" s="17">
        <f t="shared" si="73"/>
        <v>5.8117749409609623</v>
      </c>
      <c r="S47" s="17">
        <f t="shared" si="74"/>
        <v>1.3978713088917085</v>
      </c>
      <c r="T47" s="17" t="str">
        <f t="shared" si="64"/>
        <v>1+3.67537048214496E-10i</v>
      </c>
      <c r="U47" s="17">
        <f t="shared" si="75"/>
        <v>1</v>
      </c>
      <c r="V47" s="17">
        <f t="shared" si="76"/>
        <v>3.67537048214496E-10</v>
      </c>
      <c r="W47" s="31" t="str">
        <f t="shared" si="65"/>
        <v>1-0.000198470006035828i</v>
      </c>
      <c r="X47" s="17">
        <f t="shared" si="77"/>
        <v>1.0000000196951715</v>
      </c>
      <c r="Y47" s="17">
        <f t="shared" si="78"/>
        <v>-1.9847000342989416E-4</v>
      </c>
      <c r="Z47" s="31" t="str">
        <f t="shared" si="66"/>
        <v>0.999999847924241+0.0121113553311766i</v>
      </c>
      <c r="AA47" s="17">
        <f t="shared" si="79"/>
        <v>1.0000731877100111</v>
      </c>
      <c r="AB47" s="17">
        <f t="shared" si="80"/>
        <v>1.2110765040435486E-2</v>
      </c>
      <c r="AC47" s="66" t="str">
        <f t="shared" si="81"/>
        <v>1408.85092266053-8696.00170524979i</v>
      </c>
      <c r="AD47" s="64">
        <f t="shared" si="82"/>
        <v>78.898914189335898</v>
      </c>
      <c r="AE47" s="61">
        <f t="shared" si="83"/>
        <v>-80.797393497912793</v>
      </c>
      <c r="AF47" s="31" t="str">
        <f t="shared" si="84"/>
        <v>-0.332666666666667</v>
      </c>
      <c r="AG47" s="31" t="str">
        <f t="shared" si="85"/>
        <v>122.512349404832i</v>
      </c>
      <c r="AH47" s="31">
        <f t="shared" si="86"/>
        <v>122.51234940483199</v>
      </c>
      <c r="AI47" s="31">
        <f t="shared" si="87"/>
        <v>1.5707963267948966</v>
      </c>
      <c r="AJ47" s="31" t="str">
        <f t="shared" si="67"/>
        <v>0.999199208909811+1.01029404645942i</v>
      </c>
      <c r="AK47" s="31">
        <f t="shared" si="88"/>
        <v>1.4209479650561945</v>
      </c>
      <c r="AL47" s="31">
        <f t="shared" si="89"/>
        <v>0.79091931893479839</v>
      </c>
      <c r="AM47" s="31" t="str">
        <f t="shared" si="68"/>
        <v>1+3675.76742215704i</v>
      </c>
      <c r="AN47" s="31">
        <f t="shared" si="90"/>
        <v>3675.7675581830545</v>
      </c>
      <c r="AO47" s="31">
        <f t="shared" si="91"/>
        <v>1.5705242747686172</v>
      </c>
      <c r="AP47" s="31" t="str">
        <f t="shared" si="69"/>
        <v>1+0.396940012071656i</v>
      </c>
      <c r="AQ47" s="31">
        <f t="shared" si="92"/>
        <v>1.0759002617266371</v>
      </c>
      <c r="AR47" s="31">
        <f t="shared" si="93"/>
        <v>0.37786567623242734</v>
      </c>
      <c r="AS47" s="58" t="str">
        <f t="shared" si="94"/>
        <v>-6.92097438651728+3.03547621492401i</v>
      </c>
      <c r="AT47" s="49">
        <f t="shared" si="95"/>
        <v>17.567425947704457</v>
      </c>
      <c r="AU47" s="61">
        <f t="shared" si="96"/>
        <v>156.31818212773561</v>
      </c>
      <c r="AV47" s="58" t="str">
        <f t="shared" si="70"/>
        <v>16645.8851910696+64461.3385332542i</v>
      </c>
      <c r="AW47" s="64">
        <f t="shared" si="97"/>
        <v>96.466340137040362</v>
      </c>
      <c r="AX47" s="61">
        <f t="shared" si="98"/>
        <v>75.520788629822846</v>
      </c>
    </row>
    <row r="48" spans="1:50" x14ac:dyDescent="0.3">
      <c r="A48" s="31" t="s">
        <v>208</v>
      </c>
      <c r="B48" s="29">
        <f>1/(Cout_total*Resr_total)</f>
        <v>333333333333.33331</v>
      </c>
      <c r="C48" s="31" t="s">
        <v>205</v>
      </c>
      <c r="E48" s="31" t="s">
        <v>198</v>
      </c>
      <c r="N48" s="10">
        <v>30</v>
      </c>
      <c r="O48" s="50">
        <f t="shared" si="71"/>
        <v>19.952623149688804</v>
      </c>
      <c r="P48" s="48" t="str">
        <f t="shared" si="72"/>
        <v>51201.9230769231</v>
      </c>
      <c r="Q48" s="17" t="str">
        <f t="shared" si="63"/>
        <v>1+5.85845095253025i</v>
      </c>
      <c r="R48" s="17">
        <f t="shared" si="73"/>
        <v>5.9431849679445952</v>
      </c>
      <c r="S48" s="17">
        <f t="shared" si="74"/>
        <v>1.4017321428556566</v>
      </c>
      <c r="T48" s="17" t="str">
        <f t="shared" si="64"/>
        <v>1+3.76098085841448E-10i</v>
      </c>
      <c r="U48" s="17">
        <f t="shared" si="75"/>
        <v>1</v>
      </c>
      <c r="V48" s="17">
        <f t="shared" si="76"/>
        <v>3.76098085841448E-10</v>
      </c>
      <c r="W48" s="31" t="str">
        <f t="shared" si="65"/>
        <v>1-0.000203092966354382i</v>
      </c>
      <c r="X48" s="17">
        <f t="shared" si="77"/>
        <v>1.0000000206233763</v>
      </c>
      <c r="Y48" s="17">
        <f t="shared" si="78"/>
        <v>-2.030929635620736E-4</v>
      </c>
      <c r="Z48" s="31" t="str">
        <f t="shared" si="66"/>
        <v>0.999999840757132+0.0123934650374152i</v>
      </c>
      <c r="AA48" s="17">
        <f t="shared" si="79"/>
        <v>1.0000766368083611</v>
      </c>
      <c r="AB48" s="17">
        <f t="shared" si="80"/>
        <v>1.2392832532108147E-2</v>
      </c>
      <c r="AC48" s="66" t="str">
        <f t="shared" si="81"/>
        <v>1342.41397737829-8509.33557228099i</v>
      </c>
      <c r="AD48" s="64">
        <f t="shared" si="82"/>
        <v>78.704675064336541</v>
      </c>
      <c r="AE48" s="61">
        <f t="shared" si="83"/>
        <v>-81.035029141872428</v>
      </c>
      <c r="AF48" s="31" t="str">
        <f t="shared" si="84"/>
        <v>-0.332666666666667</v>
      </c>
      <c r="AG48" s="31" t="str">
        <f t="shared" si="85"/>
        <v>125.366028613816i</v>
      </c>
      <c r="AH48" s="31">
        <f t="shared" si="86"/>
        <v>125.366028613816</v>
      </c>
      <c r="AI48" s="31">
        <f t="shared" si="87"/>
        <v>1.5707963267948966</v>
      </c>
      <c r="AJ48" s="31" t="str">
        <f t="shared" si="67"/>
        <v>0.999161468788438+1.03382681788489i</v>
      </c>
      <c r="AK48" s="31">
        <f t="shared" si="88"/>
        <v>1.4377487715485855</v>
      </c>
      <c r="AL48" s="31">
        <f t="shared" si="89"/>
        <v>0.80244793699750427</v>
      </c>
      <c r="AM48" s="31" t="str">
        <f t="shared" si="68"/>
        <v>1+3761.38704434719i</v>
      </c>
      <c r="AN48" s="31">
        <f t="shared" si="90"/>
        <v>3761.3871772768744</v>
      </c>
      <c r="AO48" s="31">
        <f t="shared" si="91"/>
        <v>1.5705304674284848</v>
      </c>
      <c r="AP48" s="31" t="str">
        <f t="shared" si="69"/>
        <v>1+0.406185932708764i</v>
      </c>
      <c r="AQ48" s="31">
        <f t="shared" si="92"/>
        <v>1.079345640622358</v>
      </c>
      <c r="AR48" s="31">
        <f t="shared" si="93"/>
        <v>0.38582767663040707</v>
      </c>
      <c r="AS48" s="58" t="str">
        <f t="shared" si="94"/>
        <v>-6.85124459187394+3.03402467056496i</v>
      </c>
      <c r="AT48" s="49">
        <f t="shared" si="95"/>
        <v>17.493099889981313</v>
      </c>
      <c r="AU48" s="61">
        <f t="shared" si="96"/>
        <v>156.11418480168459</v>
      </c>
      <c r="AV48" s="58" t="str">
        <f t="shared" si="70"/>
        <v>16620.3275538475+62372.4564455076i</v>
      </c>
      <c r="AW48" s="64">
        <f t="shared" si="97"/>
        <v>96.19777495431785</v>
      </c>
      <c r="AX48" s="61">
        <f t="shared" si="98"/>
        <v>75.079155659812187</v>
      </c>
    </row>
    <row r="49" spans="1:50" x14ac:dyDescent="0.3">
      <c r="B49" s="29">
        <f>wz_esr/(2*PI())</f>
        <v>53051647697.298447</v>
      </c>
      <c r="C49" s="31" t="s">
        <v>61</v>
      </c>
      <c r="N49" s="10">
        <v>31</v>
      </c>
      <c r="O49" s="50">
        <f t="shared" si="71"/>
        <v>20.4173794466953</v>
      </c>
      <c r="P49" s="48" t="str">
        <f t="shared" si="72"/>
        <v>51201.9230769231</v>
      </c>
      <c r="Q49" s="17" t="str">
        <f t="shared" si="63"/>
        <v>1+5.99491180534469i</v>
      </c>
      <c r="R49" s="17">
        <f t="shared" si="73"/>
        <v>6.0777436235712612</v>
      </c>
      <c r="S49" s="17">
        <f t="shared" si="74"/>
        <v>1.4055100170444894</v>
      </c>
      <c r="T49" s="17" t="str">
        <f t="shared" si="64"/>
        <v>1+3.84858535651758E-10i</v>
      </c>
      <c r="U49" s="17">
        <f t="shared" si="75"/>
        <v>1</v>
      </c>
      <c r="V49" s="17">
        <f t="shared" si="76"/>
        <v>3.8485853565175798E-10</v>
      </c>
      <c r="W49" s="31" t="str">
        <f t="shared" si="65"/>
        <v>1-0.000207823609251949i</v>
      </c>
      <c r="X49" s="17">
        <f t="shared" si="77"/>
        <v>1.000000021595326</v>
      </c>
      <c r="Y49" s="17">
        <f t="shared" si="78"/>
        <v>-2.0782360625993667E-4</v>
      </c>
      <c r="Z49" s="31" t="str">
        <f t="shared" si="66"/>
        <v>0.999999833252247+0.0126821459228634i</v>
      </c>
      <c r="AA49" s="17">
        <f t="shared" si="79"/>
        <v>1.0000802484449587</v>
      </c>
      <c r="AB49" s="17">
        <f t="shared" si="80"/>
        <v>1.2681468184153373E-2</v>
      </c>
      <c r="AC49" s="66" t="str">
        <f t="shared" si="81"/>
        <v>1278.80154334629-8326.18776208036i</v>
      </c>
      <c r="AD49" s="64">
        <f t="shared" si="82"/>
        <v>78.51018111544802</v>
      </c>
      <c r="AE49" s="61">
        <f t="shared" si="83"/>
        <v>-81.268294038462201</v>
      </c>
      <c r="AF49" s="31" t="str">
        <f t="shared" si="84"/>
        <v>-0.332666666666667</v>
      </c>
      <c r="AG49" s="31" t="str">
        <f t="shared" si="85"/>
        <v>128.286178550586i</v>
      </c>
      <c r="AH49" s="31">
        <f t="shared" si="86"/>
        <v>128.28617855058599</v>
      </c>
      <c r="AI49" s="31">
        <f t="shared" si="87"/>
        <v>1.5707963267948966</v>
      </c>
      <c r="AJ49" s="31" t="str">
        <f t="shared" si="67"/>
        <v>0.999121950029942+1.05790773797352i</v>
      </c>
      <c r="AK49" s="31">
        <f t="shared" si="88"/>
        <v>1.4551334829134692</v>
      </c>
      <c r="AL49" s="31">
        <f t="shared" si="89"/>
        <v>0.81396838415579942</v>
      </c>
      <c r="AM49" s="31" t="str">
        <f t="shared" si="68"/>
        <v>1+3849.00100373609i</v>
      </c>
      <c r="AN49" s="31">
        <f t="shared" si="90"/>
        <v>3849.0011336399248</v>
      </c>
      <c r="AO49" s="31">
        <f t="shared" si="91"/>
        <v>1.5705365191262237</v>
      </c>
      <c r="AP49" s="31" t="str">
        <f t="shared" si="69"/>
        <v>1+0.415647218503899i</v>
      </c>
      <c r="AQ49" s="31">
        <f t="shared" si="92"/>
        <v>1.0829416467428095</v>
      </c>
      <c r="AR49" s="31">
        <f t="shared" si="93"/>
        <v>0.3939221631917349</v>
      </c>
      <c r="AS49" s="58" t="str">
        <f t="shared" si="94"/>
        <v>-6.78161896336507+3.0309744431068i</v>
      </c>
      <c r="AT49" s="49">
        <f t="shared" si="95"/>
        <v>17.41759357807825</v>
      </c>
      <c r="AU49" s="61">
        <f t="shared" si="96"/>
        <v>155.91823845543931</v>
      </c>
      <c r="AV49" s="58" t="str">
        <f t="shared" si="70"/>
        <v>16564.1175186365+60341.0476155505i</v>
      </c>
      <c r="AW49" s="64">
        <f t="shared" si="97"/>
        <v>95.92777469352626</v>
      </c>
      <c r="AX49" s="61">
        <f t="shared" si="98"/>
        <v>74.649944416977078</v>
      </c>
    </row>
    <row r="50" spans="1:50" x14ac:dyDescent="0.3">
      <c r="B50" s="26"/>
      <c r="N50" s="10">
        <v>32</v>
      </c>
      <c r="O50" s="50">
        <f t="shared" si="71"/>
        <v>20.8929613085404</v>
      </c>
      <c r="P50" s="48" t="str">
        <f t="shared" si="72"/>
        <v>51201.9230769231</v>
      </c>
      <c r="Q50" s="17" t="str">
        <f t="shared" si="63"/>
        <v>1+6.13455123975043i</v>
      </c>
      <c r="R50" s="17">
        <f t="shared" si="73"/>
        <v>6.2155224167501437</v>
      </c>
      <c r="S50" s="17">
        <f t="shared" si="74"/>
        <v>1.409206502967467</v>
      </c>
      <c r="T50" s="17" t="str">
        <f t="shared" si="64"/>
        <v>1+3.93823042551879E-10i</v>
      </c>
      <c r="U50" s="17">
        <f t="shared" si="75"/>
        <v>1</v>
      </c>
      <c r="V50" s="17">
        <f t="shared" si="76"/>
        <v>3.9382304255187901E-10</v>
      </c>
      <c r="W50" s="31" t="str">
        <f t="shared" si="65"/>
        <v>1-0.000212664442978015i</v>
      </c>
      <c r="X50" s="17">
        <f t="shared" si="77"/>
        <v>1.0000000226130823</v>
      </c>
      <c r="Y50" s="17">
        <f t="shared" si="78"/>
        <v>-2.12664439772016E-4</v>
      </c>
      <c r="Z50" s="31" t="str">
        <f t="shared" si="66"/>
        <v>0.999999825393667+0.0129775510499482i</v>
      </c>
      <c r="AA50" s="17">
        <f t="shared" si="79"/>
        <v>1.0000840302787655</v>
      </c>
      <c r="AB50" s="17">
        <f t="shared" si="80"/>
        <v>1.2976824843132001E-2</v>
      </c>
      <c r="AC50" s="66" t="str">
        <f t="shared" si="81"/>
        <v>1217.9005013664-8146.52391971218i</v>
      </c>
      <c r="AD50" s="64">
        <f t="shared" si="82"/>
        <v>78.315443063409504</v>
      </c>
      <c r="AE50" s="61">
        <f t="shared" si="83"/>
        <v>-81.49728712970483</v>
      </c>
      <c r="AF50" s="31" t="str">
        <f t="shared" si="84"/>
        <v>-0.332666666666667</v>
      </c>
      <c r="AG50" s="31" t="str">
        <f t="shared" si="85"/>
        <v>131.274347517293i</v>
      </c>
      <c r="AH50" s="31">
        <f t="shared" si="86"/>
        <v>131.27434751729299</v>
      </c>
      <c r="AI50" s="31">
        <f t="shared" si="87"/>
        <v>1.5707963267948966</v>
      </c>
      <c r="AJ50" s="31" t="str">
        <f t="shared" si="67"/>
        <v>0.999080568809737+1.08254957474789i</v>
      </c>
      <c r="AK50" s="31">
        <f t="shared" si="88"/>
        <v>1.4731176343931345</v>
      </c>
      <c r="AL50" s="31">
        <f t="shared" si="89"/>
        <v>0.82547459787554434</v>
      </c>
      <c r="AM50" s="31" t="str">
        <f t="shared" si="68"/>
        <v>1+3938.65575440475i</v>
      </c>
      <c r="AN50" s="31">
        <f t="shared" si="90"/>
        <v>3938.6558813516131</v>
      </c>
      <c r="AO50" s="31">
        <f t="shared" si="91"/>
        <v>1.5705424330705227</v>
      </c>
      <c r="AP50" s="31" t="str">
        <f t="shared" si="69"/>
        <v>1+0.425328885956029i</v>
      </c>
      <c r="AQ50" s="31">
        <f t="shared" si="92"/>
        <v>1.0866943734227195</v>
      </c>
      <c r="AR50" s="31">
        <f t="shared" si="93"/>
        <v>0.40214918382133491</v>
      </c>
      <c r="AS50" s="58" t="str">
        <f t="shared" si="94"/>
        <v>-6.71217086671903+3.02633363769339i</v>
      </c>
      <c r="AT50" s="49">
        <f t="shared" si="95"/>
        <v>17.340948931611408</v>
      </c>
      <c r="AU50" s="61">
        <f t="shared" si="96"/>
        <v>155.73069337521432</v>
      </c>
      <c r="AV50" s="58" t="str">
        <f t="shared" si="70"/>
        <v>16479.3431046647+58366.6337735706i</v>
      </c>
      <c r="AW50" s="64">
        <f t="shared" si="97"/>
        <v>95.656391995020925</v>
      </c>
      <c r="AX50" s="61">
        <f t="shared" si="98"/>
        <v>74.233406245509499</v>
      </c>
    </row>
    <row r="51" spans="1:50" x14ac:dyDescent="0.3">
      <c r="A51" s="31" t="s">
        <v>201</v>
      </c>
      <c r="B51" s="1">
        <f>(Isl*(Rsl_int+R_sl)*Fsw)</f>
        <v>13749</v>
      </c>
      <c r="C51" s="31" t="s">
        <v>144</v>
      </c>
      <c r="E51" s="31" t="s">
        <v>202</v>
      </c>
      <c r="N51" s="10">
        <v>33</v>
      </c>
      <c r="O51" s="50">
        <f t="shared" si="71"/>
        <v>21.379620895022335</v>
      </c>
      <c r="P51" s="48" t="str">
        <f t="shared" si="72"/>
        <v>51201.9230769231</v>
      </c>
      <c r="Q51" s="17" t="str">
        <f t="shared" si="63"/>
        <v>1+6.27744329442381i</v>
      </c>
      <c r="R51" s="17">
        <f t="shared" si="73"/>
        <v>6.3565945532735109</v>
      </c>
      <c r="S51" s="17">
        <f t="shared" si="74"/>
        <v>1.4128231562753306</v>
      </c>
      <c r="T51" s="17" t="str">
        <f t="shared" si="64"/>
        <v>1+4.02996359642022E-10i</v>
      </c>
      <c r="U51" s="17">
        <f t="shared" si="75"/>
        <v>1</v>
      </c>
      <c r="V51" s="17">
        <f t="shared" si="76"/>
        <v>4.02996359642022E-10</v>
      </c>
      <c r="W51" s="31" t="str">
        <f t="shared" si="65"/>
        <v>1-0.000217618034206692i</v>
      </c>
      <c r="X51" s="17">
        <f t="shared" si="77"/>
        <v>1.000000023678804</v>
      </c>
      <c r="Y51" s="17">
        <f t="shared" si="78"/>
        <v>-2.1761803077140218E-4</v>
      </c>
      <c r="Z51" s="31" t="str">
        <f t="shared" si="66"/>
        <v>0.999999817164724+0.0132798370463777i</v>
      </c>
      <c r="AA51" s="17">
        <f t="shared" si="79"/>
        <v>1.000087990329581</v>
      </c>
      <c r="AB51" s="17">
        <f t="shared" si="80"/>
        <v>1.3279058905452118E-2</v>
      </c>
      <c r="AC51" s="66" t="str">
        <f t="shared" si="81"/>
        <v>1159.60166388353-7970.30771983221i</v>
      </c>
      <c r="AD51" s="64">
        <f t="shared" si="82"/>
        <v>78.12047119260599</v>
      </c>
      <c r="AE51" s="61">
        <f t="shared" si="83"/>
        <v>-81.722106655735587</v>
      </c>
      <c r="AF51" s="31" t="str">
        <f t="shared" si="84"/>
        <v>-0.332666666666667</v>
      </c>
      <c r="AG51" s="31" t="str">
        <f t="shared" si="85"/>
        <v>134.332119880674i</v>
      </c>
      <c r="AH51" s="31">
        <f t="shared" si="86"/>
        <v>134.33211988067399</v>
      </c>
      <c r="AI51" s="31">
        <f t="shared" si="87"/>
        <v>1.5707963267948966</v>
      </c>
      <c r="AJ51" s="31" t="str">
        <f t="shared" si="67"/>
        <v>0.999037237352707+1.10776539363602i</v>
      </c>
      <c r="AK51" s="31">
        <f t="shared" si="88"/>
        <v>1.4917169868828655</v>
      </c>
      <c r="AL51" s="31">
        <f t="shared" si="89"/>
        <v>0.83696055457921581</v>
      </c>
      <c r="AM51" s="31" t="str">
        <f t="shared" si="68"/>
        <v>1+4030.39883248864i</v>
      </c>
      <c r="AN51" s="31">
        <f t="shared" si="90"/>
        <v>4030.3989565458396</v>
      </c>
      <c r="AO51" s="31">
        <f t="shared" si="91"/>
        <v>1.5705482123970314</v>
      </c>
      <c r="AP51" s="31" t="str">
        <f t="shared" si="69"/>
        <v>1+0.435236068413384i</v>
      </c>
      <c r="AQ51" s="31">
        <f t="shared" si="92"/>
        <v>1.090610120642542</v>
      </c>
      <c r="AR51" s="31">
        <f t="shared" si="93"/>
        <v>0.41050864485093658</v>
      </c>
      <c r="AS51" s="58" t="str">
        <f t="shared" si="94"/>
        <v>-6.6429729189502+3.0201145354992i</v>
      </c>
      <c r="AT51" s="49">
        <f t="shared" si="95"/>
        <v>17.263210883787011</v>
      </c>
      <c r="AU51" s="61">
        <f t="shared" si="96"/>
        <v>155.55188949944153</v>
      </c>
      <c r="AV51" s="58" t="str">
        <f t="shared" si="70"/>
        <v>16368.0397471189+56448.6681790288i</v>
      </c>
      <c r="AW51" s="64">
        <f t="shared" si="97"/>
        <v>95.383682076393015</v>
      </c>
      <c r="AX51" s="61">
        <f t="shared" si="98"/>
        <v>73.829782843705914</v>
      </c>
    </row>
    <row r="52" spans="1:50" x14ac:dyDescent="0.3">
      <c r="A52" s="31" t="s">
        <v>204</v>
      </c>
      <c r="B52" s="1">
        <f>(R_cs*VIN_var*Acs*(1-Dc_var_ccm))/Lm</f>
        <v>98.765432098765444</v>
      </c>
      <c r="C52" s="31" t="s">
        <v>144</v>
      </c>
      <c r="E52" s="31" t="s">
        <v>203</v>
      </c>
      <c r="N52" s="10">
        <v>34</v>
      </c>
      <c r="O52" s="50">
        <f t="shared" si="71"/>
        <v>21.877616239495538</v>
      </c>
      <c r="P52" s="48" t="str">
        <f t="shared" si="72"/>
        <v>51201.9230769231</v>
      </c>
      <c r="Q52" s="17" t="str">
        <f t="shared" si="63"/>
        <v>1+6.4236637326237i</v>
      </c>
      <c r="R52" s="17">
        <f t="shared" si="73"/>
        <v>6.501034975280862</v>
      </c>
      <c r="S52" s="17">
        <f t="shared" si="74"/>
        <v>1.4163615159210456</v>
      </c>
      <c r="T52" s="17" t="str">
        <f t="shared" si="64"/>
        <v>1+4.12383350736336E-10i</v>
      </c>
      <c r="U52" s="17">
        <f t="shared" si="75"/>
        <v>1</v>
      </c>
      <c r="V52" s="17">
        <f t="shared" si="76"/>
        <v>4.1238335073633598E-10</v>
      </c>
      <c r="W52" s="31" t="str">
        <f t="shared" si="65"/>
        <v>1-0.000222687009397621i</v>
      </c>
      <c r="X52" s="17">
        <f t="shared" si="77"/>
        <v>1.0000000247947518</v>
      </c>
      <c r="Y52" s="17">
        <f t="shared" si="78"/>
        <v>-2.2268700571664166E-4</v>
      </c>
      <c r="Z52" s="31" t="str">
        <f t="shared" si="66"/>
        <v>0.999999808547963+0.0135891641881886i</v>
      </c>
      <c r="AA52" s="17">
        <f t="shared" si="79"/>
        <v>1.0000921369950353</v>
      </c>
      <c r="AB52" s="17">
        <f t="shared" si="80"/>
        <v>1.3588330399313333E-2</v>
      </c>
      <c r="AC52" s="66" t="str">
        <f t="shared" si="81"/>
        <v>1103.79969117003-7797.50106419485i</v>
      </c>
      <c r="AD52" s="64">
        <f t="shared" si="82"/>
        <v>77.925275366082204</v>
      </c>
      <c r="AE52" s="61">
        <f t="shared" si="83"/>
        <v>-81.942850111489378</v>
      </c>
      <c r="AF52" s="31" t="str">
        <f t="shared" si="84"/>
        <v>-0.332666666666667</v>
      </c>
      <c r="AG52" s="31" t="str">
        <f t="shared" si="85"/>
        <v>137.461116912112i</v>
      </c>
      <c r="AH52" s="31">
        <f t="shared" si="86"/>
        <v>137.461116912112</v>
      </c>
      <c r="AI52" s="31">
        <f t="shared" si="87"/>
        <v>1.5707963267948966</v>
      </c>
      <c r="AJ52" s="31" t="str">
        <f t="shared" si="67"/>
        <v>0.998991863747023+1.13356856439887i</v>
      </c>
      <c r="AK52" s="31">
        <f t="shared" si="88"/>
        <v>1.5109475285482503</v>
      </c>
      <c r="AL52" s="31">
        <f t="shared" si="89"/>
        <v>0.84842028537254355</v>
      </c>
      <c r="AM52" s="31" t="str">
        <f t="shared" si="68"/>
        <v>1+4124.27888138216i</v>
      </c>
      <c r="AN52" s="31">
        <f t="shared" si="90"/>
        <v>4124.2790026154735</v>
      </c>
      <c r="AO52" s="31">
        <f t="shared" si="91"/>
        <v>1.5705538601700237</v>
      </c>
      <c r="AP52" s="31" t="str">
        <f t="shared" si="69"/>
        <v>1+0.445374018795243i</v>
      </c>
      <c r="AQ52" s="31">
        <f t="shared" si="92"/>
        <v>1.0946953990119013</v>
      </c>
      <c r="AR52" s="31">
        <f t="shared" si="93"/>
        <v>0.41900030421388612</v>
      </c>
      <c r="AS52" s="58" t="str">
        <f t="shared" si="94"/>
        <v>-6.57409668698956+3.0123335151077i</v>
      </c>
      <c r="AT52" s="49">
        <f t="shared" si="95"/>
        <v>17.184427308936673</v>
      </c>
      <c r="AU52" s="61">
        <f t="shared" si="96"/>
        <v>155.38215512674344</v>
      </c>
      <c r="AV52" s="58" t="str">
        <f t="shared" si="70"/>
        <v>16232.1878969411+54586.5387165979i</v>
      </c>
      <c r="AW52" s="64">
        <f t="shared" si="97"/>
        <v>95.109702675018866</v>
      </c>
      <c r="AX52" s="61">
        <f t="shared" si="98"/>
        <v>73.439305015254092</v>
      </c>
    </row>
    <row r="53" spans="1:50" x14ac:dyDescent="0.3">
      <c r="A53" s="31" t="s">
        <v>507</v>
      </c>
      <c r="B53" s="1">
        <f>1+(B51/B52)</f>
        <v>140.20862499999998</v>
      </c>
      <c r="N53" s="10">
        <v>35</v>
      </c>
      <c r="O53" s="50">
        <f t="shared" si="71"/>
        <v>22.387211385683404</v>
      </c>
      <c r="P53" s="48" t="str">
        <f t="shared" si="72"/>
        <v>51201.9230769231</v>
      </c>
      <c r="Q53" s="17" t="str">
        <f t="shared" si="63"/>
        <v>1+6.57329008236188i</v>
      </c>
      <c r="R53" s="17">
        <f t="shared" si="73"/>
        <v>6.6489204016048395</v>
      </c>
      <c r="S53" s="17">
        <f t="shared" si="74"/>
        <v>1.4198231034065421</v>
      </c>
      <c r="T53" s="17" t="str">
        <f t="shared" si="64"/>
        <v>1+4.2198899294175E-10i</v>
      </c>
      <c r="U53" s="17">
        <f t="shared" si="75"/>
        <v>1</v>
      </c>
      <c r="V53" s="17">
        <f t="shared" si="76"/>
        <v>4.2198899294174998E-10</v>
      </c>
      <c r="W53" s="31" t="str">
        <f t="shared" si="65"/>
        <v>1-0.000227874056188545i</v>
      </c>
      <c r="X53" s="17">
        <f t="shared" si="77"/>
        <v>1.0000000259632924</v>
      </c>
      <c r="Y53" s="17">
        <f t="shared" si="78"/>
        <v>-2.2787405224430457E-4</v>
      </c>
      <c r="Z53" s="31" t="str">
        <f t="shared" si="66"/>
        <v>0.999999799525107+0.013905696484726i</v>
      </c>
      <c r="AA53" s="17">
        <f t="shared" si="79"/>
        <v>1.0000964790683846</v>
      </c>
      <c r="AB53" s="17">
        <f t="shared" si="80"/>
        <v>1.3904803068504506E-2</v>
      </c>
      <c r="AC53" s="66" t="str">
        <f t="shared" si="81"/>
        <v>1050.39300417178-7628.06426756595i</v>
      </c>
      <c r="AD53" s="64">
        <f t="shared" si="82"/>
        <v>77.729865040217149</v>
      </c>
      <c r="AE53" s="61">
        <f t="shared" si="83"/>
        <v>-82.159614208423349</v>
      </c>
      <c r="AF53" s="31" t="str">
        <f t="shared" si="84"/>
        <v>-0.332666666666667</v>
      </c>
      <c r="AG53" s="31" t="str">
        <f t="shared" si="85"/>
        <v>140.66299764725i</v>
      </c>
      <c r="AH53" s="31">
        <f t="shared" si="86"/>
        <v>140.66299764724999</v>
      </c>
      <c r="AI53" s="31">
        <f t="shared" si="87"/>
        <v>1.5707963267948966</v>
      </c>
      <c r="AJ53" s="31" t="str">
        <f t="shared" si="67"/>
        <v>0.998944351749183+1.15997276821912i</v>
      </c>
      <c r="AK53" s="31">
        <f t="shared" si="88"/>
        <v>1.5308254769572931</v>
      </c>
      <c r="AL53" s="31">
        <f t="shared" si="89"/>
        <v>0.8598478914235258</v>
      </c>
      <c r="AM53" s="31" t="str">
        <f t="shared" si="68"/>
        <v>1+4220.34567752988i</v>
      </c>
      <c r="AN53" s="31">
        <f t="shared" si="90"/>
        <v>4220.3457960035867</v>
      </c>
      <c r="AO53" s="31">
        <f t="shared" si="91"/>
        <v>1.5705593793840222</v>
      </c>
      <c r="AP53" s="31" t="str">
        <f t="shared" si="69"/>
        <v>1+0.45574811237709i</v>
      </c>
      <c r="AQ53" s="31">
        <f t="shared" si="92"/>
        <v>1.0989569336126328</v>
      </c>
      <c r="AR53" s="31">
        <f t="shared" si="93"/>
        <v>0.42762376470168478</v>
      </c>
      <c r="AS53" s="58" t="str">
        <f t="shared" si="94"/>
        <v>-6.50561239563945+3.00301094831265i</v>
      </c>
      <c r="AT53" s="49">
        <f t="shared" si="95"/>
        <v>17.104648935569923</v>
      </c>
      <c r="AU53" s="61">
        <f t="shared" si="96"/>
        <v>155.22180564850115</v>
      </c>
      <c r="AV53" s="58" t="str">
        <f t="shared" si="70"/>
        <v>16073.7107617002+52779.5711453703i</v>
      </c>
      <c r="AW53" s="64">
        <f t="shared" si="97"/>
        <v>94.834513975787061</v>
      </c>
      <c r="AX53" s="61">
        <f t="shared" si="98"/>
        <v>73.062191440077797</v>
      </c>
    </row>
    <row r="54" spans="1:50" x14ac:dyDescent="0.3">
      <c r="A54" s="31" t="s">
        <v>199</v>
      </c>
      <c r="B54" s="1">
        <f>2*PI()*Fsw</f>
        <v>628318.53071795858</v>
      </c>
      <c r="C54" s="31" t="s">
        <v>205</v>
      </c>
      <c r="N54" s="10">
        <v>36</v>
      </c>
      <c r="O54" s="50">
        <f t="shared" si="71"/>
        <v>22.908676527677727</v>
      </c>
      <c r="P54" s="48" t="str">
        <f t="shared" si="72"/>
        <v>51201.9230769231</v>
      </c>
      <c r="Q54" s="17" t="str">
        <f t="shared" si="63"/>
        <v>1+6.72640167750949i</v>
      </c>
      <c r="R54" s="17">
        <f t="shared" si="73"/>
        <v>6.8003293690234212</v>
      </c>
      <c r="S54" s="17">
        <f t="shared" si="74"/>
        <v>1.4232094221103733</v>
      </c>
      <c r="T54" s="17" t="str">
        <f t="shared" si="64"/>
        <v>1+4.31818379296905E-10i</v>
      </c>
      <c r="U54" s="17">
        <f t="shared" si="75"/>
        <v>1</v>
      </c>
      <c r="V54" s="17">
        <f t="shared" si="76"/>
        <v>4.3181837929690499E-10</v>
      </c>
      <c r="W54" s="31" t="str">
        <f t="shared" si="65"/>
        <v>1-0.000233181924820329i</v>
      </c>
      <c r="X54" s="17">
        <f t="shared" si="77"/>
        <v>1.0000000271869047</v>
      </c>
      <c r="Y54" s="17">
        <f t="shared" si="78"/>
        <v>-2.3318192059399923E-4</v>
      </c>
      <c r="Z54" s="31" t="str">
        <f t="shared" si="66"/>
        <v>0.999999790077016+0.0142296017656033i</v>
      </c>
      <c r="AA54" s="17">
        <f t="shared" si="79"/>
        <v>1.0001010257571401</v>
      </c>
      <c r="AB54" s="17">
        <f t="shared" si="80"/>
        <v>1.4228644458097127E-2</v>
      </c>
      <c r="AC54" s="66" t="str">
        <f t="shared" si="81"/>
        <v>999.283694662519-7461.95623248083i</v>
      </c>
      <c r="AD54" s="64">
        <f t="shared" si="82"/>
        <v>77.534249279045952</v>
      </c>
      <c r="AE54" s="61">
        <f t="shared" si="83"/>
        <v>-82.372494840985851</v>
      </c>
      <c r="AF54" s="31" t="str">
        <f t="shared" si="84"/>
        <v>-0.332666666666667</v>
      </c>
      <c r="AG54" s="31" t="str">
        <f t="shared" si="85"/>
        <v>143.939459765635i</v>
      </c>
      <c r="AH54" s="31">
        <f t="shared" si="86"/>
        <v>143.93945976563501</v>
      </c>
      <c r="AI54" s="31">
        <f t="shared" si="87"/>
        <v>1.5707963267948966</v>
      </c>
      <c r="AJ54" s="31" t="str">
        <f t="shared" si="67"/>
        <v>0.998894600579869+1.18699200495513i</v>
      </c>
      <c r="AK54" s="31">
        <f t="shared" si="88"/>
        <v>1.5513672817534263</v>
      </c>
      <c r="AL54" s="31">
        <f t="shared" si="89"/>
        <v>0.87123755889893351</v>
      </c>
      <c r="AM54" s="31" t="str">
        <f t="shared" si="68"/>
        <v>1+4318.6501568187i</v>
      </c>
      <c r="AN54" s="31">
        <f t="shared" si="90"/>
        <v>4318.6502725956152</v>
      </c>
      <c r="AO54" s="31">
        <f t="shared" si="91"/>
        <v>1.570564772965386</v>
      </c>
      <c r="AP54" s="31" t="str">
        <f t="shared" si="69"/>
        <v>1+0.466363849640657i</v>
      </c>
      <c r="AQ54" s="31">
        <f t="shared" si="92"/>
        <v>1.1034016676857314</v>
      </c>
      <c r="AR54" s="31">
        <f t="shared" si="93"/>
        <v>0.43637846734339347</v>
      </c>
      <c r="AS54" s="58" t="str">
        <f t="shared" si="94"/>
        <v>-6.43758864734641+2.99217107156987i</v>
      </c>
      <c r="AT54" s="49">
        <f t="shared" si="95"/>
        <v>17.023929245182288</v>
      </c>
      <c r="AU54" s="61">
        <f t="shared" si="96"/>
        <v>155.07114231381343</v>
      </c>
      <c r="AV54" s="58" t="str">
        <f t="shared" si="70"/>
        <v>15894.4722079118+51027.032492675i</v>
      </c>
      <c r="AW54" s="64">
        <f t="shared" si="97"/>
        <v>94.558178524228239</v>
      </c>
      <c r="AX54" s="61">
        <f t="shared" si="98"/>
        <v>72.698647472827616</v>
      </c>
    </row>
    <row r="55" spans="1:50" x14ac:dyDescent="0.3">
      <c r="A55" s="31" t="s">
        <v>200</v>
      </c>
      <c r="B55" s="1">
        <f>1/(PI()*(((1-Dc_var_ccm)*mc)-0.5))</f>
        <v>3.2198619336001516E-2</v>
      </c>
      <c r="N55" s="10">
        <v>37</v>
      </c>
      <c r="O55" s="50">
        <f t="shared" si="71"/>
        <v>23.442288153199236</v>
      </c>
      <c r="P55" s="48" t="str">
        <f t="shared" si="72"/>
        <v>51201.9230769231</v>
      </c>
      <c r="Q55" s="17" t="str">
        <f t="shared" si="63"/>
        <v>1+6.88307969986097i</v>
      </c>
      <c r="R55" s="17">
        <f t="shared" si="73"/>
        <v>6.9553422744418683</v>
      </c>
      <c r="S55" s="17">
        <f t="shared" si="74"/>
        <v>1.4265219566913823</v>
      </c>
      <c r="T55" s="17" t="str">
        <f t="shared" si="64"/>
        <v>1+4.41876721472556E-10i</v>
      </c>
      <c r="U55" s="17">
        <f t="shared" si="75"/>
        <v>1</v>
      </c>
      <c r="V55" s="17">
        <f t="shared" si="76"/>
        <v>4.4187672147255602E-10</v>
      </c>
      <c r="W55" s="31" t="str">
        <f t="shared" si="65"/>
        <v>1-0.00023861342959518i</v>
      </c>
      <c r="X55" s="17">
        <f t="shared" si="77"/>
        <v>1.000000028468184</v>
      </c>
      <c r="Y55" s="17">
        <f t="shared" si="78"/>
        <v>-2.3861342506658608E-4</v>
      </c>
      <c r="Z55" s="31" t="str">
        <f t="shared" si="66"/>
        <v>0.99999978018365+0.0145610517696877i</v>
      </c>
      <c r="AA55" s="17">
        <f t="shared" si="79"/>
        <v>1.0001057867025807</v>
      </c>
      <c r="AB55" s="17">
        <f t="shared" si="80"/>
        <v>1.4560026002073755E-2</v>
      </c>
      <c r="AC55" s="66" t="str">
        <f t="shared" si="81"/>
        <v>950.377433295481-7299.13461329326i</v>
      </c>
      <c r="AD55" s="64">
        <f t="shared" si="82"/>
        <v>77.338436768219253</v>
      </c>
      <c r="AE55" s="61">
        <f t="shared" si="83"/>
        <v>-82.581587057553577</v>
      </c>
      <c r="AF55" s="31" t="str">
        <f t="shared" si="84"/>
        <v>-0.332666666666667</v>
      </c>
      <c r="AG55" s="31" t="str">
        <f t="shared" si="85"/>
        <v>147.292240490852i</v>
      </c>
      <c r="AH55" s="31">
        <f t="shared" si="86"/>
        <v>147.29224049085201</v>
      </c>
      <c r="AI55" s="31">
        <f t="shared" si="87"/>
        <v>1.5707963267948966</v>
      </c>
      <c r="AJ55" s="31" t="str">
        <f t="shared" si="67"/>
        <v>0.998842504710182+1.21464060056387i</v>
      </c>
      <c r="AK55" s="31">
        <f t="shared" si="88"/>
        <v>1.5725896278921174</v>
      </c>
      <c r="AL55" s="31">
        <f t="shared" si="89"/>
        <v>0.88258357336851889</v>
      </c>
      <c r="AM55" s="31" t="str">
        <f t="shared" si="68"/>
        <v>1+4419.24444158476i</v>
      </c>
      <c r="AN55" s="31">
        <f t="shared" si="90"/>
        <v>4419.2445547262714</v>
      </c>
      <c r="AO55" s="31">
        <f t="shared" si="91"/>
        <v>1.5705700437738621</v>
      </c>
      <c r="AP55" s="31" t="str">
        <f t="shared" si="69"/>
        <v>1+0.477226859190361i</v>
      </c>
      <c r="AQ55" s="31">
        <f t="shared" si="92"/>
        <v>1.1080367661466368</v>
      </c>
      <c r="AR55" s="31">
        <f t="shared" si="93"/>
        <v>0.44526368495172869</v>
      </c>
      <c r="AS55" s="58" t="str">
        <f t="shared" si="94"/>
        <v>-6.37009215610689+2.97984183459644i</v>
      </c>
      <c r="AT55" s="49">
        <f t="shared" si="95"/>
        <v>16.942324357159627</v>
      </c>
      <c r="AU55" s="61">
        <f t="shared" si="96"/>
        <v>154.9304510345051</v>
      </c>
      <c r="AV55" s="58" t="str">
        <f t="shared" si="70"/>
        <v>15696.2748438656+49328.134580898i</v>
      </c>
      <c r="AW55" s="64">
        <f t="shared" si="97"/>
        <v>94.280761125378888</v>
      </c>
      <c r="AX55" s="61">
        <f t="shared" si="98"/>
        <v>72.348863976951563</v>
      </c>
    </row>
    <row r="56" spans="1:50" x14ac:dyDescent="0.3">
      <c r="N56" s="10">
        <v>38</v>
      </c>
      <c r="O56" s="50">
        <f t="shared" si="71"/>
        <v>23.988329190194907</v>
      </c>
      <c r="P56" s="48" t="str">
        <f t="shared" si="72"/>
        <v>51201.9230769231</v>
      </c>
      <c r="Q56" s="17" t="str">
        <f t="shared" si="63"/>
        <v>1+7.04340722217763i</v>
      </c>
      <c r="R56" s="17">
        <f t="shared" si="73"/>
        <v>7.1140414180284335</v>
      </c>
      <c r="S56" s="17">
        <f t="shared" si="74"/>
        <v>1.429762172563664</v>
      </c>
      <c r="T56" s="17" t="str">
        <f t="shared" si="64"/>
        <v>1+4.5216935253486E-10i</v>
      </c>
      <c r="U56" s="17">
        <f t="shared" si="75"/>
        <v>1</v>
      </c>
      <c r="V56" s="17">
        <f t="shared" si="76"/>
        <v>4.5216935253485999E-10</v>
      </c>
      <c r="W56" s="31" t="str">
        <f t="shared" si="65"/>
        <v>1-0.000244171450368824i</v>
      </c>
      <c r="X56" s="17">
        <f t="shared" si="77"/>
        <v>1.0000000298098481</v>
      </c>
      <c r="Y56" s="17">
        <f t="shared" si="78"/>
        <v>-2.4417144551634821E-4</v>
      </c>
      <c r="Z56" s="31" t="str">
        <f t="shared" si="66"/>
        <v>0.999999769824025+0.0149002222361586i</v>
      </c>
      <c r="AA56" s="17">
        <f t="shared" si="79"/>
        <v>1.000110772000177</v>
      </c>
      <c r="AB56" s="17">
        <f t="shared" si="80"/>
        <v>1.4899123112932459E-2</v>
      </c>
      <c r="AC56" s="66" t="str">
        <f t="shared" si="81"/>
        <v>903.583376087288-7139.5559699637i</v>
      </c>
      <c r="AD56" s="64">
        <f t="shared" si="82"/>
        <v>77.142435828593591</v>
      </c>
      <c r="AE56" s="61">
        <f t="shared" si="83"/>
        <v>-82.786985035568406</v>
      </c>
      <c r="AF56" s="31" t="str">
        <f t="shared" si="84"/>
        <v>-0.332666666666667</v>
      </c>
      <c r="AG56" s="31" t="str">
        <f t="shared" si="85"/>
        <v>150.72311751162i</v>
      </c>
      <c r="AH56" s="31">
        <f t="shared" si="86"/>
        <v>150.72311751161999</v>
      </c>
      <c r="AI56" s="31">
        <f t="shared" si="87"/>
        <v>1.5707963267948966</v>
      </c>
      <c r="AJ56" s="31" t="str">
        <f t="shared" si="67"/>
        <v>0.998787953637797+1.2429332146967i</v>
      </c>
      <c r="AK56" s="31">
        <f t="shared" si="88"/>
        <v>1.5945094394603787</v>
      </c>
      <c r="AL56" s="31">
        <f t="shared" si="89"/>
        <v>0.89388033359330088</v>
      </c>
      <c r="AM56" s="31" t="str">
        <f t="shared" si="68"/>
        <v>1+4522.18186824934i</v>
      </c>
      <c r="AN56" s="31">
        <f t="shared" si="90"/>
        <v>4522.1819788154362</v>
      </c>
      <c r="AO56" s="31">
        <f t="shared" si="91"/>
        <v>1.5705751946041016</v>
      </c>
      <c r="AP56" s="31" t="str">
        <f t="shared" si="69"/>
        <v>1+0.488342900737649i</v>
      </c>
      <c r="AQ56" s="31">
        <f t="shared" si="92"/>
        <v>1.112869618913582</v>
      </c>
      <c r="AR56" s="31">
        <f t="shared" si="93"/>
        <v>0.45427851588221646</v>
      </c>
      <c r="AS56" s="58" t="str">
        <f t="shared" si="94"/>
        <v>-6.30318749761311+2.96605472785865i</v>
      </c>
      <c r="AT56" s="49">
        <f t="shared" si="95"/>
        <v>16.859892900223691</v>
      </c>
      <c r="AU56" s="61">
        <f t="shared" si="96"/>
        <v>154.80000123762846</v>
      </c>
      <c r="AV56" s="58" t="str">
        <f t="shared" si="70"/>
        <v>15480.8583003178+47682.0376730424i</v>
      </c>
      <c r="AW56" s="64">
        <f t="shared" si="97"/>
        <v>94.00232872881729</v>
      </c>
      <c r="AX56" s="61">
        <f t="shared" si="98"/>
        <v>72.013016202060115</v>
      </c>
    </row>
    <row r="57" spans="1:50" x14ac:dyDescent="0.3">
      <c r="N57" s="10">
        <v>39</v>
      </c>
      <c r="O57" s="50">
        <f t="shared" si="71"/>
        <v>24.547089156850316</v>
      </c>
      <c r="P57" s="48" t="str">
        <f t="shared" si="72"/>
        <v>51201.9230769231</v>
      </c>
      <c r="Q57" s="17" t="str">
        <f t="shared" si="63"/>
        <v>1+7.207469252234i</v>
      </c>
      <c r="R57" s="17">
        <f t="shared" si="73"/>
        <v>7.2765110473288317</v>
      </c>
      <c r="S57" s="17">
        <f t="shared" si="74"/>
        <v>1.4329315154383278</v>
      </c>
      <c r="T57" s="17" t="str">
        <f t="shared" si="64"/>
        <v>1+4.62701729773047E-10i</v>
      </c>
      <c r="U57" s="17">
        <f t="shared" si="75"/>
        <v>1</v>
      </c>
      <c r="V57" s="17">
        <f t="shared" si="76"/>
        <v>4.6270172977304699E-10</v>
      </c>
      <c r="W57" s="31" t="str">
        <f t="shared" si="65"/>
        <v>1-0.000249858934077445i</v>
      </c>
      <c r="X57" s="17">
        <f t="shared" si="77"/>
        <v>1.000000031214743</v>
      </c>
      <c r="Y57" s="17">
        <f t="shared" si="78"/>
        <v>-2.4985892887792352E-4</v>
      </c>
      <c r="Z57" s="31" t="str">
        <f t="shared" si="66"/>
        <v>0.999999758976166+0.015247292997687i</v>
      </c>
      <c r="AA57" s="17">
        <f t="shared" si="79"/>
        <v>1.0001159922209761</v>
      </c>
      <c r="AB57" s="17">
        <f t="shared" si="80"/>
        <v>1.5246115273308389E-2</v>
      </c>
      <c r="AC57" s="66" t="str">
        <f t="shared" si="81"/>
        <v>858.814069817488-6983.17591203224i</v>
      </c>
      <c r="AD57" s="64">
        <f t="shared" si="82"/>
        <v>76.946254429446299</v>
      </c>
      <c r="AE57" s="61">
        <f t="shared" si="83"/>
        <v>-82.988782060619371</v>
      </c>
      <c r="AF57" s="31" t="str">
        <f t="shared" si="84"/>
        <v>-0.332666666666667</v>
      </c>
      <c r="AG57" s="31" t="str">
        <f t="shared" si="85"/>
        <v>154.233909924349i</v>
      </c>
      <c r="AH57" s="31">
        <f t="shared" si="86"/>
        <v>154.23390992434901</v>
      </c>
      <c r="AI57" s="31">
        <f t="shared" si="87"/>
        <v>1.5707963267948966</v>
      </c>
      <c r="AJ57" s="31" t="str">
        <f t="shared" si="67"/>
        <v>0.998730831652576+1.27188484847212i</v>
      </c>
      <c r="AK57" s="31">
        <f t="shared" si="88"/>
        <v>1.6171438840951642</v>
      </c>
      <c r="AL57" s="31">
        <f t="shared" si="89"/>
        <v>0.90512236462139073</v>
      </c>
      <c r="AM57" s="31" t="str">
        <f t="shared" si="68"/>
        <v>1+4627.51701559863i</v>
      </c>
      <c r="AN57" s="31">
        <f t="shared" si="90"/>
        <v>4627.5171236479337</v>
      </c>
      <c r="AO57" s="31">
        <f t="shared" si="91"/>
        <v>1.5705802281871415</v>
      </c>
      <c r="AP57" s="31" t="str">
        <f t="shared" si="69"/>
        <v>1+0.499717868154891i</v>
      </c>
      <c r="AQ57" s="31">
        <f t="shared" si="92"/>
        <v>1.1179078440342338</v>
      </c>
      <c r="AR57" s="31">
        <f t="shared" si="93"/>
        <v>0.4634218780541971</v>
      </c>
      <c r="AS57" s="58" t="str">
        <f t="shared" si="94"/>
        <v>-6.23693687750894+2.95084459089941i</v>
      </c>
      <c r="AT57" s="49">
        <f t="shared" si="95"/>
        <v>16.776695870959792</v>
      </c>
      <c r="AU57" s="61">
        <f t="shared" si="96"/>
        <v>154.68004477264202</v>
      </c>
      <c r="AV57" s="58" t="str">
        <f t="shared" si="70"/>
        <v>15249.8977243512+46087.8542203953i</v>
      </c>
      <c r="AW57" s="64">
        <f t="shared" si="97"/>
        <v>93.722950300406097</v>
      </c>
      <c r="AX57" s="61">
        <f t="shared" si="98"/>
        <v>71.691262712022649</v>
      </c>
    </row>
    <row r="58" spans="1:50" x14ac:dyDescent="0.3">
      <c r="N58" s="10">
        <v>40</v>
      </c>
      <c r="O58" s="50">
        <f t="shared" si="71"/>
        <v>25.118864315095799</v>
      </c>
      <c r="P58" s="48" t="str">
        <f t="shared" si="72"/>
        <v>51201.9230769231</v>
      </c>
      <c r="Q58" s="17" t="str">
        <f t="shared" si="63"/>
        <v>1+7.37535277789009i</v>
      </c>
      <c r="R58" s="17">
        <f t="shared" si="73"/>
        <v>7.4428374023843267</v>
      </c>
      <c r="S58" s="17">
        <f t="shared" si="74"/>
        <v>1.4360314109277497</v>
      </c>
      <c r="T58" s="17" t="str">
        <f t="shared" si="64"/>
        <v>1+4.73479437592945E-10i</v>
      </c>
      <c r="U58" s="17">
        <f t="shared" si="75"/>
        <v>1</v>
      </c>
      <c r="V58" s="17">
        <f t="shared" si="76"/>
        <v>4.7347943759294504E-10</v>
      </c>
      <c r="W58" s="31" t="str">
        <f t="shared" si="65"/>
        <v>1-0.00025567889630019i</v>
      </c>
      <c r="X58" s="17">
        <f t="shared" si="77"/>
        <v>1.0000000326858485</v>
      </c>
      <c r="Y58" s="17">
        <f t="shared" si="78"/>
        <v>-2.5567889072880236E-4</v>
      </c>
      <c r="Z58" s="31" t="str">
        <f t="shared" si="66"/>
        <v>0.999999747617062+0.0156024480757845i</v>
      </c>
      <c r="AA58" s="17">
        <f t="shared" si="79"/>
        <v>1.000121458433997</v>
      </c>
      <c r="AB58" s="17">
        <f t="shared" si="80"/>
        <v>1.5601186129653631E-2</v>
      </c>
      <c r="AC58" s="66" t="str">
        <f t="shared" si="81"/>
        <v>815.985356779998-6829.94923321967i</v>
      </c>
      <c r="AD58" s="64">
        <f t="shared" si="82"/>
        <v>76.749900201311675</v>
      </c>
      <c r="AE58" s="61">
        <f t="shared" si="83"/>
        <v>-83.187070509225023</v>
      </c>
      <c r="AF58" s="31" t="str">
        <f t="shared" si="84"/>
        <v>-0.332666666666667</v>
      </c>
      <c r="AG58" s="31" t="str">
        <f t="shared" si="85"/>
        <v>157.826479197648i</v>
      </c>
      <c r="AH58" s="31">
        <f t="shared" si="86"/>
        <v>157.82647919764801</v>
      </c>
      <c r="AI58" s="31">
        <f t="shared" si="87"/>
        <v>1.5707963267948966</v>
      </c>
      <c r="AJ58" s="31" t="str">
        <f t="shared" si="67"/>
        <v>0.99867101759113+1.30151085242959i</v>
      </c>
      <c r="AK58" s="31">
        <f t="shared" si="88"/>
        <v>1.6405103780130443</v>
      </c>
      <c r="AL58" s="31">
        <f t="shared" si="89"/>
        <v>0.91630433012253376</v>
      </c>
      <c r="AM58" s="31" t="str">
        <f t="shared" si="68"/>
        <v>1+4735.30573372205i</v>
      </c>
      <c r="AN58" s="31">
        <f t="shared" si="90"/>
        <v>4735.3058393118508</v>
      </c>
      <c r="AO58" s="31">
        <f t="shared" si="91"/>
        <v>1.5705851471918537</v>
      </c>
      <c r="AP58" s="31" t="str">
        <f t="shared" si="69"/>
        <v>1+0.51135779260038i</v>
      </c>
      <c r="AQ58" s="31">
        <f t="shared" si="92"/>
        <v>1.1231592905964556</v>
      </c>
      <c r="AR58" s="31">
        <f t="shared" si="93"/>
        <v>0.47269250328446777</v>
      </c>
      <c r="AS58" s="58" t="str">
        <f t="shared" si="94"/>
        <v>-6.17139991936747+2.93424940363309i</v>
      </c>
      <c r="AT58" s="49">
        <f t="shared" si="95"/>
        <v>16.692796480061464</v>
      </c>
      <c r="AU58" s="61">
        <f t="shared" si="96"/>
        <v>154.57081488011676</v>
      </c>
      <c r="AV58" s="58" t="str">
        <f t="shared" si="70"/>
        <v>15005.002499382+44544.6526936808i</v>
      </c>
      <c r="AW58" s="64">
        <f t="shared" si="97"/>
        <v>93.44269668137315</v>
      </c>
      <c r="AX58" s="61">
        <f t="shared" si="98"/>
        <v>71.383744370891705</v>
      </c>
    </row>
    <row r="59" spans="1:50" x14ac:dyDescent="0.3">
      <c r="N59" s="10">
        <v>41</v>
      </c>
      <c r="O59" s="50">
        <f t="shared" si="71"/>
        <v>25.703957827688647</v>
      </c>
      <c r="P59" s="48" t="str">
        <f t="shared" si="72"/>
        <v>51201.9230769231</v>
      </c>
      <c r="Q59" s="17" t="str">
        <f t="shared" si="63"/>
        <v>1+7.54714681321331i</v>
      </c>
      <c r="R59" s="17">
        <f t="shared" si="73"/>
        <v>7.613108761878804</v>
      </c>
      <c r="S59" s="17">
        <f t="shared" si="74"/>
        <v>1.4390632642082053</v>
      </c>
      <c r="T59" s="17" t="str">
        <f t="shared" si="64"/>
        <v>1+4.84508190477891E-10i</v>
      </c>
      <c r="U59" s="17">
        <f t="shared" si="75"/>
        <v>1</v>
      </c>
      <c r="V59" s="17">
        <f t="shared" si="76"/>
        <v>4.84508190477891E-10</v>
      </c>
      <c r="W59" s="31" t="str">
        <f t="shared" si="65"/>
        <v>1-0.000261634422858061i</v>
      </c>
      <c r="X59" s="17">
        <f t="shared" si="77"/>
        <v>1.0000000342262849</v>
      </c>
      <c r="Y59" s="17">
        <f t="shared" si="78"/>
        <v>-2.6163441688821162E-4</v>
      </c>
      <c r="Z59" s="31" t="str">
        <f t="shared" si="66"/>
        <v>0.999999735722621+0.0159658757783746i</v>
      </c>
      <c r="AA59" s="17">
        <f t="shared" si="79"/>
        <v>1.0001271822296816</v>
      </c>
      <c r="AB59" s="17">
        <f t="shared" si="80"/>
        <v>1.5964523588020054E-2</v>
      </c>
      <c r="AC59" s="66" t="str">
        <f t="shared" si="81"/>
        <v>775.016279278001-6679.83003709348i</v>
      </c>
      <c r="AD59" s="64">
        <f t="shared" si="82"/>
        <v>76.553380448436343</v>
      </c>
      <c r="AE59" s="61">
        <f t="shared" si="83"/>
        <v>-83.381941835083254</v>
      </c>
      <c r="AF59" s="31" t="str">
        <f t="shared" si="84"/>
        <v>-0.332666666666667</v>
      </c>
      <c r="AG59" s="31" t="str">
        <f t="shared" si="85"/>
        <v>161.502730159297i</v>
      </c>
      <c r="AH59" s="31">
        <f t="shared" si="86"/>
        <v>161.50273015929699</v>
      </c>
      <c r="AI59" s="31">
        <f t="shared" si="87"/>
        <v>1.5707963267948966</v>
      </c>
      <c r="AJ59" s="31" t="str">
        <f t="shared" si="67"/>
        <v>0.998608384579815+1.33182693466855i</v>
      </c>
      <c r="AK59" s="31">
        <f t="shared" si="88"/>
        <v>1.6646265916600438</v>
      </c>
      <c r="AL59" s="31">
        <f t="shared" si="89"/>
        <v>0.92742104390087399</v>
      </c>
      <c r="AM59" s="31" t="str">
        <f t="shared" si="68"/>
        <v>1+4845.60517362463i</v>
      </c>
      <c r="AN59" s="31">
        <f t="shared" si="90"/>
        <v>4845.6052768109139</v>
      </c>
      <c r="AO59" s="31">
        <f t="shared" si="91"/>
        <v>1.5705899542263584</v>
      </c>
      <c r="AP59" s="31" t="str">
        <f t="shared" si="69"/>
        <v>1+0.523268845716122i</v>
      </c>
      <c r="AQ59" s="31">
        <f t="shared" si="92"/>
        <v>1.128632041409902</v>
      </c>
      <c r="AR59" s="31">
        <f t="shared" si="93"/>
        <v>0.48208893198618796</v>
      </c>
      <c r="AS59" s="58" t="str">
        <f t="shared" si="94"/>
        <v>-6.10663347372796+2.91631006287328i</v>
      </c>
      <c r="AT59" s="49">
        <f t="shared" si="95"/>
        <v>16.608259987014279</v>
      </c>
      <c r="AU59" s="61">
        <f t="shared" si="96"/>
        <v>154.47252522845625</v>
      </c>
      <c r="AV59" s="58" t="str">
        <f t="shared" si="70"/>
        <v>14747.7152017358+43051.4614774776i</v>
      </c>
      <c r="AW59" s="64">
        <f t="shared" si="97"/>
        <v>93.161640435450636</v>
      </c>
      <c r="AX59" s="61">
        <f t="shared" si="98"/>
        <v>71.090583393373009</v>
      </c>
    </row>
    <row r="60" spans="1:50" x14ac:dyDescent="0.3">
      <c r="N60" s="10">
        <v>42</v>
      </c>
      <c r="O60" s="50">
        <f t="shared" si="71"/>
        <v>26.302679918953825</v>
      </c>
      <c r="P60" s="48" t="str">
        <f t="shared" si="72"/>
        <v>51201.9230769231</v>
      </c>
      <c r="Q60" s="17" t="str">
        <f t="shared" si="63"/>
        <v>1+7.72294244567519i</v>
      </c>
      <c r="R60" s="17">
        <f t="shared" si="73"/>
        <v>7.7874154903415471</v>
      </c>
      <c r="S60" s="17">
        <f t="shared" si="74"/>
        <v>1.4420284597369846</v>
      </c>
      <c r="T60" s="17" t="str">
        <f t="shared" si="64"/>
        <v>1+4.95793836018654E-10i</v>
      </c>
      <c r="U60" s="17">
        <f t="shared" si="75"/>
        <v>1</v>
      </c>
      <c r="V60" s="17">
        <f t="shared" si="76"/>
        <v>4.9579383601865403E-10</v>
      </c>
      <c r="W60" s="31" t="str">
        <f t="shared" si="65"/>
        <v>1-0.000267728671450073i</v>
      </c>
      <c r="X60" s="17">
        <f t="shared" si="77"/>
        <v>1.0000000358393202</v>
      </c>
      <c r="Y60" s="17">
        <f t="shared" si="78"/>
        <v>-2.6772866505326415E-4</v>
      </c>
      <c r="Z60" s="31" t="str">
        <f t="shared" si="66"/>
        <v>0.999999723267612+0.0163377687996357i</v>
      </c>
      <c r="AA60" s="17">
        <f t="shared" si="79"/>
        <v>1.0001331757444361</v>
      </c>
      <c r="AB60" s="17">
        <f t="shared" si="80"/>
        <v>1.6336319911986297E-2</v>
      </c>
      <c r="AC60" s="66" t="str">
        <f t="shared" si="81"/>
        <v>735.828984212544-6532.771854228i</v>
      </c>
      <c r="AD60" s="64">
        <f t="shared" si="82"/>
        <v>76.356702160852421</v>
      </c>
      <c r="AE60" s="61">
        <f t="shared" si="83"/>
        <v>-83.573486558567637</v>
      </c>
      <c r="AF60" s="31" t="str">
        <f t="shared" si="84"/>
        <v>-0.332666666666667</v>
      </c>
      <c r="AG60" s="31" t="str">
        <f t="shared" si="85"/>
        <v>165.264612006218i</v>
      </c>
      <c r="AH60" s="31">
        <f t="shared" si="86"/>
        <v>165.26461200621799</v>
      </c>
      <c r="AI60" s="31">
        <f t="shared" si="87"/>
        <v>1.5707963267948966</v>
      </c>
      <c r="AJ60" s="31" t="str">
        <f t="shared" si="67"/>
        <v>0.998542799765616+1.36284916917708i</v>
      </c>
      <c r="AK60" s="31">
        <f t="shared" si="88"/>
        <v>1.6895104559872995</v>
      </c>
      <c r="AL60" s="31">
        <f t="shared" si="89"/>
        <v>0.93846748053435514</v>
      </c>
      <c r="AM60" s="31" t="str">
        <f t="shared" si="68"/>
        <v>1+4958.47381752945i</v>
      </c>
      <c r="AN60" s="31">
        <f t="shared" si="90"/>
        <v>4958.4739183669271</v>
      </c>
      <c r="AO60" s="31">
        <f t="shared" si="91"/>
        <v>1.5705946518394078</v>
      </c>
      <c r="AP60" s="31" t="str">
        <f t="shared" si="69"/>
        <v>1+0.535457342900146i</v>
      </c>
      <c r="AQ60" s="31">
        <f t="shared" si="92"/>
        <v>1.1343344154462054</v>
      </c>
      <c r="AR60" s="31">
        <f t="shared" si="93"/>
        <v>0.49160950828706862</v>
      </c>
      <c r="AS60" s="58" t="str">
        <f t="shared" si="94"/>
        <v>-6.04269144924329+2.89707014646158i</v>
      </c>
      <c r="AT60" s="49">
        <f t="shared" si="95"/>
        <v>16.523153524022721</v>
      </c>
      <c r="AU60" s="61">
        <f t="shared" si="96"/>
        <v>154.38536902467339</v>
      </c>
      <c r="AV60" s="58" t="str">
        <f t="shared" si="70"/>
        <v>14479.5108015219+41607.2728064641i</v>
      </c>
      <c r="AW60" s="64">
        <f t="shared" si="97"/>
        <v>92.879855684875139</v>
      </c>
      <c r="AX60" s="61">
        <f t="shared" si="98"/>
        <v>70.811882466105743</v>
      </c>
    </row>
    <row r="61" spans="1:50" ht="15.6" x14ac:dyDescent="0.3">
      <c r="A61" s="51" t="s">
        <v>215</v>
      </c>
      <c r="N61" s="10">
        <v>43</v>
      </c>
      <c r="O61" s="50">
        <f t="shared" si="71"/>
        <v>26.915348039269158</v>
      </c>
      <c r="P61" s="48" t="str">
        <f t="shared" si="72"/>
        <v>51201.9230769231</v>
      </c>
      <c r="Q61" s="17" t="str">
        <f t="shared" si="63"/>
        <v>1+7.90283288444703i</v>
      </c>
      <c r="R61" s="17">
        <f t="shared" si="73"/>
        <v>7.9658500864312893</v>
      </c>
      <c r="S61" s="17">
        <f t="shared" si="74"/>
        <v>1.4449283610202455</v>
      </c>
      <c r="T61" s="17" t="str">
        <f t="shared" si="64"/>
        <v>1+5.07342358013884E-10i</v>
      </c>
      <c r="U61" s="17">
        <f t="shared" si="75"/>
        <v>1</v>
      </c>
      <c r="V61" s="17">
        <f t="shared" si="76"/>
        <v>5.0734235801388403E-10</v>
      </c>
      <c r="W61" s="31" t="str">
        <f t="shared" si="65"/>
        <v>1-0.000273964873327497i</v>
      </c>
      <c r="X61" s="17">
        <f t="shared" si="77"/>
        <v>1.0000000375283753</v>
      </c>
      <c r="Y61" s="17">
        <f t="shared" si="78"/>
        <v>-2.739648664731928E-4</v>
      </c>
      <c r="Z61" s="31" t="str">
        <f t="shared" si="66"/>
        <v>0.999999710225616+0.0167183243221704i</v>
      </c>
      <c r="AA61" s="17">
        <f t="shared" si="79"/>
        <v>1.000139451686342</v>
      </c>
      <c r="AB61" s="17">
        <f t="shared" si="80"/>
        <v>1.671677182277401E-2</v>
      </c>
      <c r="AC61" s="66" t="str">
        <f t="shared" si="81"/>
        <v>698.348628077009-6388.72775127951i</v>
      </c>
      <c r="AD61" s="64">
        <f t="shared" si="82"/>
        <v>76.15987202606982</v>
      </c>
      <c r="AE61" s="61">
        <f t="shared" si="83"/>
        <v>-83.761794259258778</v>
      </c>
      <c r="AF61" s="31" t="str">
        <f t="shared" si="84"/>
        <v>-0.332666666666667</v>
      </c>
      <c r="AG61" s="31" t="str">
        <f t="shared" si="85"/>
        <v>169.114119337961i</v>
      </c>
      <c r="AH61" s="31">
        <f t="shared" si="86"/>
        <v>169.114119337961</v>
      </c>
      <c r="AI61" s="31">
        <f t="shared" si="87"/>
        <v>1.5707963267948966</v>
      </c>
      <c r="AJ61" s="31" t="str">
        <f t="shared" si="67"/>
        <v>0.99847412403435+1.39459400435456i</v>
      </c>
      <c r="AK61" s="31">
        <f t="shared" si="88"/>
        <v>1.7151801693547675</v>
      </c>
      <c r="AL61" s="31">
        <f t="shared" si="89"/>
        <v>0.94943878509821433</v>
      </c>
      <c r="AM61" s="31" t="str">
        <f t="shared" si="68"/>
        <v>1+5073.97150988549i</v>
      </c>
      <c r="AN61" s="31">
        <f t="shared" si="90"/>
        <v>5073.971608427627</v>
      </c>
      <c r="AO61" s="31">
        <f t="shared" si="91"/>
        <v>1.5705992425217381</v>
      </c>
      <c r="AP61" s="31" t="str">
        <f t="shared" si="69"/>
        <v>1+0.547929746654994i</v>
      </c>
      <c r="AQ61" s="31">
        <f t="shared" si="92"/>
        <v>1.1402749700267063</v>
      </c>
      <c r="AR61" s="31">
        <f t="shared" si="93"/>
        <v>0.50125237562173242</v>
      </c>
      <c r="AS61" s="58" t="str">
        <f t="shared" si="94"/>
        <v>-5.97962466669901+2.8765756674253i</v>
      </c>
      <c r="AT61" s="49">
        <f t="shared" si="95"/>
        <v>16.437545910058315</v>
      </c>
      <c r="AU61" s="61">
        <f t="shared" si="96"/>
        <v>154.30951820481502</v>
      </c>
      <c r="AV61" s="58" t="str">
        <f t="shared" si="70"/>
        <v>14201.7961127307+40211.0467212816i</v>
      </c>
      <c r="AW61" s="64">
        <f t="shared" si="97"/>
        <v>92.597417936128124</v>
      </c>
      <c r="AX61" s="61">
        <f t="shared" si="98"/>
        <v>70.547723945556228</v>
      </c>
    </row>
    <row r="62" spans="1:50" x14ac:dyDescent="0.3">
      <c r="A62" s="31" t="s">
        <v>180</v>
      </c>
      <c r="N62" s="10">
        <v>44</v>
      </c>
      <c r="O62" s="50">
        <f t="shared" si="71"/>
        <v>27.542287033381665</v>
      </c>
      <c r="P62" s="48" t="str">
        <f t="shared" si="72"/>
        <v>51201.9230769231</v>
      </c>
      <c r="Q62" s="17" t="str">
        <f t="shared" si="63"/>
        <v>1+8.08691350982056i</v>
      </c>
      <c r="R62" s="17">
        <f t="shared" si="73"/>
        <v>8.1485072323290169</v>
      </c>
      <c r="S62" s="17">
        <f t="shared" si="74"/>
        <v>1.4477643104280868</v>
      </c>
      <c r="T62" s="17" t="str">
        <f t="shared" si="64"/>
        <v>1+5.19159879642801E-10i</v>
      </c>
      <c r="U62" s="17">
        <f t="shared" si="75"/>
        <v>1</v>
      </c>
      <c r="V62" s="17">
        <f t="shared" si="76"/>
        <v>5.1915987964280095E-10</v>
      </c>
      <c r="W62" s="31" t="str">
        <f t="shared" si="65"/>
        <v>1-0.000280346335007112i</v>
      </c>
      <c r="X62" s="17">
        <f t="shared" si="77"/>
        <v>1.000000039297033</v>
      </c>
      <c r="Y62" s="17">
        <f t="shared" si="78"/>
        <v>-2.8034632766259275E-4</v>
      </c>
      <c r="Z62" s="31" t="str">
        <f t="shared" si="66"/>
        <v>0.99999969656897+0.0171077441215539i</v>
      </c>
      <c r="AA62" s="17">
        <f t="shared" si="79"/>
        <v>1.0001460233620691</v>
      </c>
      <c r="AB62" s="17">
        <f t="shared" si="80"/>
        <v>1.710608060159664E-2</v>
      </c>
      <c r="AC62" s="66" t="str">
        <f t="shared" si="81"/>
        <v>662.50328263398-6247.65043238623i</v>
      </c>
      <c r="AD62" s="64">
        <f t="shared" si="82"/>
        <v>75.962896440389159</v>
      </c>
      <c r="AE62" s="61">
        <f t="shared" si="83"/>
        <v>-83.946953571310814</v>
      </c>
      <c r="AF62" s="31" t="str">
        <f t="shared" si="84"/>
        <v>-0.332666666666667</v>
      </c>
      <c r="AG62" s="31" t="str">
        <f t="shared" si="85"/>
        <v>173.053293214267i</v>
      </c>
      <c r="AH62" s="31">
        <f t="shared" si="86"/>
        <v>173.053293214267</v>
      </c>
      <c r="AI62" s="31">
        <f t="shared" si="87"/>
        <v>1.5707963267948966</v>
      </c>
      <c r="AJ62" s="31" t="str">
        <f t="shared" si="67"/>
        <v>0.998402211715583+1.42707827173277i</v>
      </c>
      <c r="AK62" s="31">
        <f t="shared" si="88"/>
        <v>1.7416542050620605</v>
      </c>
      <c r="AL62" s="31">
        <f t="shared" si="89"/>
        <v>0.96033028193931758</v>
      </c>
      <c r="AM62" s="31" t="str">
        <f t="shared" si="68"/>
        <v>1+5192.15948909803i</v>
      </c>
      <c r="AN62" s="31">
        <f t="shared" si="90"/>
        <v>5192.1595853970739</v>
      </c>
      <c r="AO62" s="31">
        <f t="shared" si="91"/>
        <v>1.5706037287073888</v>
      </c>
      <c r="AP62" s="31" t="str">
        <f t="shared" si="69"/>
        <v>1+0.560692670014225i</v>
      </c>
      <c r="AQ62" s="31">
        <f t="shared" si="92"/>
        <v>1.146462502748206</v>
      </c>
      <c r="AR62" s="31">
        <f t="shared" si="93"/>
        <v>0.51101547285369797</v>
      </c>
      <c r="AS62" s="58" t="str">
        <f t="shared" si="94"/>
        <v>-5.91748073637458+2.85487482061684i</v>
      </c>
      <c r="AT62" s="49">
        <f t="shared" si="95"/>
        <v>16.351507455975131</v>
      </c>
      <c r="AU62" s="61">
        <f t="shared" si="96"/>
        <v>154.24512270911123</v>
      </c>
      <c r="AV62" s="58" t="str">
        <f t="shared" si="70"/>
        <v>13915.9094946639+38861.7150214156i</v>
      </c>
      <c r="AW62" s="64">
        <f t="shared" si="97"/>
        <v>92.314403896364297</v>
      </c>
      <c r="AX62" s="61">
        <f t="shared" si="98"/>
        <v>70.298169137800357</v>
      </c>
    </row>
    <row r="63" spans="1:50" x14ac:dyDescent="0.3">
      <c r="A63" s="31" t="s">
        <v>178</v>
      </c>
      <c r="B63" s="3">
        <f>RFBT_iso</f>
        <v>30000000</v>
      </c>
      <c r="C63" s="2" t="s">
        <v>35</v>
      </c>
      <c r="E63" s="31" t="s">
        <v>181</v>
      </c>
      <c r="N63" s="10">
        <v>45</v>
      </c>
      <c r="O63" s="50">
        <f t="shared" si="71"/>
        <v>28.183829312644548</v>
      </c>
      <c r="P63" s="48" t="str">
        <f t="shared" si="72"/>
        <v>51201.9230769231</v>
      </c>
      <c r="Q63" s="17" t="str">
        <f t="shared" si="63"/>
        <v>1+8.27528192377993i</v>
      </c>
      <c r="R63" s="17">
        <f t="shared" si="73"/>
        <v>8.3354838442671628</v>
      </c>
      <c r="S63" s="17">
        <f t="shared" si="74"/>
        <v>1.4505376290534797</v>
      </c>
      <c r="T63" s="17" t="str">
        <f t="shared" si="64"/>
        <v>1+5.31252666711799E-10i</v>
      </c>
      <c r="U63" s="17">
        <f t="shared" si="75"/>
        <v>1</v>
      </c>
      <c r="V63" s="17">
        <f t="shared" si="76"/>
        <v>5.3125266671179897E-10</v>
      </c>
      <c r="W63" s="31" t="str">
        <f t="shared" si="65"/>
        <v>1-0.000286876440024371i</v>
      </c>
      <c r="X63" s="17">
        <f t="shared" si="77"/>
        <v>1.0000000411490451</v>
      </c>
      <c r="Y63" s="17">
        <f t="shared" si="78"/>
        <v>-2.8687643215457681E-4</v>
      </c>
      <c r="Z63" s="31" t="str">
        <f t="shared" si="66"/>
        <v>0.999999682268706+0.0175062346733184i</v>
      </c>
      <c r="AA63" s="17">
        <f t="shared" si="79"/>
        <v>1.0001529047050506</v>
      </c>
      <c r="AB63" s="17">
        <f t="shared" si="80"/>
        <v>1.7504452194287173E-2</v>
      </c>
      <c r="AC63" s="66" t="str">
        <f t="shared" si="81"/>
        <v>628.223841518306-6109.49233329156i</v>
      </c>
      <c r="AD63" s="64">
        <f t="shared" si="82"/>
        <v>75.765781519837333</v>
      </c>
      <c r="AE63" s="61">
        <f t="shared" si="83"/>
        <v>-84.129052181464232</v>
      </c>
      <c r="AF63" s="31" t="str">
        <f t="shared" si="84"/>
        <v>-0.332666666666667</v>
      </c>
      <c r="AG63" s="31" t="str">
        <f t="shared" si="85"/>
        <v>177.084222237266i</v>
      </c>
      <c r="AH63" s="31">
        <f t="shared" si="86"/>
        <v>177.084222237266</v>
      </c>
      <c r="AI63" s="31">
        <f t="shared" si="87"/>
        <v>1.5707963267948966</v>
      </c>
      <c r="AJ63" s="31" t="str">
        <f t="shared" si="67"/>
        <v>0.998326910273646+1.46031919490028i</v>
      </c>
      <c r="AK63" s="31">
        <f t="shared" si="88"/>
        <v>1.7689513195028082</v>
      </c>
      <c r="AL63" s="31">
        <f t="shared" si="89"/>
        <v>0.97113748247748377</v>
      </c>
      <c r="AM63" s="31" t="str">
        <f t="shared" si="68"/>
        <v>1+5313.10041999804i</v>
      </c>
      <c r="AN63" s="31">
        <f t="shared" si="90"/>
        <v>5313.1005141050509</v>
      </c>
      <c r="AO63" s="31">
        <f t="shared" si="91"/>
        <v>1.5706081127749945</v>
      </c>
      <c r="AP63" s="31" t="str">
        <f t="shared" si="69"/>
        <v>1+0.573752880048742i</v>
      </c>
      <c r="AQ63" s="31">
        <f t="shared" si="92"/>
        <v>1.1529060531388609</v>
      </c>
      <c r="AR63" s="31">
        <f t="shared" si="93"/>
        <v>0.52089653098229649</v>
      </c>
      <c r="AS63" s="58" t="str">
        <f t="shared" si="94"/>
        <v>-5.85630395893279+2.83201772427413i</v>
      </c>
      <c r="AT63" s="49">
        <f t="shared" si="95"/>
        <v>16.265109761699239</v>
      </c>
      <c r="AU63" s="61">
        <f t="shared" si="96"/>
        <v>154.19230984638571</v>
      </c>
      <c r="AV63" s="58" t="str">
        <f t="shared" si="70"/>
        <v>13623.120804019+37558.1851925163i</v>
      </c>
      <c r="AW63" s="64">
        <f t="shared" si="97"/>
        <v>92.030891281536569</v>
      </c>
      <c r="AX63" s="61">
        <f t="shared" si="98"/>
        <v>70.063257664921437</v>
      </c>
    </row>
    <row r="64" spans="1:50" x14ac:dyDescent="0.3">
      <c r="A64" s="31" t="s">
        <v>179</v>
      </c>
      <c r="B64" s="3">
        <f>RFBB_iso</f>
        <v>20013.342228152102</v>
      </c>
      <c r="C64" s="2" t="s">
        <v>35</v>
      </c>
      <c r="E64" s="31" t="s">
        <v>182</v>
      </c>
      <c r="N64" s="10">
        <v>46</v>
      </c>
      <c r="O64" s="50">
        <f t="shared" si="71"/>
        <v>28.840315031266066</v>
      </c>
      <c r="P64" s="48" t="str">
        <f t="shared" si="72"/>
        <v>51201.9230769231</v>
      </c>
      <c r="Q64" s="17" t="str">
        <f t="shared" si="63"/>
        <v>1+8.46803800175161i</v>
      </c>
      <c r="R64" s="17">
        <f t="shared" si="73"/>
        <v>8.5268791242229653</v>
      </c>
      <c r="S64" s="17">
        <f t="shared" si="74"/>
        <v>1.4532496166118825</v>
      </c>
      <c r="T64" s="17" t="str">
        <f t="shared" si="64"/>
        <v>1+5.43627130976647E-10i</v>
      </c>
      <c r="U64" s="17">
        <f t="shared" si="75"/>
        <v>1</v>
      </c>
      <c r="V64" s="17">
        <f t="shared" si="76"/>
        <v>5.4362713097664703E-10</v>
      </c>
      <c r="W64" s="31" t="str">
        <f t="shared" si="65"/>
        <v>1-0.000293558650727389i</v>
      </c>
      <c r="X64" s="17">
        <f t="shared" si="77"/>
        <v>1.0000000430883398</v>
      </c>
      <c r="Y64" s="17">
        <f t="shared" si="78"/>
        <v>-2.9355864229475267E-4</v>
      </c>
      <c r="Z64" s="31" t="str">
        <f t="shared" si="66"/>
        <v>0.999999667294492+0.0179140072624291i</v>
      </c>
      <c r="AA64" s="17">
        <f t="shared" si="79"/>
        <v>1.0001601103049917</v>
      </c>
      <c r="AB64" s="17">
        <f t="shared" si="80"/>
        <v>1.791209731824905E-2</v>
      </c>
      <c r="AC64" s="66" t="str">
        <f t="shared" si="81"/>
        <v>595.44392798024-5974.2057085777i</v>
      </c>
      <c r="AD64" s="64">
        <f t="shared" si="82"/>
        <v>75.568533110730058</v>
      </c>
      <c r="AE64" s="61">
        <f t="shared" si="83"/>
        <v>-84.308176829524655</v>
      </c>
      <c r="AF64" s="31" t="str">
        <f t="shared" si="84"/>
        <v>-0.332666666666667</v>
      </c>
      <c r="AG64" s="31" t="str">
        <f t="shared" si="85"/>
        <v>181.209043658882i</v>
      </c>
      <c r="AH64" s="31">
        <f t="shared" si="86"/>
        <v>181.209043658882</v>
      </c>
      <c r="AI64" s="31">
        <f t="shared" si="87"/>
        <v>1.5707963267948966</v>
      </c>
      <c r="AJ64" s="31" t="str">
        <f t="shared" si="67"/>
        <v>0.998248059984084+1.49433439863453i</v>
      </c>
      <c r="AK64" s="31">
        <f t="shared" si="88"/>
        <v>1.7970905609357617</v>
      </c>
      <c r="AL64" s="31">
        <f t="shared" si="89"/>
        <v>0.98185609201895407</v>
      </c>
      <c r="AM64" s="31" t="str">
        <f t="shared" si="68"/>
        <v>1+5436.85842706792i</v>
      </c>
      <c r="AN64" s="31">
        <f t="shared" si="90"/>
        <v>5436.858519032794</v>
      </c>
      <c r="AO64" s="31">
        <f t="shared" si="91"/>
        <v>1.5706123970490447</v>
      </c>
      <c r="AP64" s="31" t="str">
        <f t="shared" si="69"/>
        <v>1+0.587117301454778i</v>
      </c>
      <c r="AQ64" s="31">
        <f t="shared" si="92"/>
        <v>1.1596149040382073</v>
      </c>
      <c r="AR64" s="31">
        <f t="shared" si="93"/>
        <v>0.53089307048912471</v>
      </c>
      <c r="AS64" s="58" t="str">
        <f t="shared" si="94"/>
        <v>-5.7961352497508+2.8080561588927i</v>
      </c>
      <c r="AT64" s="49">
        <f t="shared" si="95"/>
        <v>16.178425506552546</v>
      </c>
      <c r="AU64" s="61">
        <f t="shared" si="96"/>
        <v>154.15118375170934</v>
      </c>
      <c r="AV64" s="58" t="str">
        <f t="shared" si="70"/>
        <v>13324.6315942472+36299.3442859898i</v>
      </c>
      <c r="AW64" s="64">
        <f t="shared" si="97"/>
        <v>91.746958617282601</v>
      </c>
      <c r="AX64" s="61">
        <f t="shared" si="98"/>
        <v>69.843006922184671</v>
      </c>
    </row>
    <row r="65" spans="1:50" x14ac:dyDescent="0.3">
      <c r="A65" s="31" t="s">
        <v>168</v>
      </c>
      <c r="B65" s="3">
        <f>Rcomp_iso</f>
        <v>3240</v>
      </c>
      <c r="C65" s="2" t="s">
        <v>35</v>
      </c>
      <c r="E65" s="31" t="s">
        <v>175</v>
      </c>
      <c r="N65" s="10">
        <v>47</v>
      </c>
      <c r="O65" s="50">
        <f t="shared" si="71"/>
        <v>29.512092266663863</v>
      </c>
      <c r="P65" s="48" t="str">
        <f t="shared" si="72"/>
        <v>51201.9230769231</v>
      </c>
      <c r="Q65" s="17" t="str">
        <f t="shared" si="63"/>
        <v>1+8.66528394555953i</v>
      </c>
      <c r="R65" s="17">
        <f t="shared" si="73"/>
        <v>8.7227946128045311</v>
      </c>
      <c r="S65" s="17">
        <f t="shared" si="74"/>
        <v>1.4559015513785258</v>
      </c>
      <c r="T65" s="17" t="str">
        <f t="shared" si="64"/>
        <v>1+5.56289833542094E-10i</v>
      </c>
      <c r="U65" s="17">
        <f t="shared" si="75"/>
        <v>1</v>
      </c>
      <c r="V65" s="17">
        <f t="shared" si="76"/>
        <v>5.56289833542094E-10</v>
      </c>
      <c r="W65" s="31" t="str">
        <f t="shared" si="65"/>
        <v>1-0.00030039651011273i</v>
      </c>
      <c r="X65" s="17">
        <f t="shared" si="77"/>
        <v>1.0000000451190305</v>
      </c>
      <c r="Y65" s="17">
        <f t="shared" si="78"/>
        <v>-3.0039650107699741E-4</v>
      </c>
      <c r="Z65" s="31" t="str">
        <f t="shared" si="66"/>
        <v>0.999999651614564+0.0183312780953102i</v>
      </c>
      <c r="AA65" s="17">
        <f t="shared" si="79"/>
        <v>1.0001676554387553</v>
      </c>
      <c r="AB65" s="17">
        <f t="shared" si="80"/>
        <v>1.8329231571776985E-2</v>
      </c>
      <c r="AC65" s="66" t="str">
        <f t="shared" si="81"/>
        <v>564.099803954712-5841.74271238321i</v>
      </c>
      <c r="AD65" s="64">
        <f t="shared" si="82"/>
        <v>75.371156799865375</v>
      </c>
      <c r="AE65" s="61">
        <f t="shared" si="83"/>
        <v>-84.484413311138411</v>
      </c>
      <c r="AF65" s="31" t="str">
        <f t="shared" si="84"/>
        <v>-0.332666666666667</v>
      </c>
      <c r="AG65" s="31" t="str">
        <f t="shared" si="85"/>
        <v>185.429944514031i</v>
      </c>
      <c r="AH65" s="31">
        <f t="shared" si="86"/>
        <v>185.42994451403101</v>
      </c>
      <c r="AI65" s="31">
        <f t="shared" si="87"/>
        <v>1.5707963267948966</v>
      </c>
      <c r="AJ65" s="31" t="str">
        <f t="shared" si="67"/>
        <v>0.998165493594862+1.52914191824679i</v>
      </c>
      <c r="AK65" s="31">
        <f t="shared" si="88"/>
        <v>1.8260912788639418</v>
      </c>
      <c r="AL65" s="31">
        <f t="shared" si="89"/>
        <v>0.99248201557632354</v>
      </c>
      <c r="AM65" s="31" t="str">
        <f t="shared" si="68"/>
        <v>1+5563.49912844116i</v>
      </c>
      <c r="AN65" s="31">
        <f t="shared" si="90"/>
        <v>5563.4992183126569</v>
      </c>
      <c r="AO65" s="31">
        <f t="shared" si="91"/>
        <v>1.5706165838011179</v>
      </c>
      <c r="AP65" s="31" t="str">
        <f t="shared" si="69"/>
        <v>1+0.60079302022546i</v>
      </c>
      <c r="AQ65" s="31">
        <f t="shared" si="92"/>
        <v>1.1665985826974203</v>
      </c>
      <c r="AR65" s="31">
        <f t="shared" si="93"/>
        <v>0.5410023993773313</v>
      </c>
      <c r="AS65" s="58" t="str">
        <f t="shared" si="94"/>
        <v>-5.73701208634483+2.78304330572088i</v>
      </c>
      <c r="AT65" s="49">
        <f t="shared" si="95"/>
        <v>16.091528233814319</v>
      </c>
      <c r="AU65" s="61">
        <f t="shared" si="96"/>
        <v>154.12182494067099</v>
      </c>
      <c r="AV65" s="58" t="str">
        <f t="shared" si="70"/>
        <v>13021.5755562489+35084.0627294139i</v>
      </c>
      <c r="AW65" s="64">
        <f t="shared" si="97"/>
        <v>91.462685033679691</v>
      </c>
      <c r="AX65" s="61">
        <f t="shared" si="98"/>
        <v>69.637411629532551</v>
      </c>
    </row>
    <row r="66" spans="1:50" x14ac:dyDescent="0.3">
      <c r="A66" s="31" t="s">
        <v>173</v>
      </c>
      <c r="B66" s="3">
        <f>Ccomp_iso</f>
        <v>1.0000000000000002E-6</v>
      </c>
      <c r="C66" s="2" t="s">
        <v>151</v>
      </c>
      <c r="E66" s="31" t="s">
        <v>176</v>
      </c>
      <c r="N66" s="10">
        <v>48</v>
      </c>
      <c r="O66" s="50">
        <f t="shared" si="71"/>
        <v>30.199517204020164</v>
      </c>
      <c r="P66" s="48" t="str">
        <f t="shared" si="72"/>
        <v>51201.9230769231</v>
      </c>
      <c r="Q66" s="17" t="str">
        <f t="shared" si="63"/>
        <v>1+8.86712433761399i</v>
      </c>
      <c r="R66" s="17">
        <f t="shared" si="73"/>
        <v>8.9233342433591698</v>
      </c>
      <c r="S66" s="17">
        <f t="shared" si="74"/>
        <v>1.458494690160536</v>
      </c>
      <c r="T66" s="17" t="str">
        <f t="shared" si="64"/>
        <v>1+5.69247488340652E-10i</v>
      </c>
      <c r="U66" s="17">
        <f t="shared" si="75"/>
        <v>1</v>
      </c>
      <c r="V66" s="17">
        <f t="shared" si="76"/>
        <v>5.6924748834065197E-10</v>
      </c>
      <c r="W66" s="31" t="str">
        <f t="shared" si="65"/>
        <v>1-0.000307393643703952i</v>
      </c>
      <c r="X66" s="17">
        <f t="shared" si="77"/>
        <v>1.0000000472454249</v>
      </c>
      <c r="Y66" s="17">
        <f t="shared" si="78"/>
        <v>-3.0739363402199012E-4</v>
      </c>
      <c r="Z66" s="31" t="str">
        <f t="shared" si="66"/>
        <v>0.999999635195664+0.0187582684144806i</v>
      </c>
      <c r="AA66" s="17">
        <f t="shared" si="79"/>
        <v>1.0001755561027128</v>
      </c>
      <c r="AB66" s="17">
        <f t="shared" si="80"/>
        <v>1.8756075545794015E-2</v>
      </c>
      <c r="AC66" s="66" t="str">
        <f t="shared" si="81"/>
        <v>534.1302806174-5712.05547296502i</v>
      </c>
      <c r="AD66" s="64">
        <f t="shared" si="82"/>
        <v>75.173657924352611</v>
      </c>
      <c r="AE66" s="61">
        <f t="shared" si="83"/>
        <v>-84.657846482705096</v>
      </c>
      <c r="AF66" s="31" t="str">
        <f t="shared" si="84"/>
        <v>-0.332666666666667</v>
      </c>
      <c r="AG66" s="31" t="str">
        <f t="shared" si="85"/>
        <v>189.749162780217i</v>
      </c>
      <c r="AH66" s="31">
        <f t="shared" si="86"/>
        <v>189.74916278021701</v>
      </c>
      <c r="AI66" s="31">
        <f t="shared" si="87"/>
        <v>1.5707963267948966</v>
      </c>
      <c r="AJ66" s="31" t="str">
        <f t="shared" si="67"/>
        <v>0.998079035971598+1.56476020914468i</v>
      </c>
      <c r="AK66" s="31">
        <f t="shared" si="88"/>
        <v>1.8559731340104297</v>
      </c>
      <c r="AL66" s="31">
        <f t="shared" si="89"/>
        <v>1.0030113626976402</v>
      </c>
      <c r="AM66" s="31" t="str">
        <f t="shared" si="68"/>
        <v>1+5693.08967069393i</v>
      </c>
      <c r="AN66" s="31">
        <f t="shared" si="90"/>
        <v>5693.0897585197017</v>
      </c>
      <c r="AO66" s="31">
        <f t="shared" si="91"/>
        <v>1.570620675251085</v>
      </c>
      <c r="AP66" s="31" t="str">
        <f t="shared" si="69"/>
        <v>1+0.614787287407903i</v>
      </c>
      <c r="AQ66" s="31">
        <f t="shared" si="92"/>
        <v>1.1738668615981829</v>
      </c>
      <c r="AR66" s="31">
        <f t="shared" si="93"/>
        <v>0.5512216119549892</v>
      </c>
      <c r="AS66" s="58" t="str">
        <f t="shared" si="94"/>
        <v>-5.67896847830393+2.75703348707945i</v>
      </c>
      <c r="AT66" s="49">
        <f t="shared" si="95"/>
        <v>16.004492130664701</v>
      </c>
      <c r="AU66" s="61">
        <f t="shared" si="96"/>
        <v>154.10428996305339</v>
      </c>
      <c r="AV66" s="58" t="str">
        <f t="shared" si="70"/>
        <v>12715.0191920862+33911.1980474171i</v>
      </c>
      <c r="AW66" s="64">
        <f t="shared" si="97"/>
        <v>91.178150055017312</v>
      </c>
      <c r="AX66" s="61">
        <f t="shared" si="98"/>
        <v>69.44644348034825</v>
      </c>
    </row>
    <row r="67" spans="1:50" x14ac:dyDescent="0.3">
      <c r="A67" s="31" t="s">
        <v>174</v>
      </c>
      <c r="B67" s="3">
        <f>CHF</f>
        <v>1.0000000000000001E-9</v>
      </c>
      <c r="C67" s="2" t="s">
        <v>151</v>
      </c>
      <c r="E67" s="31" t="s">
        <v>177</v>
      </c>
      <c r="N67" s="10">
        <v>49</v>
      </c>
      <c r="O67" s="50">
        <f t="shared" si="71"/>
        <v>30.902954325135919</v>
      </c>
      <c r="P67" s="48" t="str">
        <f t="shared" si="72"/>
        <v>51201.9230769231</v>
      </c>
      <c r="Q67" s="17" t="str">
        <f t="shared" si="63"/>
        <v>1+9.07366619636251i</v>
      </c>
      <c r="R67" s="17">
        <f t="shared" si="73"/>
        <v>9.1286043973332358</v>
      </c>
      <c r="S67" s="17">
        <f t="shared" si="74"/>
        <v>1.4610302683012011</v>
      </c>
      <c r="T67" s="17" t="str">
        <f t="shared" si="64"/>
        <v>1+5.82506965692409E-10i</v>
      </c>
      <c r="U67" s="17">
        <f t="shared" si="75"/>
        <v>1</v>
      </c>
      <c r="V67" s="17">
        <f t="shared" si="76"/>
        <v>5.8250696569240902E-10</v>
      </c>
      <c r="W67" s="31" t="str">
        <f t="shared" si="65"/>
        <v>1-0.0003145537614739i</v>
      </c>
      <c r="X67" s="17">
        <f t="shared" si="77"/>
        <v>1.0000000494720331</v>
      </c>
      <c r="Y67" s="17">
        <f t="shared" si="78"/>
        <v>-3.1455375109949095E-4</v>
      </c>
      <c r="Z67" s="31" t="str">
        <f t="shared" si="66"/>
        <v>0.999999618002966+0.0191952046158594i</v>
      </c>
      <c r="AA67" s="17">
        <f t="shared" si="79"/>
        <v>1.0001838290466021</v>
      </c>
      <c r="AB67" s="17">
        <f t="shared" si="80"/>
        <v>1.9192854938051698E-2</v>
      </c>
      <c r="AC67" s="66" t="str">
        <f t="shared" si="81"/>
        <v>505.47663056529-5585.0961614525i</v>
      </c>
      <c r="AD67" s="64">
        <f t="shared" si="82"/>
        <v>74.976041581083294</v>
      </c>
      <c r="AE67" s="61">
        <f t="shared" si="83"/>
        <v>-84.82856026827514</v>
      </c>
      <c r="AF67" s="31" t="str">
        <f t="shared" si="84"/>
        <v>-0.332666666666667</v>
      </c>
      <c r="AG67" s="31" t="str">
        <f t="shared" si="85"/>
        <v>194.168988564136i</v>
      </c>
      <c r="AH67" s="31">
        <f t="shared" si="86"/>
        <v>194.16898856413599</v>
      </c>
      <c r="AI67" s="31">
        <f t="shared" si="87"/>
        <v>1.5707963267948966</v>
      </c>
      <c r="AJ67" s="31" t="str">
        <f t="shared" si="67"/>
        <v>0.997988503726081+1.60120815661752i</v>
      </c>
      <c r="AK67" s="31">
        <f t="shared" si="88"/>
        <v>1.8867561088778535</v>
      </c>
      <c r="AL67" s="31">
        <f t="shared" si="89"/>
        <v>1.0134404513156385</v>
      </c>
      <c r="AM67" s="31" t="str">
        <f t="shared" si="68"/>
        <v>1+5825.69876444704i</v>
      </c>
      <c r="AN67" s="31">
        <f t="shared" si="90"/>
        <v>5825.698850273654</v>
      </c>
      <c r="AO67" s="31">
        <f t="shared" si="91"/>
        <v>1.5706246735682861</v>
      </c>
      <c r="AP67" s="31" t="str">
        <f t="shared" si="69"/>
        <v>1+0.629107522947801i</v>
      </c>
      <c r="AQ67" s="31">
        <f t="shared" si="92"/>
        <v>1.1814297589909939</v>
      </c>
      <c r="AR67" s="31">
        <f t="shared" si="93"/>
        <v>0.56154758841103236</v>
      </c>
      <c r="AS67" s="58" t="str">
        <f t="shared" si="94"/>
        <v>-5.62203495892652+2.73008191057411i</v>
      </c>
      <c r="AT67" s="49">
        <f t="shared" si="95"/>
        <v>15.917391804680729</v>
      </c>
      <c r="AU67" s="61">
        <f t="shared" si="96"/>
        <v>154.09861115805762</v>
      </c>
      <c r="AV67" s="58" t="str">
        <f t="shared" si="70"/>
        <v>12405.9627112399+32779.5984739765i</v>
      </c>
      <c r="AW67" s="64">
        <f t="shared" si="97"/>
        <v>90.893433385764013</v>
      </c>
      <c r="AX67" s="61">
        <f t="shared" si="98"/>
        <v>69.27005088978251</v>
      </c>
    </row>
    <row r="68" spans="1:50" x14ac:dyDescent="0.3">
      <c r="N68" s="10">
        <v>50</v>
      </c>
      <c r="O68" s="50">
        <f t="shared" si="71"/>
        <v>31.622776601683803</v>
      </c>
      <c r="P68" s="48" t="str">
        <f t="shared" si="72"/>
        <v>51201.9230769231</v>
      </c>
      <c r="Q68" s="17" t="str">
        <f t="shared" si="63"/>
        <v>1+9.28501903303251i</v>
      </c>
      <c r="R68" s="17">
        <f t="shared" si="73"/>
        <v>9.3387139609143155</v>
      </c>
      <c r="S68" s="17">
        <f t="shared" si="74"/>
        <v>1.4635094997138571</v>
      </c>
      <c r="T68" s="17" t="str">
        <f t="shared" si="64"/>
        <v>1+5.96075295947767E-10i</v>
      </c>
      <c r="U68" s="17">
        <f t="shared" si="75"/>
        <v>1</v>
      </c>
      <c r="V68" s="17">
        <f t="shared" si="76"/>
        <v>5.9607529594776701E-10</v>
      </c>
      <c r="W68" s="31" t="str">
        <f t="shared" si="65"/>
        <v>1-0.000321880659811794i</v>
      </c>
      <c r="X68" s="17">
        <f t="shared" si="77"/>
        <v>1.0000000518035781</v>
      </c>
      <c r="Y68" s="17">
        <f t="shared" si="78"/>
        <v>-3.2188064869541442E-4</v>
      </c>
      <c r="Z68" s="31" t="str">
        <f t="shared" si="66"/>
        <v>0.9999996+0.0196423183688041i</v>
      </c>
      <c r="AA68" s="17">
        <f t="shared" si="79"/>
        <v>1.0001924918089824</v>
      </c>
      <c r="AB68" s="17">
        <f t="shared" si="80"/>
        <v>1.9639800669841216E-2</v>
      </c>
      <c r="AC68" s="66" t="str">
        <f t="shared" si="81"/>
        <v>478.082501738007-5460.81705512652i</v>
      </c>
      <c r="AD68" s="64">
        <f t="shared" si="82"/>
        <v>74.778312635848792</v>
      </c>
      <c r="AE68" s="61">
        <f t="shared" si="83"/>
        <v>-84.996637668291271</v>
      </c>
      <c r="AF68" s="31" t="str">
        <f t="shared" si="84"/>
        <v>-0.332666666666667</v>
      </c>
      <c r="AG68" s="31" t="str">
        <f t="shared" si="85"/>
        <v>198.691765315922i</v>
      </c>
      <c r="AH68" s="31">
        <f t="shared" si="86"/>
        <v>198.691765315922</v>
      </c>
      <c r="AI68" s="31">
        <f t="shared" si="87"/>
        <v>1.5707963267948966</v>
      </c>
      <c r="AJ68" s="31" t="str">
        <f t="shared" si="67"/>
        <v>0.997893704827281+1.6385050858495i</v>
      </c>
      <c r="AK68" s="31">
        <f t="shared" si="88"/>
        <v>1.9184605188766835</v>
      </c>
      <c r="AL68" s="31">
        <f t="shared" si="89"/>
        <v>1.0237658106355265</v>
      </c>
      <c r="AM68" s="31" t="str">
        <f t="shared" si="68"/>
        <v>1+5961.39672079729i</v>
      </c>
      <c r="AN68" s="31">
        <f t="shared" si="90"/>
        <v>5961.3968046702521</v>
      </c>
      <c r="AO68" s="31">
        <f t="shared" si="91"/>
        <v>1.5706285808726814</v>
      </c>
      <c r="AP68" s="31" t="str">
        <f t="shared" si="69"/>
        <v>1+0.643761319623587i</v>
      </c>
      <c r="AQ68" s="31">
        <f t="shared" si="92"/>
        <v>1.189297539156414</v>
      </c>
      <c r="AR68" s="31">
        <f t="shared" si="93"/>
        <v>0.57197699522878276</v>
      </c>
      <c r="AS68" s="58" t="str">
        <f t="shared" si="94"/>
        <v>-5.56623859756317+2.70224441911301i</v>
      </c>
      <c r="AT68" s="49">
        <f t="shared" si="95"/>
        <v>15.830302058081271</v>
      </c>
      <c r="AU68" s="61">
        <f t="shared" si="96"/>
        <v>154.10479651260528</v>
      </c>
      <c r="AV68" s="58" t="str">
        <f t="shared" si="70"/>
        <v>12095.3411370191+31688.1064386736i</v>
      </c>
      <c r="AW68" s="64">
        <f t="shared" si="97"/>
        <v>90.608614693930065</v>
      </c>
      <c r="AX68" s="61">
        <f t="shared" si="98"/>
        <v>69.108158844314048</v>
      </c>
    </row>
    <row r="69" spans="1:50" x14ac:dyDescent="0.3">
      <c r="A69" s="31" t="s">
        <v>218</v>
      </c>
      <c r="B69" s="1">
        <f>-kopto_max*Rpullup/(Ccomp_iso*RLED*RFBT_iso)</f>
        <v>-0.33266666666666661</v>
      </c>
      <c r="C69" s="31" t="s">
        <v>144</v>
      </c>
      <c r="N69" s="10">
        <v>51</v>
      </c>
      <c r="O69" s="50">
        <f t="shared" si="71"/>
        <v>32.359365692962832</v>
      </c>
      <c r="P69" s="48" t="str">
        <f t="shared" si="72"/>
        <v>51201.9230769231</v>
      </c>
      <c r="Q69" s="17" t="str">
        <f t="shared" si="63"/>
        <v>1+9.50129490969559i</v>
      </c>
      <c r="R69" s="17">
        <f t="shared" si="73"/>
        <v>9.5537743829864077</v>
      </c>
      <c r="S69" s="17">
        <f t="shared" si="74"/>
        <v>1.465933576943008</v>
      </c>
      <c r="T69" s="17" t="str">
        <f t="shared" si="64"/>
        <v>1+6.09959673215026E-10i</v>
      </c>
      <c r="U69" s="17">
        <f t="shared" si="75"/>
        <v>1</v>
      </c>
      <c r="V69" s="17">
        <f t="shared" si="76"/>
        <v>6.0995967321502595E-10</v>
      </c>
      <c r="W69" s="31" t="str">
        <f t="shared" si="65"/>
        <v>1-0.000329378223536113i</v>
      </c>
      <c r="X69" s="17">
        <f t="shared" si="77"/>
        <v>1.0000000542450056</v>
      </c>
      <c r="Y69" s="17">
        <f t="shared" si="78"/>
        <v>-3.2937821162469771E-4</v>
      </c>
      <c r="Z69" s="31" t="str">
        <f t="shared" si="66"/>
        <v>0.999999581148581+0.0200998467389448i</v>
      </c>
      <c r="AA69" s="17">
        <f t="shared" si="79"/>
        <v>1.0002015627543615</v>
      </c>
      <c r="AB69" s="17">
        <f t="shared" si="80"/>
        <v>2.0097149005262806E-2</v>
      </c>
      <c r="AC69" s="66" t="str">
        <f t="shared" si="81"/>
        <v>451.893833177142-5339.17059554358i</v>
      </c>
      <c r="AD69" s="64">
        <f t="shared" si="82"/>
        <v>74.580475732111893</v>
      </c>
      <c r="AE69" s="61">
        <f t="shared" si="83"/>
        <v>-85.162160770039335</v>
      </c>
      <c r="AF69" s="31" t="str">
        <f t="shared" si="84"/>
        <v>-0.332666666666667</v>
      </c>
      <c r="AG69" s="31" t="str">
        <f t="shared" si="85"/>
        <v>203.319891071675i</v>
      </c>
      <c r="AH69" s="31">
        <f t="shared" si="86"/>
        <v>203.31989107167499</v>
      </c>
      <c r="AI69" s="31">
        <f t="shared" si="87"/>
        <v>1.5707963267948966</v>
      </c>
      <c r="AJ69" s="31" t="str">
        <f t="shared" si="67"/>
        <v>0.997794438194024+1.67667077216616i</v>
      </c>
      <c r="AK69" s="31">
        <f t="shared" si="88"/>
        <v>1.9511070240064219</v>
      </c>
      <c r="AL69" s="31">
        <f t="shared" si="89"/>
        <v>1.0339841830868095</v>
      </c>
      <c r="AM69" s="31" t="str">
        <f t="shared" si="68"/>
        <v>1+6100.25548859733i</v>
      </c>
      <c r="AN69" s="31">
        <f t="shared" si="90"/>
        <v>6100.2555705611103</v>
      </c>
      <c r="AO69" s="31">
        <f t="shared" si="91"/>
        <v>1.5706323992359752</v>
      </c>
      <c r="AP69" s="31" t="str">
        <f t="shared" si="69"/>
        <v>1+0.658756447072227i</v>
      </c>
      <c r="AQ69" s="31">
        <f t="shared" si="92"/>
        <v>1.1974807123954956</v>
      </c>
      <c r="AR69" s="31">
        <f t="shared" si="93"/>
        <v>0.58250628647779523</v>
      </c>
      <c r="AS69" s="58" t="str">
        <f t="shared" si="94"/>
        <v>-5.51160303149787+2.67357724847004i</v>
      </c>
      <c r="AT69" s="49">
        <f t="shared" si="95"/>
        <v>15.743297660927864</v>
      </c>
      <c r="AU69" s="61">
        <f t="shared" si="96"/>
        <v>154.12282962358768</v>
      </c>
      <c r="AV69" s="58" t="str">
        <f t="shared" si="70"/>
        <v>11784.0256090912+30635.5619111886i</v>
      </c>
      <c r="AW69" s="64">
        <f t="shared" si="97"/>
        <v>90.323773393039758</v>
      </c>
      <c r="AX69" s="61">
        <f t="shared" si="98"/>
        <v>68.960668853548384</v>
      </c>
    </row>
    <row r="70" spans="1:50" x14ac:dyDescent="0.3">
      <c r="A70" s="31" t="s">
        <v>581</v>
      </c>
      <c r="B70" s="1">
        <f>1/(Ccomp_iso*(Rcomp_iso+RFBT_iso))</f>
        <v>3.3329733722091338E-2</v>
      </c>
      <c r="E70" s="31" t="s">
        <v>230</v>
      </c>
      <c r="N70" s="10">
        <v>52</v>
      </c>
      <c r="O70" s="50">
        <f t="shared" si="71"/>
        <v>33.113112148259127</v>
      </c>
      <c r="P70" s="48" t="str">
        <f t="shared" si="72"/>
        <v>51201.9230769231</v>
      </c>
      <c r="Q70" s="17" t="str">
        <f t="shared" si="63"/>
        <v>1+9.72260849868433i</v>
      </c>
      <c r="R70" s="17">
        <f t="shared" si="73"/>
        <v>9.7738997344298948</v>
      </c>
      <c r="S70" s="17">
        <f t="shared" si="74"/>
        <v>1.4683036712504318</v>
      </c>
      <c r="T70" s="17" t="str">
        <f t="shared" si="64"/>
        <v>1+6.24167459174797E-10i</v>
      </c>
      <c r="U70" s="17">
        <f t="shared" si="75"/>
        <v>1</v>
      </c>
      <c r="V70" s="17">
        <f t="shared" si="76"/>
        <v>6.2416745917479695E-10</v>
      </c>
      <c r="W70" s="31" t="str">
        <f t="shared" si="65"/>
        <v>1-0.00033705042795439i</v>
      </c>
      <c r="X70" s="17">
        <f t="shared" si="77"/>
        <v>1.000000056801494</v>
      </c>
      <c r="Y70" s="17">
        <f t="shared" si="78"/>
        <v>-3.3705041519107865E-4</v>
      </c>
      <c r="Z70" s="31" t="str">
        <f t="shared" si="66"/>
        <v>0.999999561408722+0.0205680323138794i</v>
      </c>
      <c r="AA70" s="17">
        <f t="shared" si="79"/>
        <v>1.000211061112054</v>
      </c>
      <c r="AB70" s="17">
        <f t="shared" si="80"/>
        <v>2.0565141673102045E-2</v>
      </c>
      <c r="AC70" s="66" t="str">
        <f t="shared" si="81"/>
        <v>426.858772703294-5220.10944181087i</v>
      </c>
      <c r="AD70" s="64">
        <f t="shared" si="82"/>
        <v>74.382535299438516</v>
      </c>
      <c r="AE70" s="61">
        <f t="shared" si="83"/>
        <v>-85.325210759682832</v>
      </c>
      <c r="AF70" s="31" t="str">
        <f t="shared" si="84"/>
        <v>-0.332666666666667</v>
      </c>
      <c r="AG70" s="31" t="str">
        <f t="shared" si="85"/>
        <v>208.055819724932i</v>
      </c>
      <c r="AH70" s="31">
        <f t="shared" si="86"/>
        <v>208.05581972493201</v>
      </c>
      <c r="AI70" s="31">
        <f t="shared" si="87"/>
        <v>1.5707963267948966</v>
      </c>
      <c r="AJ70" s="31" t="str">
        <f t="shared" si="67"/>
        <v>0.997690493268472+1.7157254515196i</v>
      </c>
      <c r="AK70" s="31">
        <f t="shared" si="88"/>
        <v>1.9847166410725796</v>
      </c>
      <c r="AL70" s="31">
        <f t="shared" si="89"/>
        <v>1.0440925253708231</v>
      </c>
      <c r="AM70" s="31" t="str">
        <f t="shared" si="68"/>
        <v>1+6242.34869260388i</v>
      </c>
      <c r="AN70" s="31">
        <f t="shared" si="90"/>
        <v>6242.3487727019365</v>
      </c>
      <c r="AO70" s="31">
        <f t="shared" si="91"/>
        <v>1.5706361306827137</v>
      </c>
      <c r="AP70" s="31" t="str">
        <f t="shared" si="69"/>
        <v>1+0.67410085590878i</v>
      </c>
      <c r="AQ70" s="31">
        <f t="shared" si="92"/>
        <v>1.2059900347585588</v>
      </c>
      <c r="AR70" s="31">
        <f t="shared" si="93"/>
        <v>0.59313170601975085</v>
      </c>
      <c r="AS70" s="58" t="str">
        <f t="shared" si="94"/>
        <v>-5.45814851606192+2.64413679394893i</v>
      </c>
      <c r="AT70" s="49">
        <f t="shared" si="95"/>
        <v>15.656453124497784</v>
      </c>
      <c r="AU70" s="61">
        <f t="shared" si="96"/>
        <v>154.15266976429962</v>
      </c>
      <c r="AV70" s="58" t="str">
        <f t="shared" si="70"/>
        <v>11472.8248667338+29620.8055902255i</v>
      </c>
      <c r="AW70" s="64">
        <f t="shared" si="97"/>
        <v>90.038988423936303</v>
      </c>
      <c r="AX70" s="61">
        <f t="shared" si="98"/>
        <v>68.827459004616884</v>
      </c>
    </row>
    <row r="71" spans="1:50" x14ac:dyDescent="0.3">
      <c r="A71" s="31" t="s">
        <v>580</v>
      </c>
      <c r="B71" s="1">
        <f>1/(Rcomp_iso*Ccomp_iso)</f>
        <v>308.64197530864192</v>
      </c>
      <c r="E71" s="31" t="s">
        <v>582</v>
      </c>
      <c r="N71" s="10">
        <v>53</v>
      </c>
      <c r="O71" s="50">
        <f t="shared" si="71"/>
        <v>33.884415613920268</v>
      </c>
      <c r="P71" s="48" t="str">
        <f t="shared" si="72"/>
        <v>51201.9230769231</v>
      </c>
      <c r="Q71" s="17" t="str">
        <f t="shared" si="63"/>
        <v>1+9.94907714339294i</v>
      </c>
      <c r="R71" s="17">
        <f t="shared" si="73"/>
        <v>9.9992067687984036</v>
      </c>
      <c r="S71" s="17">
        <f t="shared" si="74"/>
        <v>1.4706209327241682</v>
      </c>
      <c r="T71" s="17" t="str">
        <f t="shared" si="64"/>
        <v>1+6.38706186983251E-10i</v>
      </c>
      <c r="U71" s="17">
        <f t="shared" si="75"/>
        <v>1</v>
      </c>
      <c r="V71" s="17">
        <f t="shared" si="76"/>
        <v>6.3870618698325095E-10</v>
      </c>
      <c r="W71" s="31" t="str">
        <f t="shared" si="65"/>
        <v>1-0.000344901340970955i</v>
      </c>
      <c r="X71" s="17">
        <f t="shared" si="77"/>
        <v>1.0000000594784657</v>
      </c>
      <c r="Y71" s="17">
        <f t="shared" si="78"/>
        <v>-3.4490132729482053E-4</v>
      </c>
      <c r="Z71" s="31" t="str">
        <f t="shared" si="66"/>
        <v>0.999999540738551+0.0210471233317968i</v>
      </c>
      <c r="AA71" s="17">
        <f t="shared" si="79"/>
        <v>1.0002210070168778</v>
      </c>
      <c r="AB71" s="17">
        <f t="shared" si="80"/>
        <v>2.1044025991361331E-2</v>
      </c>
      <c r="AC71" s="66" t="str">
        <f t="shared" si="81"/>
        <v>402.927596574691-5103.58651930483i</v>
      </c>
      <c r="AD71" s="64">
        <f t="shared" si="82"/>
        <v>74.184495561596833</v>
      </c>
      <c r="AE71" s="61">
        <f t="shared" si="83"/>
        <v>-85.485867935763295</v>
      </c>
      <c r="AF71" s="31" t="str">
        <f t="shared" si="84"/>
        <v>-0.332666666666667</v>
      </c>
      <c r="AG71" s="31" t="str">
        <f t="shared" si="85"/>
        <v>212.90206232775i</v>
      </c>
      <c r="AH71" s="31">
        <f t="shared" si="86"/>
        <v>212.90206232775</v>
      </c>
      <c r="AI71" s="31">
        <f t="shared" si="87"/>
        <v>1.5707963267948966</v>
      </c>
      <c r="AJ71" s="31" t="str">
        <f t="shared" si="67"/>
        <v>0.997581649569502+1.75568983121774i</v>
      </c>
      <c r="AK71" s="31">
        <f t="shared" si="88"/>
        <v>2.0193107564214046</v>
      </c>
      <c r="AL71" s="31">
        <f t="shared" si="89"/>
        <v>1.0540880086411526</v>
      </c>
      <c r="AM71" s="31" t="str">
        <f t="shared" si="68"/>
        <v>1+6387.75167251445i</v>
      </c>
      <c r="AN71" s="31">
        <f t="shared" si="90"/>
        <v>6387.7517507892508</v>
      </c>
      <c r="AO71" s="31">
        <f t="shared" si="91"/>
        <v>1.5706397771913587</v>
      </c>
      <c r="AP71" s="31" t="str">
        <f t="shared" si="69"/>
        <v>1+0.68980268194191i</v>
      </c>
      <c r="AQ71" s="31">
        <f t="shared" si="92"/>
        <v>1.21483650752447</v>
      </c>
      <c r="AR71" s="31">
        <f t="shared" si="93"/>
        <v>0.60384929065838489</v>
      </c>
      <c r="AS71" s="58" t="str">
        <f t="shared" si="94"/>
        <v>-5.40589199156071+2.61397938751014i</v>
      </c>
      <c r="AT71" s="49">
        <f t="shared" si="95"/>
        <v>15.569842476044132</v>
      </c>
      <c r="AU71" s="61">
        <f t="shared" si="96"/>
        <v>154.19425205463943</v>
      </c>
      <c r="AV71" s="58" t="str">
        <f t="shared" si="70"/>
        <v>11162.4868963355+28642.6819250524i</v>
      </c>
      <c r="AW71" s="64">
        <f t="shared" si="97"/>
        <v>89.754338037640963</v>
      </c>
      <c r="AX71" s="61">
        <f t="shared" si="98"/>
        <v>68.708384118876154</v>
      </c>
    </row>
    <row r="72" spans="1:50" x14ac:dyDescent="0.3">
      <c r="A72" s="31" t="s">
        <v>583</v>
      </c>
      <c r="B72" s="1">
        <f>Ccomp_iso*Copto*Rcomp_iso*Rpullup</f>
        <v>5.3353080000000007E-8</v>
      </c>
      <c r="E72" s="31" t="s">
        <v>586</v>
      </c>
      <c r="I72" s="31">
        <f>Copto</f>
        <v>3.2999999999999998E-9</v>
      </c>
      <c r="N72" s="10">
        <v>54</v>
      </c>
      <c r="O72" s="50">
        <f t="shared" si="71"/>
        <v>34.67368504525318</v>
      </c>
      <c r="P72" s="48" t="str">
        <f t="shared" si="72"/>
        <v>51201.9230769231</v>
      </c>
      <c r="Q72" s="17" t="str">
        <f t="shared" si="63"/>
        <v>1+10.1808209204946i</v>
      </c>
      <c r="R72" s="17">
        <f t="shared" si="73"/>
        <v>10.229814984406145</v>
      </c>
      <c r="S72" s="17">
        <f t="shared" si="74"/>
        <v>1.4728864904084054</v>
      </c>
      <c r="T72" s="17" t="str">
        <f t="shared" si="64"/>
        <v>1+6.53583565266322E-10i</v>
      </c>
      <c r="U72" s="17">
        <f t="shared" si="75"/>
        <v>1</v>
      </c>
      <c r="V72" s="17">
        <f t="shared" si="76"/>
        <v>6.5358356526632196E-10</v>
      </c>
      <c r="W72" s="31" t="str">
        <f t="shared" si="65"/>
        <v>1-0.000352935125243813i</v>
      </c>
      <c r="X72" s="17">
        <f t="shared" si="77"/>
        <v>1.0000000622815994</v>
      </c>
      <c r="Y72" s="17">
        <f t="shared" si="78"/>
        <v>-3.5293511058957094E-4</v>
      </c>
      <c r="Z72" s="31" t="str">
        <f t="shared" si="66"/>
        <v>0.999999519094226+0.0215373738130964i</v>
      </c>
      <c r="AA72" s="17">
        <f t="shared" si="79"/>
        <v>1.0002314215517567</v>
      </c>
      <c r="AB72" s="17">
        <f t="shared" si="80"/>
        <v>2.1534054994495688E-2</v>
      </c>
      <c r="AC72" s="66" t="str">
        <f t="shared" si="81"/>
        <v>380.052631176995-4989.55506411172i</v>
      </c>
      <c r="AD72" s="64">
        <f t="shared" si="82"/>
        <v>73.986360544330211</v>
      </c>
      <c r="AE72" s="61">
        <f t="shared" si="83"/>
        <v>-85.644211724056021</v>
      </c>
      <c r="AF72" s="31" t="str">
        <f t="shared" si="84"/>
        <v>-0.332666666666667</v>
      </c>
      <c r="AG72" s="31" t="str">
        <f t="shared" si="85"/>
        <v>217.861188422107i</v>
      </c>
      <c r="AH72" s="31">
        <f t="shared" si="86"/>
        <v>217.86118842210701</v>
      </c>
      <c r="AI72" s="31">
        <f t="shared" si="87"/>
        <v>1.5707963267948966</v>
      </c>
      <c r="AJ72" s="31" t="str">
        <f t="shared" si="67"/>
        <v>0.997467676225034+1.79658510090369i</v>
      </c>
      <c r="AK72" s="31">
        <f t="shared" si="88"/>
        <v>2.0549111391743664</v>
      </c>
      <c r="AL72" s="31">
        <f t="shared" si="89"/>
        <v>1.0639680178590647</v>
      </c>
      <c r="AM72" s="31" t="str">
        <f t="shared" si="68"/>
        <v>1+6536.54152291371i</v>
      </c>
      <c r="AN72" s="31">
        <f t="shared" si="90"/>
        <v>6536.5415994067598</v>
      </c>
      <c r="AO72" s="31">
        <f t="shared" si="91"/>
        <v>1.5706433406953373</v>
      </c>
      <c r="AP72" s="31" t="str">
        <f t="shared" si="69"/>
        <v>1+0.705870250487627i</v>
      </c>
      <c r="AQ72" s="31">
        <f t="shared" si="92"/>
        <v>1.2240313764456634</v>
      </c>
      <c r="AR72" s="31">
        <f t="shared" si="93"/>
        <v>0.61465487425699539</v>
      </c>
      <c r="AS72" s="58" t="str">
        <f t="shared" si="94"/>
        <v>-5.35484716550706+2.58316108652304i</v>
      </c>
      <c r="AT72" s="49">
        <f t="shared" si="95"/>
        <v>15.483539036147176</v>
      </c>
      <c r="AU72" s="61">
        <f t="shared" si="96"/>
        <v>154.24748773401706</v>
      </c>
      <c r="AV72" s="58" t="str">
        <f t="shared" si="70"/>
        <v>10853.7007258757+27700.0419598871i</v>
      </c>
      <c r="AW72" s="64">
        <f t="shared" si="97"/>
        <v>89.469899580477374</v>
      </c>
      <c r="AX72" s="61">
        <f t="shared" si="98"/>
        <v>68.60327600996105</v>
      </c>
    </row>
    <row r="73" spans="1:50" x14ac:dyDescent="0.3">
      <c r="A73" s="31" t="s">
        <v>584</v>
      </c>
      <c r="B73" s="1">
        <f>(Ccomp_iso*Rcomp_iso)+(Ccomp_iso*Rpullup)+(Copto*Rpullup)</f>
        <v>8.2464670000000004E-3</v>
      </c>
      <c r="E73" s="31" t="s">
        <v>588</v>
      </c>
      <c r="N73" s="10">
        <v>55</v>
      </c>
      <c r="O73" s="50">
        <f t="shared" si="71"/>
        <v>35.481338923357555</v>
      </c>
      <c r="P73" s="48" t="str">
        <f t="shared" si="72"/>
        <v>51201.9230769231</v>
      </c>
      <c r="Q73" s="17" t="str">
        <f t="shared" si="63"/>
        <v>1+10.4179627036074i</v>
      </c>
      <c r="R73" s="17">
        <f t="shared" si="73"/>
        <v>10.465846687858312</v>
      </c>
      <c r="S73" s="17">
        <f t="shared" si="74"/>
        <v>1.4751014524524015</v>
      </c>
      <c r="T73" s="17" t="str">
        <f t="shared" si="64"/>
        <v>1+6.68807482206898E-10i</v>
      </c>
      <c r="U73" s="17">
        <f t="shared" si="75"/>
        <v>1</v>
      </c>
      <c r="V73" s="17">
        <f t="shared" si="76"/>
        <v>6.6880748220689795E-10</v>
      </c>
      <c r="W73" s="31" t="str">
        <f t="shared" si="65"/>
        <v>1-0.000361156040391724i</v>
      </c>
      <c r="X73" s="17">
        <f t="shared" si="77"/>
        <v>1.0000000652168406</v>
      </c>
      <c r="Y73" s="17">
        <f t="shared" si="78"/>
        <v>-3.6115602468942076E-4</v>
      </c>
      <c r="Z73" s="31" t="str">
        <f t="shared" si="66"/>
        <v>0.999999496429835+0.0220390436950726i</v>
      </c>
      <c r="AA73" s="17">
        <f t="shared" si="79"/>
        <v>1.0002423267923213</v>
      </c>
      <c r="AB73" s="17">
        <f t="shared" si="80"/>
        <v>2.2035487563400936E-2</v>
      </c>
      <c r="AC73" s="66" t="str">
        <f t="shared" si="81"/>
        <v>358.188176781148-4877.96866345662i</v>
      </c>
      <c r="AD73" s="64">
        <f t="shared" si="82"/>
        <v>73.788134082812149</v>
      </c>
      <c r="AE73" s="61">
        <f t="shared" si="83"/>
        <v>-85.800320693676767</v>
      </c>
      <c r="AF73" s="31" t="str">
        <f t="shared" si="84"/>
        <v>-0.332666666666667</v>
      </c>
      <c r="AG73" s="31" t="str">
        <f t="shared" si="85"/>
        <v>222.935827402299i</v>
      </c>
      <c r="AH73" s="31">
        <f t="shared" si="86"/>
        <v>222.935827402299</v>
      </c>
      <c r="AI73" s="31">
        <f t="shared" si="87"/>
        <v>1.5707963267948966</v>
      </c>
      <c r="AJ73" s="31" t="str">
        <f t="shared" si="67"/>
        <v>0.997348331482325+1.83843294379076i</v>
      </c>
      <c r="AK73" s="31">
        <f t="shared" si="88"/>
        <v>2.0915399549436624</v>
      </c>
      <c r="AL73" s="31">
        <f t="shared" si="89"/>
        <v>1.0737301503699426</v>
      </c>
      <c r="AM73" s="31" t="str">
        <f t="shared" si="68"/>
        <v>1+6688.79713414976i</v>
      </c>
      <c r="AN73" s="31">
        <f t="shared" si="90"/>
        <v>6688.7972089016157</v>
      </c>
      <c r="AO73" s="31">
        <f t="shared" si="91"/>
        <v>1.5706468230840658</v>
      </c>
      <c r="AP73" s="31" t="str">
        <f t="shared" si="69"/>
        <v>1+0.722312080783449i</v>
      </c>
      <c r="AQ73" s="31">
        <f t="shared" si="92"/>
        <v>1.2335861307771403</v>
      </c>
      <c r="AR73" s="31">
        <f t="shared" si="93"/>
        <v>0.62554409283985846</v>
      </c>
      <c r="AS73" s="58" t="str">
        <f t="shared" si="94"/>
        <v>-5.30502460859688+2.55173747510758i</v>
      </c>
      <c r="AT73" s="49">
        <f t="shared" si="95"/>
        <v>15.397615199847136</v>
      </c>
      <c r="AU73" s="61">
        <f t="shared" si="96"/>
        <v>154.31226453526665</v>
      </c>
      <c r="AV73" s="58" t="str">
        <f t="shared" si="70"/>
        <v>10547.0983486103+26791.7459934347i</v>
      </c>
      <c r="AW73" s="64">
        <f t="shared" si="97"/>
        <v>89.185749282659287</v>
      </c>
      <c r="AX73" s="61">
        <f t="shared" si="98"/>
        <v>68.511943841589797</v>
      </c>
    </row>
    <row r="74" spans="1:50" x14ac:dyDescent="0.3">
      <c r="A74" s="31" t="s">
        <v>585</v>
      </c>
      <c r="B74" s="1">
        <v>1</v>
      </c>
      <c r="E74" s="31" t="s">
        <v>587</v>
      </c>
      <c r="N74" s="10">
        <v>56</v>
      </c>
      <c r="O74" s="50">
        <f t="shared" si="71"/>
        <v>36.307805477010156</v>
      </c>
      <c r="P74" s="48" t="str">
        <f t="shared" si="72"/>
        <v>51201.9230769231</v>
      </c>
      <c r="Q74" s="17" t="str">
        <f t="shared" si="63"/>
        <v>1+10.6606282284438i</v>
      </c>
      <c r="R74" s="17">
        <f t="shared" si="73"/>
        <v>10.707427059060116</v>
      </c>
      <c r="S74" s="17">
        <f t="shared" si="74"/>
        <v>1.4772669062767043</v>
      </c>
      <c r="T74" s="17" t="str">
        <f t="shared" si="64"/>
        <v>1+6.84386009727256E-10i</v>
      </c>
      <c r="U74" s="17">
        <f t="shared" si="75"/>
        <v>1</v>
      </c>
      <c r="V74" s="17">
        <f t="shared" si="76"/>
        <v>6.8438600972725597E-10</v>
      </c>
      <c r="W74" s="31" t="str">
        <f t="shared" si="65"/>
        <v>1-0.000369568445252718i</v>
      </c>
      <c r="X74" s="17">
        <f t="shared" si="77"/>
        <v>1.0000000682904155</v>
      </c>
      <c r="Y74" s="17">
        <f t="shared" si="78"/>
        <v>-3.6956842842739704E-4</v>
      </c>
      <c r="Z74" s="31" t="str">
        <f t="shared" si="66"/>
        <v>0.999999472697305+0.0225523989697372i</v>
      </c>
      <c r="AA74" s="17">
        <f t="shared" si="79"/>
        <v>1.00025374585361</v>
      </c>
      <c r="AB74" s="17">
        <f t="shared" si="80"/>
        <v>2.2548588558204408E-2</v>
      </c>
      <c r="AC74" s="66" t="str">
        <f t="shared" si="81"/>
        <v>337.290433394453-4768.78129237321i</v>
      </c>
      <c r="AD74" s="64">
        <f t="shared" si="82"/>
        <v>73.589819828789828</v>
      </c>
      <c r="AE74" s="61">
        <f t="shared" si="83"/>
        <v>-85.954272574343122</v>
      </c>
      <c r="AF74" s="31" t="str">
        <f t="shared" si="84"/>
        <v>-0.332666666666667</v>
      </c>
      <c r="AG74" s="31" t="str">
        <f t="shared" si="85"/>
        <v>228.128669909085i</v>
      </c>
      <c r="AH74" s="31">
        <f t="shared" si="86"/>
        <v>228.128669909085</v>
      </c>
      <c r="AI74" s="31">
        <f t="shared" si="87"/>
        <v>1.5707963267948966</v>
      </c>
      <c r="AJ74" s="31" t="str">
        <f t="shared" si="67"/>
        <v>0.997223362195175+1.88125554815916i</v>
      </c>
      <c r="AK74" s="31">
        <f t="shared" si="88"/>
        <v>2.1292197800103847</v>
      </c>
      <c r="AL74" s="31">
        <f t="shared" si="89"/>
        <v>1.0833722137501138</v>
      </c>
      <c r="AM74" s="31" t="str">
        <f t="shared" si="68"/>
        <v>1+6844.59923416307i</v>
      </c>
      <c r="AN74" s="31">
        <f t="shared" si="90"/>
        <v>6844.5993072133651</v>
      </c>
      <c r="AO74" s="31">
        <f t="shared" si="91"/>
        <v>1.5706502262039528</v>
      </c>
      <c r="AP74" s="31" t="str">
        <f t="shared" si="69"/>
        <v>1+0.739136890505435i</v>
      </c>
      <c r="AQ74" s="31">
        <f t="shared" si="92"/>
        <v>1.2435125021108728</v>
      </c>
      <c r="AR74" s="31">
        <f t="shared" si="93"/>
        <v>0.63651239068628462</v>
      </c>
      <c r="AS74" s="58" t="str">
        <f t="shared" si="94"/>
        <v>-5.25643186282824+2.5197634788315i</v>
      </c>
      <c r="AT74" s="49">
        <f t="shared" si="95"/>
        <v>15.312142222722544</v>
      </c>
      <c r="AU74" s="61">
        <f t="shared" si="96"/>
        <v>154.38844715723442</v>
      </c>
      <c r="AV74" s="58" t="str">
        <f t="shared" si="70"/>
        <v>10243.2567579351+25916.6660479164i</v>
      </c>
      <c r="AW74" s="64">
        <f t="shared" si="97"/>
        <v>88.901962051512385</v>
      </c>
      <c r="AX74" s="61">
        <f t="shared" si="98"/>
        <v>68.43417458289143</v>
      </c>
    </row>
    <row r="75" spans="1:50" x14ac:dyDescent="0.3">
      <c r="N75" s="10">
        <v>57</v>
      </c>
      <c r="O75" s="50">
        <f t="shared" si="71"/>
        <v>37.15352290971726</v>
      </c>
      <c r="P75" s="48" t="str">
        <f t="shared" si="72"/>
        <v>51201.9230769231</v>
      </c>
      <c r="Q75" s="17" t="str">
        <f t="shared" si="63"/>
        <v>1+10.9089461594769i</v>
      </c>
      <c r="R75" s="17">
        <f t="shared" si="73"/>
        <v>10.954684217738356</v>
      </c>
      <c r="S75" s="17">
        <f t="shared" si="74"/>
        <v>1.4793839187550304</v>
      </c>
      <c r="T75" s="17" t="str">
        <f t="shared" si="64"/>
        <v>1+7.00327407768889E-10i</v>
      </c>
      <c r="U75" s="17">
        <f t="shared" si="75"/>
        <v>1</v>
      </c>
      <c r="V75" s="17">
        <f t="shared" si="76"/>
        <v>7.00327407768889E-10</v>
      </c>
      <c r="W75" s="31" t="str">
        <f t="shared" si="65"/>
        <v>1-0.000378176800195199i</v>
      </c>
      <c r="X75" s="17">
        <f t="shared" si="77"/>
        <v>1.0000000715088435</v>
      </c>
      <c r="Y75" s="17">
        <f t="shared" si="78"/>
        <v>-3.7817678216654278E-4</v>
      </c>
      <c r="Z75" s="31" t="str">
        <f t="shared" si="66"/>
        <v>0.999999447846294+0.0230777118248518i</v>
      </c>
      <c r="AA75" s="17">
        <f t="shared" si="79"/>
        <v>1.0002657029389559</v>
      </c>
      <c r="AB75" s="17">
        <f t="shared" si="80"/>
        <v>2.307362895390697E-2</v>
      </c>
      <c r="AC75" s="66" t="str">
        <f t="shared" si="81"/>
        <v>317.31742871982-4661.94734685471i</v>
      </c>
      <c r="AD75" s="64">
        <f t="shared" si="82"/>
        <v>73.391421257423687</v>
      </c>
      <c r="AE75" s="61">
        <f t="shared" si="83"/>
        <v>-86.106144274699801</v>
      </c>
      <c r="AF75" s="31" t="str">
        <f t="shared" si="84"/>
        <v>-0.332666666666667</v>
      </c>
      <c r="AG75" s="31" t="str">
        <f t="shared" si="85"/>
        <v>233.442469256296i</v>
      </c>
      <c r="AH75" s="31">
        <f t="shared" si="86"/>
        <v>233.44246925629599</v>
      </c>
      <c r="AI75" s="31">
        <f t="shared" si="87"/>
        <v>1.5707963267948966</v>
      </c>
      <c r="AJ75" s="31" t="str">
        <f t="shared" si="67"/>
        <v>0.99709250328697+1.92507561912056i</v>
      </c>
      <c r="AK75" s="31">
        <f t="shared" si="88"/>
        <v>2.1679736159472704</v>
      </c>
      <c r="AL75" s="31">
        <f t="shared" si="89"/>
        <v>1.092892222975983</v>
      </c>
      <c r="AM75" s="31" t="str">
        <f t="shared" si="68"/>
        <v>1+7004.03043128928i</v>
      </c>
      <c r="AN75" s="31">
        <f t="shared" si="90"/>
        <v>7004.0305026767483</v>
      </c>
      <c r="AO75" s="31">
        <f t="shared" si="91"/>
        <v>1.5706535518593769</v>
      </c>
      <c r="AP75" s="31" t="str">
        <f t="shared" si="69"/>
        <v>1+0.756353600390399i</v>
      </c>
      <c r="AQ75" s="31">
        <f t="shared" si="92"/>
        <v>1.2538224630399311</v>
      </c>
      <c r="AR75" s="31">
        <f t="shared" si="93"/>
        <v>0.64755502741765525</v>
      </c>
      <c r="AS75" s="58" t="str">
        <f t="shared" si="94"/>
        <v>-5.20907356015501+2.48729319333779i</v>
      </c>
      <c r="AT75" s="49">
        <f t="shared" si="95"/>
        <v>15.22719001304667</v>
      </c>
      <c r="AU75" s="61">
        <f t="shared" si="96"/>
        <v>154.47587783309004</v>
      </c>
      <c r="AV75" s="58" t="str">
        <f t="shared" si="70"/>
        <v>9942.7000754101+25073.6881439179i</v>
      </c>
      <c r="AW75" s="64">
        <f t="shared" si="97"/>
        <v>88.618611270470353</v>
      </c>
      <c r="AX75" s="61">
        <f t="shared" si="98"/>
        <v>68.369733558390223</v>
      </c>
    </row>
    <row r="76" spans="1:50" x14ac:dyDescent="0.3">
      <c r="N76" s="10">
        <v>58</v>
      </c>
      <c r="O76" s="50">
        <f t="shared" si="71"/>
        <v>38.018939632056139</v>
      </c>
      <c r="P76" s="48" t="str">
        <f t="shared" si="72"/>
        <v>51201.9230769231</v>
      </c>
      <c r="Q76" s="17" t="str">
        <f t="shared" si="63"/>
        <v>1+11.1630481581608i</v>
      </c>
      <c r="R76" s="17">
        <f t="shared" si="73"/>
        <v>11.207749291513315</v>
      </c>
      <c r="S76" s="17">
        <f t="shared" si="74"/>
        <v>1.4814535364102877</v>
      </c>
      <c r="T76" s="17" t="str">
        <f t="shared" si="64"/>
        <v>1+7.1664012867205E-10i</v>
      </c>
      <c r="U76" s="17">
        <f t="shared" si="75"/>
        <v>1</v>
      </c>
      <c r="V76" s="17">
        <f t="shared" si="76"/>
        <v>7.1664012867205001E-10</v>
      </c>
      <c r="W76" s="31" t="str">
        <f t="shared" si="65"/>
        <v>1-0.000386985669482906i</v>
      </c>
      <c r="X76" s="17">
        <f t="shared" si="77"/>
        <v>1.0000000748789513</v>
      </c>
      <c r="Y76" s="17">
        <f t="shared" si="78"/>
        <v>-3.8698565016485295E-4</v>
      </c>
      <c r="Z76" s="31" t="str">
        <f t="shared" si="66"/>
        <v>0.999999421824092+0.0236152607882455i</v>
      </c>
      <c r="AA76" s="17">
        <f t="shared" si="79"/>
        <v>1.0002782233911798</v>
      </c>
      <c r="AB76" s="17">
        <f t="shared" si="80"/>
        <v>2.3610885978925498E-2</v>
      </c>
      <c r="AC76" s="66" t="str">
        <f t="shared" si="81"/>
        <v>298.228948228963-4557.421673714i</v>
      </c>
      <c r="AD76" s="64">
        <f t="shared" si="82"/>
        <v>73.192941673830632</v>
      </c>
      <c r="AE76" s="61">
        <f t="shared" si="83"/>
        <v>-86.256011901623069</v>
      </c>
      <c r="AF76" s="31" t="str">
        <f t="shared" si="84"/>
        <v>-0.332666666666667</v>
      </c>
      <c r="AG76" s="31" t="str">
        <f t="shared" si="85"/>
        <v>238.880042890683i</v>
      </c>
      <c r="AH76" s="31">
        <f t="shared" si="86"/>
        <v>238.880042890683</v>
      </c>
      <c r="AI76" s="31">
        <f t="shared" si="87"/>
        <v>1.5707963267948966</v>
      </c>
      <c r="AJ76" s="31" t="str">
        <f t="shared" si="67"/>
        <v>0.996955477188422+1.9699163906566i</v>
      </c>
      <c r="AK76" s="31">
        <f t="shared" si="88"/>
        <v>2.2078249046682847</v>
      </c>
      <c r="AL76" s="31">
        <f t="shared" si="89"/>
        <v>1.1022883969691728</v>
      </c>
      <c r="AM76" s="31" t="str">
        <f t="shared" si="68"/>
        <v>1+7167.17525805947i</v>
      </c>
      <c r="AN76" s="31">
        <f t="shared" si="90"/>
        <v>7167.1753278219612</v>
      </c>
      <c r="AO76" s="31">
        <f t="shared" si="91"/>
        <v>1.5706568018136446</v>
      </c>
      <c r="AP76" s="31" t="str">
        <f t="shared" si="69"/>
        <v>1+0.773971338965813i</v>
      </c>
      <c r="AQ76" s="31">
        <f t="shared" si="92"/>
        <v>1.2645282256796537</v>
      </c>
      <c r="AR76" s="31">
        <f t="shared" si="93"/>
        <v>0.65866708606918045</v>
      </c>
      <c r="AS76" s="58" t="str">
        <f t="shared" si="94"/>
        <v>-5.16295155007821+2.45437972729368i</v>
      </c>
      <c r="AT76" s="49">
        <f t="shared" si="95"/>
        <v>15.142826931115323</v>
      </c>
      <c r="AU76" s="61">
        <f t="shared" si="96"/>
        <v>154.5743769908072</v>
      </c>
      <c r="AV76" s="58" t="str">
        <f t="shared" si="70"/>
        <v>9645.90175415555+24261.714379287i</v>
      </c>
      <c r="AW76" s="64">
        <f t="shared" si="97"/>
        <v>88.335768604945955</v>
      </c>
      <c r="AX76" s="61">
        <f t="shared" si="98"/>
        <v>68.318365089184127</v>
      </c>
    </row>
    <row r="77" spans="1:50" x14ac:dyDescent="0.3">
      <c r="N77" s="10">
        <v>59</v>
      </c>
      <c r="O77" s="50">
        <f t="shared" si="71"/>
        <v>38.904514499428053</v>
      </c>
      <c r="P77" s="48" t="str">
        <f t="shared" si="72"/>
        <v>51201.9230769231</v>
      </c>
      <c r="Q77" s="17" t="str">
        <f t="shared" si="63"/>
        <v>1+11.4230689527385i</v>
      </c>
      <c r="R77" s="17">
        <f t="shared" si="73"/>
        <v>11.466756485555026</v>
      </c>
      <c r="S77" s="17">
        <f t="shared" si="74"/>
        <v>1.4834767856232962</v>
      </c>
      <c r="T77" s="17" t="str">
        <f t="shared" si="64"/>
        <v>1+7.33332821657287E-10i</v>
      </c>
      <c r="U77" s="17">
        <f t="shared" si="75"/>
        <v>1</v>
      </c>
      <c r="V77" s="17">
        <f t="shared" si="76"/>
        <v>7.33332821657287E-10</v>
      </c>
      <c r="W77" s="31" t="str">
        <f t="shared" si="65"/>
        <v>1-0.000395999723694934i</v>
      </c>
      <c r="X77" s="17">
        <f t="shared" si="77"/>
        <v>1.0000000784078875</v>
      </c>
      <c r="Y77" s="17">
        <f t="shared" si="78"/>
        <v>-3.9599970299526732E-4</v>
      </c>
      <c r="Z77" s="31" t="str">
        <f t="shared" si="66"/>
        <v>0.999999394575501+0.0241653308754941i</v>
      </c>
      <c r="AA77" s="17">
        <f t="shared" si="79"/>
        <v>1.0002913337461694</v>
      </c>
      <c r="AB77" s="17">
        <f t="shared" si="80"/>
        <v>2.4160643256585304E-2</v>
      </c>
      <c r="AC77" s="66" t="str">
        <f t="shared" si="81"/>
        <v>279.986467347143-4455.15959736915i</v>
      </c>
      <c r="AD77" s="64">
        <f t="shared" si="82"/>
        <v>72.994384219338102</v>
      </c>
      <c r="AE77" s="61">
        <f t="shared" si="83"/>
        <v>-86.40395078042522</v>
      </c>
      <c r="AF77" s="31" t="str">
        <f t="shared" si="84"/>
        <v>-0.332666666666667</v>
      </c>
      <c r="AG77" s="31" t="str">
        <f t="shared" si="85"/>
        <v>244.444273885762i</v>
      </c>
      <c r="AH77" s="31">
        <f t="shared" si="86"/>
        <v>244.44427388576199</v>
      </c>
      <c r="AI77" s="31">
        <f t="shared" si="87"/>
        <v>1.5707963267948966</v>
      </c>
      <c r="AJ77" s="31" t="str">
        <f t="shared" si="67"/>
        <v>0.996811993248805+2.01580163793789i</v>
      </c>
      <c r="AK77" s="31">
        <f t="shared" si="88"/>
        <v>2.2487975438882297</v>
      </c>
      <c r="AL77" s="31">
        <f t="shared" si="89"/>
        <v>1.1115591545725974</v>
      </c>
      <c r="AM77" s="31" t="str">
        <f t="shared" si="68"/>
        <v>1+7334.12021602026i</v>
      </c>
      <c r="AN77" s="31">
        <f t="shared" si="90"/>
        <v>7334.1202841947634</v>
      </c>
      <c r="AO77" s="31">
        <f t="shared" si="91"/>
        <v>1.5706599777899242</v>
      </c>
      <c r="AP77" s="31" t="str">
        <f t="shared" si="69"/>
        <v>1+0.791999447389869i</v>
      </c>
      <c r="AQ77" s="31">
        <f t="shared" si="92"/>
        <v>1.2756422400758991</v>
      </c>
      <c r="AR77" s="31">
        <f t="shared" si="93"/>
        <v>0.66984348212903033</v>
      </c>
      <c r="AS77" s="58" t="str">
        <f t="shared" si="94"/>
        <v>-5.11806503460907+2.42107505987884i</v>
      </c>
      <c r="AT77" s="49">
        <f t="shared" si="95"/>
        <v>15.059119596790911</v>
      </c>
      <c r="AU77" s="61">
        <f t="shared" si="96"/>
        <v>154.68374400167474</v>
      </c>
      <c r="AV77" s="58" t="str">
        <f t="shared" si="70"/>
        <v>9353.28684027718+23479.6648120958i</v>
      </c>
      <c r="AW77" s="64">
        <f t="shared" si="97"/>
        <v>88.053503816128995</v>
      </c>
      <c r="AX77" s="61">
        <f t="shared" si="98"/>
        <v>68.279793221249506</v>
      </c>
    </row>
    <row r="78" spans="1:50" x14ac:dyDescent="0.3">
      <c r="N78" s="10">
        <v>60</v>
      </c>
      <c r="O78" s="50">
        <f t="shared" si="71"/>
        <v>39.810717055349755</v>
      </c>
      <c r="P78" s="48" t="str">
        <f t="shared" si="72"/>
        <v>51201.9230769231</v>
      </c>
      <c r="Q78" s="17" t="str">
        <f t="shared" si="63"/>
        <v>1+11.6891464096771i</v>
      </c>
      <c r="R78" s="17">
        <f t="shared" si="73"/>
        <v>11.731843153864062</v>
      </c>
      <c r="S78" s="17">
        <f t="shared" si="74"/>
        <v>1.4854546728528917</v>
      </c>
      <c r="T78" s="17" t="str">
        <f t="shared" si="64"/>
        <v>1+7.50414337411372E-10i</v>
      </c>
      <c r="U78" s="17">
        <f t="shared" si="75"/>
        <v>1</v>
      </c>
      <c r="V78" s="17">
        <f t="shared" si="76"/>
        <v>7.5041433741137198E-10</v>
      </c>
      <c r="W78" s="31" t="str">
        <f t="shared" si="65"/>
        <v>1-0.00040522374220214i</v>
      </c>
      <c r="X78" s="17">
        <f t="shared" si="77"/>
        <v>1.0000000821031372</v>
      </c>
      <c r="Y78" s="17">
        <f t="shared" si="78"/>
        <v>-4.0522372002204759E-4</v>
      </c>
      <c r="Z78" s="31" t="str">
        <f t="shared" si="66"/>
        <v>0.999999366042723+0.0247282137410388i</v>
      </c>
      <c r="AA78" s="17">
        <f t="shared" si="79"/>
        <v>1.0003050617889875</v>
      </c>
      <c r="AB78" s="17">
        <f t="shared" si="80"/>
        <v>2.4723190949610532E-2</v>
      </c>
      <c r="AC78" s="66" t="str">
        <f t="shared" si="81"/>
        <v>262.553085739808-4355.11694375897i</v>
      </c>
      <c r="AD78" s="64">
        <f t="shared" si="82"/>
        <v>72.795751877456269</v>
      </c>
      <c r="AE78" s="61">
        <f t="shared" si="83"/>
        <v>-86.550035475886119</v>
      </c>
      <c r="AF78" s="31" t="str">
        <f t="shared" si="84"/>
        <v>-0.332666666666667</v>
      </c>
      <c r="AG78" s="31" t="str">
        <f t="shared" si="85"/>
        <v>250.138112470457i</v>
      </c>
      <c r="AH78" s="31">
        <f t="shared" si="86"/>
        <v>250.138112470457</v>
      </c>
      <c r="AI78" s="31">
        <f t="shared" si="87"/>
        <v>1.5707963267948966</v>
      </c>
      <c r="AJ78" s="31" t="str">
        <f t="shared" si="67"/>
        <v>0.996661747119444+2.06275568992992i</v>
      </c>
      <c r="AK78" s="31">
        <f t="shared" si="88"/>
        <v>2.2909159029762405</v>
      </c>
      <c r="AL78" s="31">
        <f t="shared" si="89"/>
        <v>1.1207031100128468</v>
      </c>
      <c r="AM78" s="31" t="str">
        <f t="shared" si="68"/>
        <v>1+7504.95382159813i</v>
      </c>
      <c r="AN78" s="31">
        <f t="shared" si="90"/>
        <v>7504.9538882207917</v>
      </c>
      <c r="AO78" s="31">
        <f t="shared" si="91"/>
        <v>1.57066308147216</v>
      </c>
      <c r="AP78" s="31" t="str">
        <f t="shared" si="69"/>
        <v>1+0.810447484404281i</v>
      </c>
      <c r="AQ78" s="31">
        <f t="shared" si="92"/>
        <v>1.2871771925330355</v>
      </c>
      <c r="AR78" s="31">
        <f t="shared" si="93"/>
        <v>0.68107897351829316</v>
      </c>
      <c r="AS78" s="58" t="str">
        <f t="shared" si="94"/>
        <v>-5.07441070908712+2.38742991286911i</v>
      </c>
      <c r="AT78" s="49">
        <f t="shared" si="95"/>
        <v>14.976132706253404</v>
      </c>
      <c r="AU78" s="61">
        <f t="shared" si="96"/>
        <v>154.8037580121462</v>
      </c>
      <c r="AV78" s="58" t="str">
        <f t="shared" si="70"/>
        <v>9065.23427559131+22726.4791493486i</v>
      </c>
      <c r="AW78" s="64">
        <f t="shared" si="97"/>
        <v>87.771884583709664</v>
      </c>
      <c r="AX78" s="61">
        <f t="shared" si="98"/>
        <v>68.253722536260113</v>
      </c>
    </row>
    <row r="79" spans="1:50" x14ac:dyDescent="0.3">
      <c r="N79" s="10">
        <v>61</v>
      </c>
      <c r="O79" s="50">
        <f t="shared" si="71"/>
        <v>40.738027780411279</v>
      </c>
      <c r="P79" s="48" t="str">
        <f t="shared" si="72"/>
        <v>51201.9230769231</v>
      </c>
      <c r="Q79" s="17" t="str">
        <f t="shared" si="63"/>
        <v>1+11.9614216067664i</v>
      </c>
      <c r="R79" s="17">
        <f t="shared" si="73"/>
        <v>12.003149872213465</v>
      </c>
      <c r="S79" s="17">
        <f t="shared" si="74"/>
        <v>1.4873881848661561</v>
      </c>
      <c r="T79" s="17" t="str">
        <f t="shared" si="64"/>
        <v>1+7.67893732780063E-10i</v>
      </c>
      <c r="U79" s="17">
        <f t="shared" si="75"/>
        <v>1</v>
      </c>
      <c r="V79" s="17">
        <f t="shared" si="76"/>
        <v>7.6789373278006304E-10</v>
      </c>
      <c r="W79" s="31" t="str">
        <f t="shared" si="65"/>
        <v>1-0.000414662615701233i</v>
      </c>
      <c r="X79" s="17">
        <f t="shared" si="77"/>
        <v>1.0000000859725386</v>
      </c>
      <c r="Y79" s="17">
        <f t="shared" si="78"/>
        <v>-4.1466259193483589E-4</v>
      </c>
      <c r="Z79" s="31" t="str">
        <f t="shared" si="66"/>
        <v>0.999999336165237+0.0253042078328257i</v>
      </c>
      <c r="AA79" s="17">
        <f t="shared" si="79"/>
        <v>1.000319436612606</v>
      </c>
      <c r="AB79" s="17">
        <f t="shared" si="80"/>
        <v>2.5298825907662855E-2</v>
      </c>
      <c r="AC79" s="66" t="str">
        <f t="shared" si="81"/>
        <v>245.893463685161-4257.25006158192i</v>
      </c>
      <c r="AD79" s="64">
        <f t="shared" si="82"/>
        <v>72.597047479574982</v>
      </c>
      <c r="AE79" s="61">
        <f t="shared" si="83"/>
        <v>-86.694339814043062</v>
      </c>
      <c r="AF79" s="31" t="str">
        <f t="shared" si="84"/>
        <v>-0.332666666666667</v>
      </c>
      <c r="AG79" s="31" t="str">
        <f t="shared" si="85"/>
        <v>255.964577593354i</v>
      </c>
      <c r="AH79" s="31">
        <f t="shared" si="86"/>
        <v>255.96457759335399</v>
      </c>
      <c r="AI79" s="31">
        <f t="shared" si="87"/>
        <v>1.5707963267948966</v>
      </c>
      <c r="AJ79" s="31" t="str">
        <f t="shared" si="67"/>
        <v>0.996504420108157+2.11080344229253i</v>
      </c>
      <c r="AK79" s="31">
        <f t="shared" si="88"/>
        <v>2.3342048391880881</v>
      </c>
      <c r="AL79" s="31">
        <f t="shared" si="89"/>
        <v>1.1297190679042104</v>
      </c>
      <c r="AM79" s="31" t="str">
        <f t="shared" si="68"/>
        <v>1+7679.76665303203i</v>
      </c>
      <c r="AN79" s="31">
        <f t="shared" si="90"/>
        <v>7679.7667181381748</v>
      </c>
      <c r="AO79" s="31">
        <f t="shared" si="91"/>
        <v>1.5706661145059655</v>
      </c>
      <c r="AP79" s="31" t="str">
        <f t="shared" si="69"/>
        <v>1+0.829325231402467i</v>
      </c>
      <c r="AQ79" s="31">
        <f t="shared" si="92"/>
        <v>1.2991460038966964</v>
      </c>
      <c r="AR79" s="31">
        <f t="shared" si="93"/>
        <v>0.69236817147589735</v>
      </c>
      <c r="AS79" s="58" t="str">
        <f t="shared" si="94"/>
        <v>-5.03198290739953+2.3534936372248i</v>
      </c>
      <c r="AT79" s="49">
        <f t="shared" si="95"/>
        <v>14.893928858885827</v>
      </c>
      <c r="AU79" s="61">
        <f t="shared" si="96"/>
        <v>154.93417885379807</v>
      </c>
      <c r="AV79" s="58" t="str">
        <f t="shared" si="70"/>
        <v>8782.07922570294+22001.118244624i</v>
      </c>
      <c r="AW79" s="64">
        <f t="shared" si="97"/>
        <v>87.490976338460825</v>
      </c>
      <c r="AX79" s="61">
        <f t="shared" si="98"/>
        <v>68.239839039754997</v>
      </c>
    </row>
    <row r="80" spans="1:50" x14ac:dyDescent="0.3">
      <c r="N80" s="10">
        <v>62</v>
      </c>
      <c r="O80" s="50">
        <f t="shared" si="71"/>
        <v>41.686938347033561</v>
      </c>
      <c r="P80" s="48" t="str">
        <f t="shared" si="72"/>
        <v>51201.9230769231</v>
      </c>
      <c r="Q80" s="17" t="str">
        <f t="shared" si="63"/>
        <v>1+12.2400389079196i</v>
      </c>
      <c r="R80" s="17">
        <f t="shared" si="73"/>
        <v>12.280820512790894</v>
      </c>
      <c r="S80" s="17">
        <f t="shared" si="74"/>
        <v>1.4892782889776173</v>
      </c>
      <c r="T80" s="17" t="str">
        <f t="shared" si="64"/>
        <v>1+7.8578027557015E-10i</v>
      </c>
      <c r="U80" s="17">
        <f t="shared" si="75"/>
        <v>1</v>
      </c>
      <c r="V80" s="17">
        <f t="shared" si="76"/>
        <v>7.8578027557014999E-10</v>
      </c>
      <c r="W80" s="31" t="str">
        <f t="shared" si="65"/>
        <v>1-0.00042432134880788i</v>
      </c>
      <c r="X80" s="17">
        <f t="shared" si="77"/>
        <v>1.0000000900242996</v>
      </c>
      <c r="Y80" s="17">
        <f t="shared" si="78"/>
        <v>-4.2432132334172684E-4</v>
      </c>
      <c r="Z80" s="31" t="str">
        <f t="shared" si="66"/>
        <v>0.999999304879668+0.0258936185505464i</v>
      </c>
      <c r="AA80" s="17">
        <f t="shared" si="79"/>
        <v>1.0003344886793919</v>
      </c>
      <c r="AB80" s="17">
        <f t="shared" si="80"/>
        <v>2.5887851817975024E-2</v>
      </c>
      <c r="AC80" s="66" t="str">
        <f t="shared" si="81"/>
        <v>229.973760511211-4161.51584104215i</v>
      </c>
      <c r="AD80" s="64">
        <f t="shared" si="82"/>
        <v>72.398273710394108</v>
      </c>
      <c r="AE80" s="61">
        <f t="shared" si="83"/>
        <v>-86.836936904675099</v>
      </c>
      <c r="AF80" s="31" t="str">
        <f t="shared" si="84"/>
        <v>-0.332666666666667</v>
      </c>
      <c r="AG80" s="31" t="str">
        <f t="shared" si="85"/>
        <v>261.926758523383i</v>
      </c>
      <c r="AH80" s="31">
        <f t="shared" si="86"/>
        <v>261.926758523383</v>
      </c>
      <c r="AI80" s="31">
        <f t="shared" si="87"/>
        <v>1.5707963267948966</v>
      </c>
      <c r="AJ80" s="31" t="str">
        <f t="shared" si="67"/>
        <v>0.996339678503259+2.15997037058004i</v>
      </c>
      <c r="AK80" s="31">
        <f t="shared" si="88"/>
        <v>2.3786897142636434</v>
      </c>
      <c r="AL80" s="31">
        <f t="shared" si="89"/>
        <v>1.1386060178491246</v>
      </c>
      <c r="AM80" s="31" t="str">
        <f t="shared" si="68"/>
        <v>1+7858.65139839912i</v>
      </c>
      <c r="AN80" s="31">
        <f t="shared" si="90"/>
        <v>7858.6514620232665</v>
      </c>
      <c r="AO80" s="31">
        <f t="shared" si="91"/>
        <v>1.570669078499495</v>
      </c>
      <c r="AP80" s="31" t="str">
        <f t="shared" si="69"/>
        <v>1+0.848642697615761i</v>
      </c>
      <c r="AQ80" s="31">
        <f t="shared" si="92"/>
        <v>1.3115618278283934</v>
      </c>
      <c r="AR80" s="31">
        <f t="shared" si="93"/>
        <v>0.70370555230334864</v>
      </c>
      <c r="AS80" s="58" t="str">
        <f t="shared" si="94"/>
        <v>-4.99077375022387+2.31931411395897i</v>
      </c>
      <c r="AT80" s="49">
        <f t="shared" si="95"/>
        <v>14.812568395151899</v>
      </c>
      <c r="AU80" s="61">
        <f t="shared" si="96"/>
        <v>155.07474802567558</v>
      </c>
      <c r="AV80" s="58" t="str">
        <f t="shared" si="70"/>
        <v>8504.11541839327+21302.5654092078i</v>
      </c>
      <c r="AW80" s="64">
        <f t="shared" si="97"/>
        <v>87.210842105545993</v>
      </c>
      <c r="AX80" s="61">
        <f t="shared" si="98"/>
        <v>68.237811121000433</v>
      </c>
    </row>
    <row r="81" spans="14:50" x14ac:dyDescent="0.3">
      <c r="N81" s="10">
        <v>63</v>
      </c>
      <c r="O81" s="50">
        <f t="shared" si="71"/>
        <v>42.657951880159267</v>
      </c>
      <c r="P81" s="48" t="str">
        <f t="shared" si="72"/>
        <v>51201.9230769231</v>
      </c>
      <c r="Q81" s="17" t="str">
        <f t="shared" si="63"/>
        <v>1+12.5251460397179i</v>
      </c>
      <c r="R81" s="17">
        <f t="shared" si="73"/>
        <v>12.565002320583192</v>
      </c>
      <c r="S81" s="17">
        <f t="shared" si="74"/>
        <v>1.4911259332963485</v>
      </c>
      <c r="T81" s="17" t="str">
        <f t="shared" si="64"/>
        <v>1+8.04083449463374E-10i</v>
      </c>
      <c r="U81" s="17">
        <f t="shared" si="75"/>
        <v>1</v>
      </c>
      <c r="V81" s="17">
        <f t="shared" si="76"/>
        <v>8.0408344946337396E-10</v>
      </c>
      <c r="W81" s="31" t="str">
        <f t="shared" si="65"/>
        <v>1-0.000434205062710221i</v>
      </c>
      <c r="X81" s="17">
        <f t="shared" si="77"/>
        <v>1.0000000942670138</v>
      </c>
      <c r="Y81" s="17">
        <f t="shared" si="78"/>
        <v>-4.3420503542274634E-4</v>
      </c>
      <c r="Z81" s="31" t="str">
        <f t="shared" si="66"/>
        <v>0.999999272119657+0.026496758407565i</v>
      </c>
      <c r="AA81" s="17">
        <f t="shared" si="79"/>
        <v>1.0003502498854853</v>
      </c>
      <c r="AB81" s="17">
        <f t="shared" si="80"/>
        <v>2.6490579359128404E-2</v>
      </c>
      <c r="AC81" s="66" t="str">
        <f t="shared" si="81"/>
        <v>214.761575070812-4067.8717302742i</v>
      </c>
      <c r="AD81" s="64">
        <f t="shared" si="82"/>
        <v>72.199433113091516</v>
      </c>
      <c r="AE81" s="61">
        <f t="shared" si="83"/>
        <v>-86.977899164423576</v>
      </c>
      <c r="AF81" s="31" t="str">
        <f t="shared" si="84"/>
        <v>-0.332666666666667</v>
      </c>
      <c r="AG81" s="31" t="str">
        <f t="shared" si="85"/>
        <v>268.027816487791i</v>
      </c>
      <c r="AH81" s="31">
        <f t="shared" si="86"/>
        <v>268.02781648779097</v>
      </c>
      <c r="AI81" s="31">
        <f t="shared" si="87"/>
        <v>1.5707963267948966</v>
      </c>
      <c r="AJ81" s="31" t="str">
        <f t="shared" si="67"/>
        <v>0.996167172865718+2.21028254374862i</v>
      </c>
      <c r="AK81" s="31">
        <f t="shared" si="88"/>
        <v>2.4243964113764784</v>
      </c>
      <c r="AL81" s="31">
        <f t="shared" si="89"/>
        <v>1.1473631286886061</v>
      </c>
      <c r="AM81" s="31" t="str">
        <f t="shared" si="68"/>
        <v>1+8041.70290475916i</v>
      </c>
      <c r="AN81" s="31">
        <f t="shared" si="90"/>
        <v>8041.7029669350459</v>
      </c>
      <c r="AO81" s="31">
        <f t="shared" si="91"/>
        <v>1.5706719750242966</v>
      </c>
      <c r="AP81" s="31" t="str">
        <f t="shared" si="69"/>
        <v>1+0.868410125420443i</v>
      </c>
      <c r="AQ81" s="31">
        <f t="shared" si="92"/>
        <v>1.3244380491109238</v>
      </c>
      <c r="AR81" s="31">
        <f t="shared" si="93"/>
        <v>0.71508546991512889</v>
      </c>
      <c r="AS81" s="58" t="str">
        <f t="shared" si="94"/>
        <v>-4.95077329500316+2.28493766894267i</v>
      </c>
      <c r="AT81" s="49">
        <f t="shared" si="95"/>
        <v>14.732109246247639</v>
      </c>
      <c r="AU81" s="61">
        <f t="shared" si="96"/>
        <v>155.22518974285299</v>
      </c>
      <c r="AV81" s="58" t="str">
        <f t="shared" si="70"/>
        <v>8231.59747827712+20629.8275424606i</v>
      </c>
      <c r="AW81" s="64">
        <f t="shared" si="97"/>
        <v>86.931542359339176</v>
      </c>
      <c r="AX81" s="61">
        <f t="shared" si="98"/>
        <v>68.247290578429457</v>
      </c>
    </row>
    <row r="82" spans="14:50" x14ac:dyDescent="0.3">
      <c r="N82" s="10">
        <v>64</v>
      </c>
      <c r="O82" s="50">
        <f t="shared" si="71"/>
        <v>43.651583224016633</v>
      </c>
      <c r="P82" s="48" t="str">
        <f t="shared" si="72"/>
        <v>51201.9230769231</v>
      </c>
      <c r="Q82" s="17" t="str">
        <f t="shared" si="63"/>
        <v>1+12.8168941697364i</v>
      </c>
      <c r="R82" s="17">
        <f t="shared" si="73"/>
        <v>12.855845991541084</v>
      </c>
      <c r="S82" s="17">
        <f t="shared" si="74"/>
        <v>1.4929320469799459</v>
      </c>
      <c r="T82" s="17" t="str">
        <f t="shared" si="64"/>
        <v>1+8.22812959044805E-10i</v>
      </c>
      <c r="U82" s="17">
        <f t="shared" si="75"/>
        <v>1</v>
      </c>
      <c r="V82" s="17">
        <f t="shared" si="76"/>
        <v>8.2281295904480505E-10</v>
      </c>
      <c r="W82" s="31" t="str">
        <f t="shared" si="65"/>
        <v>1-0.000444318997884194i</v>
      </c>
      <c r="X82" s="17">
        <f t="shared" si="77"/>
        <v>1.0000000987096811</v>
      </c>
      <c r="Y82" s="17">
        <f t="shared" si="78"/>
        <v>-4.443189686451383E-4</v>
      </c>
      <c r="Z82" s="31" t="str">
        <f t="shared" si="66"/>
        <v>0.999999237815713+0.0271139471966174i</v>
      </c>
      <c r="AA82" s="17">
        <f t="shared" si="79"/>
        <v>1.0003667536281819</v>
      </c>
      <c r="AB82" s="17">
        <f t="shared" si="80"/>
        <v>2.710732635802221E-2</v>
      </c>
      <c r="AC82" s="66" t="str">
        <f t="shared" si="81"/>
        <v>200.225888224324-3976.27574961071i</v>
      </c>
      <c r="AD82" s="64">
        <f t="shared" si="82"/>
        <v>72.000528094238575</v>
      </c>
      <c r="AE82" s="61">
        <f t="shared" si="83"/>
        <v>-87.117298340493306</v>
      </c>
      <c r="AF82" s="31" t="str">
        <f t="shared" si="84"/>
        <v>-0.332666666666667</v>
      </c>
      <c r="AG82" s="31" t="str">
        <f t="shared" si="85"/>
        <v>274.270986348268i</v>
      </c>
      <c r="AH82" s="31">
        <f t="shared" si="86"/>
        <v>274.27098634826802</v>
      </c>
      <c r="AI82" s="31">
        <f t="shared" si="87"/>
        <v>1.5707963267948966</v>
      </c>
      <c r="AJ82" s="31" t="str">
        <f t="shared" si="67"/>
        <v>0.995986537287949+2.26176663797844i</v>
      </c>
      <c r="AK82" s="31">
        <f t="shared" si="88"/>
        <v>2.471351352424648</v>
      </c>
      <c r="AL82" s="31">
        <f t="shared" si="89"/>
        <v>1.1559897424548893</v>
      </c>
      <c r="AM82" s="31" t="str">
        <f t="shared" si="68"/>
        <v>1+8229.01822844382i</v>
      </c>
      <c r="AN82" s="31">
        <f t="shared" si="90"/>
        <v>8229.0182892044104</v>
      </c>
      <c r="AO82" s="31">
        <f t="shared" si="91"/>
        <v>1.5706748056161464</v>
      </c>
      <c r="AP82" s="31" t="str">
        <f t="shared" si="69"/>
        <v>1+0.888637995768388i</v>
      </c>
      <c r="AQ82" s="31">
        <f t="shared" si="92"/>
        <v>1.3377882820249465</v>
      </c>
      <c r="AR82" s="31">
        <f t="shared" si="93"/>
        <v>0.72650216913187005</v>
      </c>
      <c r="AS82" s="58" t="str">
        <f t="shared" si="94"/>
        <v>-4.91196968645453+2.25040900120188i</v>
      </c>
      <c r="AT82" s="49">
        <f t="shared" si="95"/>
        <v>14.652606796224575</v>
      </c>
      <c r="AU82" s="61">
        <f t="shared" si="96"/>
        <v>155.38521204461162</v>
      </c>
      <c r="AV82" s="58" t="str">
        <f t="shared" si="70"/>
        <v>7964.74324478338+19981.9360882057i</v>
      </c>
      <c r="AW82" s="64">
        <f t="shared" si="97"/>
        <v>86.653134890463136</v>
      </c>
      <c r="AX82" s="61">
        <f t="shared" si="98"/>
        <v>68.267913704118286</v>
      </c>
    </row>
    <row r="83" spans="14:50" x14ac:dyDescent="0.3">
      <c r="N83" s="10">
        <v>65</v>
      </c>
      <c r="O83" s="50">
        <f t="shared" si="71"/>
        <v>44.668359215096324</v>
      </c>
      <c r="P83" s="48" t="str">
        <f t="shared" ref="P83:P146" si="99">COMPLEX(Adc,0)</f>
        <v>51201.9230769231</v>
      </c>
      <c r="Q83" s="17" t="str">
        <f t="shared" ref="Q83:Q146" si="100">IMSUM(COMPLEX(1,0),IMDIV(COMPLEX(0,2*PI()*O83),COMPLEX(wp_lf,0)))</f>
        <v>1+13.1154379866953i</v>
      </c>
      <c r="R83" s="17">
        <f t="shared" si="73"/>
        <v>13.153505752568401</v>
      </c>
      <c r="S83" s="17">
        <f t="shared" si="74"/>
        <v>1.4946975404944658</v>
      </c>
      <c r="T83" s="17" t="str">
        <f t="shared" ref="T83:T146" si="101">IMSUM(COMPLEX(1,0),IMDIV(COMPLEX(0,2*PI()*O83),COMPLEX(wz_esr,0)))</f>
        <v>1+8.4197873494834E-10i</v>
      </c>
      <c r="U83" s="17">
        <f t="shared" si="75"/>
        <v>1</v>
      </c>
      <c r="V83" s="17">
        <f t="shared" si="76"/>
        <v>8.4197873494833996E-10</v>
      </c>
      <c r="W83" s="31" t="str">
        <f t="shared" ref="W83:W146" si="102">IMSUB(COMPLEX(1,0),IMDIV(COMPLEX(0,2*PI()*O83),COMPLEX(wz_rhp,0)))</f>
        <v>1-0.000454668516872103i</v>
      </c>
      <c r="X83" s="17">
        <f t="shared" si="77"/>
        <v>1.0000001033617247</v>
      </c>
      <c r="Y83" s="17">
        <f t="shared" si="78"/>
        <v>-4.5466848554189053E-4</v>
      </c>
      <c r="Z83" s="31" t="str">
        <f t="shared" ref="Z83:Z146" si="103">IMSUM(COMPLEX(1,0),IMDIV(COMPLEX(0,2*PI()*O83),COMPLEX(Q*(wsl/2),0)),IMDIV(IMPOWER(COMPLEX(0,2*PI()*O83),2),IMPOWER(COMPLEX(wsl/2,0),2)))</f>
        <v>0.999999201895074+0.027745512159369i</v>
      </c>
      <c r="AA83" s="17">
        <f t="shared" si="79"/>
        <v>1.0003840348764921</v>
      </c>
      <c r="AB83" s="17">
        <f t="shared" si="80"/>
        <v>2.7738417950078632E-2</v>
      </c>
      <c r="AC83" s="66" t="str">
        <f t="shared" si="81"/>
        <v>186.337007295677-3886.68650384548i</v>
      </c>
      <c r="AD83" s="64">
        <f t="shared" si="82"/>
        <v>71.801560928466898</v>
      </c>
      <c r="AE83" s="61">
        <f t="shared" si="83"/>
        <v>-87.255205534884098</v>
      </c>
      <c r="AF83" s="31" t="str">
        <f t="shared" ref="AF83:AF146" si="104">COMPLEX(Adc_ea_iso,0)</f>
        <v>-0.332666666666667</v>
      </c>
      <c r="AG83" s="31" t="str">
        <f t="shared" si="85"/>
        <v>280.659578316113i</v>
      </c>
      <c r="AH83" s="31">
        <f t="shared" si="86"/>
        <v>280.65957831611303</v>
      </c>
      <c r="AI83" s="31">
        <f t="shared" si="87"/>
        <v>1.5707963267948966</v>
      </c>
      <c r="AJ83" s="31" t="str">
        <f t="shared" ref="AJ83:AJ146" si="105">IMSUM(IMPRODUCT(COMPLEX(wpA_ea_iso,0),IMPOWER(COMPLEX(0,2*PI()*O83),2)),COMPLEX(0,wpB_ea_iso*2*PI()*O83),COMPLEX(1,0))</f>
        <v>0.995797388617674+2.31444995081774i</v>
      </c>
      <c r="AK83" s="31">
        <f t="shared" si="88"/>
        <v>2.5195815156525536</v>
      </c>
      <c r="AL83" s="31">
        <f t="shared" si="89"/>
        <v>1.1644853680765148</v>
      </c>
      <c r="AM83" s="31" t="str">
        <f t="shared" ref="AM83:AM146" si="106">IMSUM(COMPLEX(1,0),IMDIV(COMPLEX(0,2*PI()*O83),COMPLEX(wz1_ea_iso,0)))</f>
        <v>1+8420.69668651715i</v>
      </c>
      <c r="AN83" s="31">
        <f t="shared" si="90"/>
        <v>8420.6967458946601</v>
      </c>
      <c r="AO83" s="31">
        <f t="shared" si="91"/>
        <v>1.5706775717758612</v>
      </c>
      <c r="AP83" s="31" t="str">
        <f t="shared" ref="AP83:AP146" si="107">IMSUM(COMPLEX(1,0),IMDIV(COMPLEX(0,2*PI()*O83),COMPLEX(wz2_ea_iso,0)))</f>
        <v>1+0.909337033744206i</v>
      </c>
      <c r="AQ83" s="31">
        <f t="shared" si="92"/>
        <v>1.3516263688381902</v>
      </c>
      <c r="AR83" s="31">
        <f t="shared" si="93"/>
        <v>0.73794979964521445</v>
      </c>
      <c r="AS83" s="58" t="str">
        <f t="shared" si="94"/>
        <v>-4.87434930651261+2.21577112417249i</v>
      </c>
      <c r="AT83" s="49">
        <f t="shared" si="95"/>
        <v>14.574113757193569</v>
      </c>
      <c r="AU83" s="61">
        <f t="shared" si="96"/>
        <v>155.55450795528625</v>
      </c>
      <c r="AV83" s="58" t="str">
        <f t="shared" ref="AV83:AV146" si="108">IMPRODUCT(AC83,AS83)</f>
        <v>7703.73606164242+19357.9478247816i</v>
      </c>
      <c r="AW83" s="64">
        <f t="shared" si="97"/>
        <v>86.375674685660471</v>
      </c>
      <c r="AX83" s="61">
        <f t="shared" si="98"/>
        <v>68.299302420402142</v>
      </c>
    </row>
    <row r="84" spans="14:50" x14ac:dyDescent="0.3">
      <c r="N84" s="10">
        <v>66</v>
      </c>
      <c r="O84" s="50">
        <f t="shared" ref="O84:O118" si="109">10^(1+(N84/100))</f>
        <v>45.70881896148753</v>
      </c>
      <c r="P84" s="48" t="str">
        <f t="shared" si="99"/>
        <v>51201.9230769231</v>
      </c>
      <c r="Q84" s="17" t="str">
        <f t="shared" si="100"/>
        <v>1+13.4209357824781i</v>
      </c>
      <c r="R84" s="17">
        <f t="shared" ref="R84:R147" si="110">IMABS(Q84)</f>
        <v>13.458139443377791</v>
      </c>
      <c r="S84" s="17">
        <f t="shared" ref="S84:S147" si="111">IMARGUMENT(Q84)</f>
        <v>1.4964233058794485</v>
      </c>
      <c r="T84" s="17" t="str">
        <f t="shared" si="101"/>
        <v>1+8.61590939122051E-10i</v>
      </c>
      <c r="U84" s="17">
        <f t="shared" ref="U84:U147" si="112">IMABS(T84)</f>
        <v>1</v>
      </c>
      <c r="V84" s="17">
        <f t="shared" ref="V84:V147" si="113">IMARGUMENT(T84)</f>
        <v>8.6159093912205104E-10</v>
      </c>
      <c r="W84" s="31" t="str">
        <f t="shared" si="102"/>
        <v>1-0.000465259107125907i</v>
      </c>
      <c r="X84" s="17">
        <f t="shared" ref="X84:X147" si="114">IMABS(W84)</f>
        <v>1.0000001082330126</v>
      </c>
      <c r="Y84" s="17">
        <f t="shared" ref="Y84:Y147" si="115">IMARGUMENT(W84)</f>
        <v>-4.6525907355497969E-4</v>
      </c>
      <c r="Z84" s="31" t="str">
        <f t="shared" si="103"/>
        <v>0.999999164281548+0.0283917881599227i</v>
      </c>
      <c r="AA84" s="17">
        <f t="shared" ref="AA84:AA147" si="116">IMABS(Z84)</f>
        <v>1.0004021302449893</v>
      </c>
      <c r="AB84" s="17">
        <f t="shared" ref="AB84:AB147" si="117">IMARGUMENT(Z84)</f>
        <v>2.8384186742732184E-2</v>
      </c>
      <c r="AC84" s="66" t="str">
        <f t="shared" ref="AC84:AC147" si="118">(IMDIV(IMPRODUCT(P84,T84,W84),IMPRODUCT(Q84,Z84)))</f>
        <v>173.06651246477-3799.06319263729i</v>
      </c>
      <c r="AD84" s="64">
        <f t="shared" ref="AD84:AD147" si="119">20*LOG(IMABS(AC84))</f>
        <v>71.602533762894424</v>
      </c>
      <c r="AE84" s="61">
        <f t="shared" ref="AE84:AE147" si="120">(180/PI())*IMARGUMENT(AC84)</f>
        <v>-87.391691229105703</v>
      </c>
      <c r="AF84" s="31" t="str">
        <f t="shared" si="104"/>
        <v>-0.332666666666667</v>
      </c>
      <c r="AG84" s="31" t="str">
        <f t="shared" ref="AG84:AG147" si="121">COMPLEX(0,1*2*PI()*O84)</f>
        <v>287.19697970735i</v>
      </c>
      <c r="AH84" s="31">
        <f t="shared" ref="AH84:AH147" si="122">IMABS(AG84)</f>
        <v>287.19697970735001</v>
      </c>
      <c r="AI84" s="31">
        <f t="shared" ref="AI84:AI147" si="123">IMARGUMENT(AG84)</f>
        <v>1.5707963267948966</v>
      </c>
      <c r="AJ84" s="31" t="str">
        <f t="shared" si="105"/>
        <v>0.995599325645202+2.36836041565633i</v>
      </c>
      <c r="AK84" s="31">
        <f t="shared" ref="AK84:AK147" si="124">IMABS(AJ84)</f>
        <v>2.5691144535954415</v>
      </c>
      <c r="AL84" s="31">
        <f t="shared" ref="AL84:AL147" si="125">IMARGUMENT(AJ84)</f>
        <v>1.172849674883977</v>
      </c>
      <c r="AM84" s="31" t="str">
        <f t="shared" si="106"/>
        <v>1+8616.83990943477i</v>
      </c>
      <c r="AN84" s="31">
        <f t="shared" ref="AN84:AN147" si="126">IMABS(AM84)</f>
        <v>8616.8399674606826</v>
      </c>
      <c r="AO84" s="31">
        <f t="shared" ref="AO84:AO147" si="127">IMARGUMENT(AM84)</f>
        <v>1.5706802749700952</v>
      </c>
      <c r="AP84" s="31" t="str">
        <f t="shared" si="107"/>
        <v>1+0.930518214251814i</v>
      </c>
      <c r="AQ84" s="31">
        <f t="shared" ref="AQ84:AQ147" si="128">IMABS(AP84)</f>
        <v>1.3659663784494789</v>
      </c>
      <c r="AR84" s="31">
        <f t="shared" ref="AR84:AR147" si="129">IMARGUMENT(AP84)</f>
        <v>0.74942243057571045</v>
      </c>
      <c r="AS84" s="58" t="str">
        <f t="shared" ref="AS84:AS147" si="130">IMDIV(IMPRODUCT(AF84,AM84,AP84),IMPRODUCT(AG84,AJ84))</f>
        <v>-4.83789692271072+2.1810653193073i</v>
      </c>
      <c r="AT84" s="49">
        <f t="shared" ref="AT84:AT147" si="131">20*LOG(IMABS(AS84))</f>
        <v>14.496680058123381</v>
      </c>
      <c r="AU84" s="61">
        <f t="shared" ref="AU84:AU147" si="132">(180/PI())*IMARGUMENT(AS84)</f>
        <v>155.73275669051557</v>
      </c>
      <c r="AV84" s="58" t="str">
        <f t="shared" si="108"/>
        <v>7448.72702724047+18756.9454971139i</v>
      </c>
      <c r="AW84" s="64">
        <f t="shared" ref="AW84:AW147" si="133">20*LOG(IMABS(AV84))</f>
        <v>86.099213821017813</v>
      </c>
      <c r="AX84" s="61">
        <f t="shared" ref="AX84:AX147" si="134">(180/PI())*IMARGUMENT(AV84)</f>
        <v>68.341065461409897</v>
      </c>
    </row>
    <row r="85" spans="14:50" x14ac:dyDescent="0.3">
      <c r="N85" s="10">
        <v>67</v>
      </c>
      <c r="O85" s="50">
        <f t="shared" si="109"/>
        <v>46.773514128719818</v>
      </c>
      <c r="P85" s="48" t="str">
        <f t="shared" si="99"/>
        <v>51201.9230769231</v>
      </c>
      <c r="Q85" s="17" t="str">
        <f t="shared" si="100"/>
        <v>1+13.7335495360598i</v>
      </c>
      <c r="R85" s="17">
        <f t="shared" si="110"/>
        <v>13.769908600256153</v>
      </c>
      <c r="S85" s="17">
        <f t="shared" si="111"/>
        <v>1.4981102170172256</v>
      </c>
      <c r="T85" s="17" t="str">
        <f t="shared" si="101"/>
        <v>1+8.81659970216188E-10i</v>
      </c>
      <c r="U85" s="17">
        <f t="shared" si="112"/>
        <v>1</v>
      </c>
      <c r="V85" s="17">
        <f t="shared" si="113"/>
        <v>8.81659970216188E-10</v>
      </c>
      <c r="W85" s="31" t="str">
        <f t="shared" si="102"/>
        <v>1-0.000476096383916741i</v>
      </c>
      <c r="X85" s="17">
        <f t="shared" si="114"/>
        <v>1.0000001133338769</v>
      </c>
      <c r="Y85" s="17">
        <f t="shared" si="115"/>
        <v>-4.7609634794484456E-4</v>
      </c>
      <c r="Z85" s="31" t="str">
        <f t="shared" si="103"/>
        <v>0.99999912489535+0.0290531178623686i</v>
      </c>
      <c r="AA85" s="17">
        <f t="shared" si="116"/>
        <v>1.0004210780711245</v>
      </c>
      <c r="AB85" s="17">
        <f t="shared" si="117"/>
        <v>2.9044972982246973E-2</v>
      </c>
      <c r="AC85" s="66" t="str">
        <f t="shared" si="118"/>
        <v>160.387205056528-3713.36561919047i</v>
      </c>
      <c r="AD85" s="64">
        <f t="shared" si="119"/>
        <v>71.403448621316699</v>
      </c>
      <c r="AE85" s="61">
        <f t="shared" si="120"/>
        <v>-87.526825309332551</v>
      </c>
      <c r="AF85" s="31" t="str">
        <f t="shared" si="104"/>
        <v>-0.332666666666667</v>
      </c>
      <c r="AG85" s="31" t="str">
        <f t="shared" si="121"/>
        <v>293.886656738729i</v>
      </c>
      <c r="AH85" s="31">
        <f t="shared" si="122"/>
        <v>293.88665673872902</v>
      </c>
      <c r="AI85" s="31">
        <f t="shared" si="123"/>
        <v>1.5707963267948966</v>
      </c>
      <c r="AJ85" s="31" t="str">
        <f t="shared" si="105"/>
        <v>0.995391928252416+2.42352661653626i</v>
      </c>
      <c r="AK85" s="31">
        <f t="shared" si="124"/>
        <v>2.6199783113395725</v>
      </c>
      <c r="AL85" s="31">
        <f t="shared" si="125"/>
        <v>1.1810824859616369</v>
      </c>
      <c r="AM85" s="31" t="str">
        <f t="shared" si="106"/>
        <v>1+8817.55189492972i</v>
      </c>
      <c r="AN85" s="31">
        <f t="shared" si="126"/>
        <v>8817.5519516348013</v>
      </c>
      <c r="AO85" s="31">
        <f t="shared" si="127"/>
        <v>1.5706829166321181</v>
      </c>
      <c r="AP85" s="31" t="str">
        <f t="shared" si="107"/>
        <v>1+0.952192767833482i</v>
      </c>
      <c r="AQ85" s="31">
        <f t="shared" si="128"/>
        <v>1.3808226052300807</v>
      </c>
      <c r="AR85" s="31">
        <f t="shared" si="129"/>
        <v>0.76091406553831709</v>
      </c>
      <c r="AS85" s="58" t="str">
        <f t="shared" si="130"/>
        <v>-4.80259583410721+2.14633110137052i</v>
      </c>
      <c r="AT85" s="49">
        <f t="shared" si="131"/>
        <v>14.420352747649583</v>
      </c>
      <c r="AU85" s="61">
        <f t="shared" si="132"/>
        <v>155.91962490138422</v>
      </c>
      <c r="AV85" s="58" t="str">
        <f t="shared" si="108"/>
        <v>7199.83719637992+18178.0382997158i</v>
      </c>
      <c r="AW85" s="64">
        <f t="shared" si="133"/>
        <v>85.823801368966286</v>
      </c>
      <c r="AX85" s="61">
        <f t="shared" si="134"/>
        <v>68.392799592051688</v>
      </c>
    </row>
    <row r="86" spans="14:50" x14ac:dyDescent="0.3">
      <c r="N86" s="10">
        <v>68</v>
      </c>
      <c r="O86" s="50">
        <f t="shared" si="109"/>
        <v>47.863009232263877</v>
      </c>
      <c r="P86" s="48" t="str">
        <f t="shared" si="99"/>
        <v>51201.9230769231</v>
      </c>
      <c r="Q86" s="17" t="str">
        <f t="shared" si="100"/>
        <v>1+14.0534449993906i</v>
      </c>
      <c r="R86" s="17">
        <f t="shared" si="110"/>
        <v>14.088978541785655</v>
      </c>
      <c r="S86" s="17">
        <f t="shared" si="111"/>
        <v>1.4997591299057671</v>
      </c>
      <c r="T86" s="17" t="str">
        <f t="shared" si="101"/>
        <v>1+9.02196469096684E-10i</v>
      </c>
      <c r="U86" s="17">
        <f t="shared" si="112"/>
        <v>1</v>
      </c>
      <c r="V86" s="17">
        <f t="shared" si="113"/>
        <v>9.0219646909668397E-10</v>
      </c>
      <c r="W86" s="31" t="str">
        <f t="shared" si="102"/>
        <v>1-0.000487186093312209i</v>
      </c>
      <c r="X86" s="17">
        <f t="shared" si="114"/>
        <v>1.0000001186751377</v>
      </c>
      <c r="Y86" s="17">
        <f t="shared" si="115"/>
        <v>-4.8718605476762774E-4</v>
      </c>
      <c r="Z86" s="31" t="str">
        <f t="shared" si="103"/>
        <v>0.999999083652939+0.0297298519124686i</v>
      </c>
      <c r="AA86" s="17">
        <f t="shared" si="116"/>
        <v>1.0004409184961673</v>
      </c>
      <c r="AB86" s="17">
        <f t="shared" si="117"/>
        <v>2.9721124723904188E-2</v>
      </c>
      <c r="AC86" s="66" t="str">
        <f t="shared" si="118"/>
        <v>148.273057684843-3629.55419733984i</v>
      </c>
      <c r="AD86" s="64">
        <f t="shared" si="119"/>
        <v>71.204307408168731</v>
      </c>
      <c r="AE86" s="61">
        <f t="shared" si="120"/>
        <v>-87.660677091958405</v>
      </c>
      <c r="AF86" s="31" t="str">
        <f t="shared" si="104"/>
        <v>-0.332666666666667</v>
      </c>
      <c r="AG86" s="31" t="str">
        <f t="shared" si="121"/>
        <v>300.732156365561i</v>
      </c>
      <c r="AH86" s="31">
        <f t="shared" si="122"/>
        <v>300.73215636556102</v>
      </c>
      <c r="AI86" s="31">
        <f t="shared" si="123"/>
        <v>1.5707963267948966</v>
      </c>
      <c r="AJ86" s="31" t="str">
        <f t="shared" si="105"/>
        <v>0.995174756521638+2.47997780330744i</v>
      </c>
      <c r="AK86" s="31">
        <f t="shared" si="124"/>
        <v>2.6722018450924505</v>
      </c>
      <c r="AL86" s="31">
        <f t="shared" si="125"/>
        <v>1.1891837713889661</v>
      </c>
      <c r="AM86" s="31" t="str">
        <f t="shared" si="106"/>
        <v>1+9022.93906315347i</v>
      </c>
      <c r="AN86" s="31">
        <f t="shared" si="126"/>
        <v>9022.939118567785</v>
      </c>
      <c r="AO86" s="31">
        <f t="shared" si="127"/>
        <v>1.5706854981625733</v>
      </c>
      <c r="AP86" s="31" t="str">
        <f t="shared" si="107"/>
        <v>1+0.974372186624418i</v>
      </c>
      <c r="AQ86" s="31">
        <f t="shared" si="128"/>
        <v>1.3962095681047491</v>
      </c>
      <c r="AR86" s="31">
        <f t="shared" si="129"/>
        <v>0.77241865812416599</v>
      </c>
      <c r="AS86" s="58" t="str">
        <f t="shared" si="130"/>
        <v>-4.76842801396774+2.11160619471058i</v>
      </c>
      <c r="AT86" s="49">
        <f t="shared" si="131"/>
        <v>14.345175911206368</v>
      </c>
      <c r="AU86" s="61">
        <f t="shared" si="132"/>
        <v>156.11476794875387</v>
      </c>
      <c r="AV86" s="58" t="str">
        <f t="shared" si="108"/>
        <v>6957.15972515953+17620.3622199255i</v>
      </c>
      <c r="AW86" s="64">
        <f t="shared" si="133"/>
        <v>85.549483319375113</v>
      </c>
      <c r="AX86" s="61">
        <f t="shared" si="134"/>
        <v>68.454090856795503</v>
      </c>
    </row>
    <row r="87" spans="14:50" x14ac:dyDescent="0.3">
      <c r="N87" s="10">
        <v>69</v>
      </c>
      <c r="O87" s="50">
        <f t="shared" si="109"/>
        <v>48.977881936844632</v>
      </c>
      <c r="P87" s="48" t="str">
        <f t="shared" si="99"/>
        <v>51201.9230769231</v>
      </c>
      <c r="Q87" s="17" t="str">
        <f t="shared" si="100"/>
        <v>1+14.3807917852795i</v>
      </c>
      <c r="R87" s="17">
        <f t="shared" si="110"/>
        <v>14.41551845656487</v>
      </c>
      <c r="S87" s="17">
        <f t="shared" si="111"/>
        <v>1.5013708829343808</v>
      </c>
      <c r="T87" s="17" t="str">
        <f t="shared" si="101"/>
        <v>1+9.23211324487078E-10i</v>
      </c>
      <c r="U87" s="17">
        <f t="shared" si="112"/>
        <v>1</v>
      </c>
      <c r="V87" s="17">
        <f t="shared" si="113"/>
        <v>9.2321132448707799E-10</v>
      </c>
      <c r="W87" s="31" t="str">
        <f t="shared" si="102"/>
        <v>1-0.000498534115223021i</v>
      </c>
      <c r="X87" s="17">
        <f t="shared" si="114"/>
        <v>1.0000001242681242</v>
      </c>
      <c r="Y87" s="17">
        <f t="shared" si="115"/>
        <v>-4.9853407392175838E-4</v>
      </c>
      <c r="Z87" s="31" t="str">
        <f t="shared" si="103"/>
        <v>0.999999040466832+0.0304223491235737i</v>
      </c>
      <c r="AA87" s="17">
        <f t="shared" si="116"/>
        <v>1.0004616935499238</v>
      </c>
      <c r="AB87" s="17">
        <f t="shared" si="117"/>
        <v>3.0412998005604014E-2</v>
      </c>
      <c r="AC87" s="66" t="str">
        <f t="shared" si="118"/>
        <v>136.699166207941-3547.58995716063i</v>
      </c>
      <c r="AD87" s="64">
        <f t="shared" si="119"/>
        <v>71.005111912263715</v>
      </c>
      <c r="AE87" s="61">
        <f t="shared" si="120"/>
        <v>-87.793315349513989</v>
      </c>
      <c r="AF87" s="31" t="str">
        <f t="shared" si="104"/>
        <v>-0.332666666666667</v>
      </c>
      <c r="AG87" s="31" t="str">
        <f t="shared" si="121"/>
        <v>307.737108162359i</v>
      </c>
      <c r="AH87" s="31">
        <f t="shared" si="122"/>
        <v>307.73710816235899</v>
      </c>
      <c r="AI87" s="31">
        <f t="shared" si="123"/>
        <v>1.5707963267948966</v>
      </c>
      <c r="AJ87" s="31" t="str">
        <f t="shared" si="105"/>
        <v>0.994947349802511+2.53774390713632i</v>
      </c>
      <c r="AK87" s="31">
        <f t="shared" si="124"/>
        <v>2.7258144410591409</v>
      </c>
      <c r="AL87" s="31">
        <f t="shared" si="125"/>
        <v>1.1971536414114476</v>
      </c>
      <c r="AM87" s="31" t="str">
        <f t="shared" si="106"/>
        <v>1+9233.11031310123i</v>
      </c>
      <c r="AN87" s="31">
        <f t="shared" si="126"/>
        <v>9233.1103672541612</v>
      </c>
      <c r="AO87" s="31">
        <f t="shared" si="127"/>
        <v>1.5706880209302228</v>
      </c>
      <c r="AP87" s="31" t="str">
        <f t="shared" si="107"/>
        <v>1+0.997068230446043i</v>
      </c>
      <c r="AQ87" s="31">
        <f t="shared" si="128"/>
        <v>1.4121420099143016</v>
      </c>
      <c r="AR87" s="31">
        <f t="shared" si="129"/>
        <v>0.78393012770234927</v>
      </c>
      <c r="AS87" s="58" t="str">
        <f t="shared" si="130"/>
        <v>-4.73537424851631+2.0769265197698i</v>
      </c>
      <c r="AT87" s="49">
        <f t="shared" si="131"/>
        <v>14.271190602687991</v>
      </c>
      <c r="AU87" s="61">
        <f t="shared" si="132"/>
        <v>156.3178311999601</v>
      </c>
      <c r="AV87" s="58" t="str">
        <f t="shared" si="108"/>
        <v>6720.76195184119+17083.0802509612i</v>
      </c>
      <c r="AW87" s="64">
        <f t="shared" si="133"/>
        <v>85.276302514951695</v>
      </c>
      <c r="AX87" s="61">
        <f t="shared" si="134"/>
        <v>68.524515850446079</v>
      </c>
    </row>
    <row r="88" spans="14:50" x14ac:dyDescent="0.3">
      <c r="N88" s="10">
        <v>70</v>
      </c>
      <c r="O88" s="50">
        <f t="shared" si="109"/>
        <v>50.118723362727238</v>
      </c>
      <c r="P88" s="48" t="str">
        <f t="shared" si="99"/>
        <v>51201.9230769231</v>
      </c>
      <c r="Q88" s="17" t="str">
        <f t="shared" si="100"/>
        <v>1+14.7157634573251i</v>
      </c>
      <c r="R88" s="17">
        <f t="shared" si="110"/>
        <v>14.74970149297757</v>
      </c>
      <c r="S88" s="17">
        <f t="shared" si="111"/>
        <v>1.5029462971616243</v>
      </c>
      <c r="T88" s="17" t="str">
        <f t="shared" si="101"/>
        <v>1+9.44715678741859E-10i</v>
      </c>
      <c r="U88" s="17">
        <f t="shared" si="112"/>
        <v>1</v>
      </c>
      <c r="V88" s="17">
        <f t="shared" si="113"/>
        <v>9.4471567874185892E-10</v>
      </c>
      <c r="W88" s="31" t="str">
        <f t="shared" si="102"/>
        <v>1-0.000510146466520603i</v>
      </c>
      <c r="X88" s="17">
        <f t="shared" si="114"/>
        <v>1.0000001301247001</v>
      </c>
      <c r="Y88" s="17">
        <f t="shared" si="115"/>
        <v>-5.10146422265503E-4</v>
      </c>
      <c r="Z88" s="31" t="str">
        <f t="shared" si="103"/>
        <v>0.999998995245427+0.0311309766668715i</v>
      </c>
      <c r="AA88" s="17">
        <f t="shared" si="116"/>
        <v>1.0004834472394317</v>
      </c>
      <c r="AB88" s="17">
        <f t="shared" si="117"/>
        <v>3.1120957024920369E-2</v>
      </c>
      <c r="AC88" s="66" t="str">
        <f t="shared" si="118"/>
        <v>125.64170345041-3467.4345492162i</v>
      </c>
      <c r="AD88" s="64">
        <f t="shared" si="119"/>
        <v>70.805863810314264</v>
      </c>
      <c r="AE88" s="61">
        <f t="shared" si="120"/>
        <v>-87.924808336913159</v>
      </c>
      <c r="AF88" s="31" t="str">
        <f t="shared" si="104"/>
        <v>-0.332666666666667</v>
      </c>
      <c r="AG88" s="31" t="str">
        <f t="shared" si="121"/>
        <v>314.905226247286i</v>
      </c>
      <c r="AH88" s="31">
        <f t="shared" si="122"/>
        <v>314.90522624728601</v>
      </c>
      <c r="AI88" s="31">
        <f t="shared" si="123"/>
        <v>1.5707963267948966</v>
      </c>
      <c r="AJ88" s="31" t="str">
        <f t="shared" si="105"/>
        <v>0.994709225734894+2.59685555637578i</v>
      </c>
      <c r="AK88" s="31">
        <f t="shared" si="124"/>
        <v>2.7808461346219562</v>
      </c>
      <c r="AL88" s="31">
        <f t="shared" si="125"/>
        <v>1.2049923395785864</v>
      </c>
      <c r="AM88" s="31" t="str">
        <f t="shared" si="106"/>
        <v>1+9448.17708035164i</v>
      </c>
      <c r="AN88" s="31">
        <f t="shared" si="126"/>
        <v>9448.1771332718999</v>
      </c>
      <c r="AO88" s="31">
        <f t="shared" si="127"/>
        <v>1.5706904862726709</v>
      </c>
      <c r="AP88" s="31" t="str">
        <f t="shared" si="107"/>
        <v>1+1.02029293304121i</v>
      </c>
      <c r="AQ88" s="31">
        <f t="shared" si="128"/>
        <v>1.4286348971006677</v>
      </c>
      <c r="AR88" s="31">
        <f t="shared" si="129"/>
        <v>0.79544237544172336</v>
      </c>
      <c r="AS88" s="58" t="str">
        <f t="shared" si="130"/>
        <v>-4.70341427116755+2.04232618906935i</v>
      </c>
      <c r="AT88" s="49">
        <f t="shared" si="131"/>
        <v>14.198434790740526</v>
      </c>
      <c r="AU88" s="61">
        <f t="shared" si="132"/>
        <v>156.52845133999844</v>
      </c>
      <c r="AV88" s="58" t="str">
        <f t="shared" si="108"/>
        <v>6490.68740768566+16565.382484519i</v>
      </c>
      <c r="AW88" s="64">
        <f t="shared" si="133"/>
        <v>85.004298601054813</v>
      </c>
      <c r="AX88" s="61">
        <f t="shared" si="134"/>
        <v>68.603643003085324</v>
      </c>
    </row>
    <row r="89" spans="14:50" x14ac:dyDescent="0.3">
      <c r="N89" s="10">
        <v>71</v>
      </c>
      <c r="O89" s="50">
        <f t="shared" si="109"/>
        <v>51.28613839913649</v>
      </c>
      <c r="P89" s="48" t="str">
        <f t="shared" si="99"/>
        <v>51201.9230769231</v>
      </c>
      <c r="Q89" s="17" t="str">
        <f t="shared" si="100"/>
        <v>1+15.058537621942i</v>
      </c>
      <c r="R89" s="17">
        <f t="shared" si="110"/>
        <v>15.091704851057836</v>
      </c>
      <c r="S89" s="17">
        <f t="shared" si="111"/>
        <v>1.5044861765948503</v>
      </c>
      <c r="T89" s="17" t="str">
        <f t="shared" si="101"/>
        <v>1+9.667209337543E-10i</v>
      </c>
      <c r="U89" s="17">
        <f t="shared" si="112"/>
        <v>1</v>
      </c>
      <c r="V89" s="17">
        <f t="shared" si="113"/>
        <v>9.6672093375429999E-10</v>
      </c>
      <c r="W89" s="31" t="str">
        <f t="shared" si="102"/>
        <v>1-0.000522029304227321i</v>
      </c>
      <c r="X89" s="17">
        <f t="shared" si="114"/>
        <v>1.0000001362572879</v>
      </c>
      <c r="Y89" s="17">
        <f t="shared" si="115"/>
        <v>-5.2202925680712735E-4</v>
      </c>
      <c r="Z89" s="31" t="str">
        <f t="shared" si="103"/>
        <v>0.999998947892803+0.0318561102660653i</v>
      </c>
      <c r="AA89" s="17">
        <f t="shared" si="116"/>
        <v>1.000506225641798</v>
      </c>
      <c r="AB89" s="17">
        <f t="shared" si="117"/>
        <v>3.1845374319648644E-2</v>
      </c>
      <c r="AC89" s="66" t="str">
        <f t="shared" si="118"/>
        <v>115.077874645997-3389.05024754886i</v>
      </c>
      <c r="AD89" s="64">
        <f t="shared" si="119"/>
        <v>70.606564670239806</v>
      </c>
      <c r="AE89" s="61">
        <f t="shared" si="120"/>
        <v>-88.05522381799733</v>
      </c>
      <c r="AF89" s="31" t="str">
        <f t="shared" si="104"/>
        <v>-0.332666666666667</v>
      </c>
      <c r="AG89" s="31" t="str">
        <f t="shared" si="121"/>
        <v>322.240311251433i</v>
      </c>
      <c r="AH89" s="31">
        <f t="shared" si="122"/>
        <v>322.24031125143301</v>
      </c>
      <c r="AI89" s="31">
        <f t="shared" si="123"/>
        <v>1.5707963267948966</v>
      </c>
      <c r="AJ89" s="31" t="str">
        <f t="shared" si="105"/>
        <v>0.994459879225714+2.65734409280467i</v>
      </c>
      <c r="AK89" s="31">
        <f t="shared" si="124"/>
        <v>2.837327629822382</v>
      </c>
      <c r="AL89" s="31">
        <f t="shared" si="125"/>
        <v>1.2127002358835708</v>
      </c>
      <c r="AM89" s="31" t="str">
        <f t="shared" si="106"/>
        <v>1+9668.25339615146i</v>
      </c>
      <c r="AN89" s="31">
        <f t="shared" si="126"/>
        <v>9668.2534478671078</v>
      </c>
      <c r="AO89" s="31">
        <f t="shared" si="127"/>
        <v>1.5706928954970749</v>
      </c>
      <c r="AP89" s="31" t="str">
        <f t="shared" si="107"/>
        <v>1+1.04405860845464i</v>
      </c>
      <c r="AQ89" s="31">
        <f t="shared" si="128"/>
        <v>1.4457034197539407</v>
      </c>
      <c r="AR89" s="31">
        <f t="shared" si="129"/>
        <v>0.80694930045006097</v>
      </c>
      <c r="AS89" s="58" t="str">
        <f t="shared" si="130"/>
        <v>-4.67252689174761+2.00783751189801i</v>
      </c>
      <c r="AT89" s="49">
        <f t="shared" si="131"/>
        <v>14.126943319676288</v>
      </c>
      <c r="AU89" s="61">
        <f t="shared" si="132"/>
        <v>156.74625768933993</v>
      </c>
      <c r="AV89" s="58" t="str">
        <f t="shared" si="108"/>
        <v>6266.95775280726+16066.4860926597i</v>
      </c>
      <c r="AW89" s="64">
        <f t="shared" si="133"/>
        <v>84.733507989916106</v>
      </c>
      <c r="AX89" s="61">
        <f t="shared" si="134"/>
        <v>68.691033871342611</v>
      </c>
    </row>
    <row r="90" spans="14:50" x14ac:dyDescent="0.3">
      <c r="N90" s="10">
        <v>72</v>
      </c>
      <c r="O90" s="50">
        <f t="shared" si="109"/>
        <v>52.480746024977286</v>
      </c>
      <c r="P90" s="48" t="str">
        <f t="shared" si="99"/>
        <v>51201.9230769231</v>
      </c>
      <c r="Q90" s="17" t="str">
        <f t="shared" si="100"/>
        <v>1+15.4092960225293i</v>
      </c>
      <c r="R90" s="17">
        <f t="shared" si="110"/>
        <v>15.441709876498045</v>
      </c>
      <c r="S90" s="17">
        <f t="shared" si="111"/>
        <v>1.505991308470831</v>
      </c>
      <c r="T90" s="17" t="str">
        <f t="shared" si="101"/>
        <v>1+9.89238757001884E-10i</v>
      </c>
      <c r="U90" s="17">
        <f t="shared" si="112"/>
        <v>1</v>
      </c>
      <c r="V90" s="17">
        <f t="shared" si="113"/>
        <v>9.8923875700188392E-10</v>
      </c>
      <c r="W90" s="31" t="str">
        <f t="shared" si="102"/>
        <v>1-0.000534188928781017i</v>
      </c>
      <c r="X90" s="17">
        <f t="shared" si="114"/>
        <v>1.0000001426788956</v>
      </c>
      <c r="Y90" s="17">
        <f t="shared" si="115"/>
        <v>-5.3418887796936453E-4</v>
      </c>
      <c r="Z90" s="31" t="str">
        <f t="shared" si="103"/>
        <v>0.999998898308519+0.0325981343965876i</v>
      </c>
      <c r="AA90" s="17">
        <f t="shared" si="116"/>
        <v>1.000530077001381</v>
      </c>
      <c r="AB90" s="17">
        <f t="shared" si="117"/>
        <v>3.2586630951881773E-2</v>
      </c>
      <c r="AC90" s="66" t="str">
        <f t="shared" si="118"/>
        <v>104.985874554785-3312.39995151432i</v>
      </c>
      <c r="AD90" s="64">
        <f t="shared" si="119"/>
        <v>70.407215954268295</v>
      </c>
      <c r="AE90" s="61">
        <f t="shared" si="120"/>
        <v>-88.184629092347549</v>
      </c>
      <c r="AF90" s="31" t="str">
        <f t="shared" si="104"/>
        <v>-0.332666666666667</v>
      </c>
      <c r="AG90" s="31" t="str">
        <f t="shared" si="121"/>
        <v>329.746252333961i</v>
      </c>
      <c r="AH90" s="31">
        <f t="shared" si="122"/>
        <v>329.74625233396102</v>
      </c>
      <c r="AI90" s="31">
        <f t="shared" si="123"/>
        <v>1.5707963267948966</v>
      </c>
      <c r="AJ90" s="31" t="str">
        <f t="shared" si="105"/>
        <v>0.994198781377596+2.71924158824568i</v>
      </c>
      <c r="AK90" s="31">
        <f t="shared" si="124"/>
        <v>2.8952903191454884</v>
      </c>
      <c r="AL90" s="31">
        <f t="shared" si="125"/>
        <v>1.220277819936207</v>
      </c>
      <c r="AM90" s="31" t="str">
        <f t="shared" si="106"/>
        <v>1+9893.45594787641i</v>
      </c>
      <c r="AN90" s="31">
        <f t="shared" si="126"/>
        <v>9893.4559984148673</v>
      </c>
      <c r="AO90" s="31">
        <f t="shared" si="127"/>
        <v>1.5706952498808371</v>
      </c>
      <c r="AP90" s="31" t="str">
        <f t="shared" si="107"/>
        <v>1+1.06837785756203i</v>
      </c>
      <c r="AQ90" s="31">
        <f t="shared" si="128"/>
        <v>1.4633629920593294</v>
      </c>
      <c r="AR90" s="31">
        <f t="shared" si="129"/>
        <v>0.81844481592653606</v>
      </c>
      <c r="AS90" s="58" t="str">
        <f t="shared" si="130"/>
        <v>-4.64269012030162+1.97349100693348i</v>
      </c>
      <c r="AT90" s="49">
        <f t="shared" si="131"/>
        <v>14.056747884896993</v>
      </c>
      <c r="AU90" s="61">
        <f t="shared" si="132"/>
        <v>156.97087352060055</v>
      </c>
      <c r="AV90" s="58" t="str">
        <f t="shared" si="108"/>
        <v>6049.57463311368+15585.635208672i</v>
      </c>
      <c r="AW90" s="64">
        <f t="shared" si="133"/>
        <v>84.463963839165274</v>
      </c>
      <c r="AX90" s="61">
        <f t="shared" si="134"/>
        <v>68.786244428252971</v>
      </c>
    </row>
    <row r="91" spans="14:50" x14ac:dyDescent="0.3">
      <c r="N91" s="10">
        <v>73</v>
      </c>
      <c r="O91" s="50">
        <f t="shared" si="109"/>
        <v>53.703179637025293</v>
      </c>
      <c r="P91" s="48" t="str">
        <f t="shared" si="99"/>
        <v>51201.9230769231</v>
      </c>
      <c r="Q91" s="17" t="str">
        <f t="shared" si="100"/>
        <v>1+15.7682246358339i</v>
      </c>
      <c r="R91" s="17">
        <f t="shared" si="110"/>
        <v>15.799902156852713</v>
      </c>
      <c r="S91" s="17">
        <f t="shared" si="111"/>
        <v>1.5074624635369773</v>
      </c>
      <c r="T91" s="17" t="str">
        <f t="shared" si="101"/>
        <v>1+1.01228108773255E-09i</v>
      </c>
      <c r="U91" s="17">
        <f t="shared" si="112"/>
        <v>1</v>
      </c>
      <c r="V91" s="17">
        <f t="shared" si="113"/>
        <v>1.0122810877325499E-9</v>
      </c>
      <c r="W91" s="31" t="str">
        <f t="shared" si="102"/>
        <v>1-0.000546631787375576i</v>
      </c>
      <c r="X91" s="17">
        <f t="shared" si="114"/>
        <v>1.0000001494031443</v>
      </c>
      <c r="Y91" s="17">
        <f t="shared" si="115"/>
        <v>-5.466317329299098E-4</v>
      </c>
      <c r="Z91" s="31" t="str">
        <f t="shared" si="103"/>
        <v>0.999998846387399+0.0333574424894543i</v>
      </c>
      <c r="AA91" s="17">
        <f t="shared" si="116"/>
        <v>1.0005550518315154</v>
      </c>
      <c r="AB91" s="17">
        <f t="shared" si="117"/>
        <v>3.3345116695650281E-2</v>
      </c>
      <c r="AC91" s="66" t="str">
        <f t="shared" si="118"/>
        <v>95.3448462075827-3237.44718655117i</v>
      </c>
      <c r="AD91" s="64">
        <f t="shared" si="119"/>
        <v>70.20781902183289</v>
      </c>
      <c r="AE91" s="61">
        <f t="shared" si="120"/>
        <v>-88.31309102233989</v>
      </c>
      <c r="AF91" s="31" t="str">
        <f t="shared" si="104"/>
        <v>-0.332666666666667</v>
      </c>
      <c r="AG91" s="31" t="str">
        <f t="shared" si="121"/>
        <v>337.427029244183i</v>
      </c>
      <c r="AH91" s="31">
        <f t="shared" si="122"/>
        <v>337.42702924418302</v>
      </c>
      <c r="AI91" s="31">
        <f t="shared" si="123"/>
        <v>1.5707963267948966</v>
      </c>
      <c r="AJ91" s="31" t="str">
        <f t="shared" si="105"/>
        <v>0.993925378366996+2.78258086157019i</v>
      </c>
      <c r="AK91" s="31">
        <f t="shared" si="124"/>
        <v>2.9547663036082361</v>
      </c>
      <c r="AL91" s="31">
        <f t="shared" si="125"/>
        <v>1.2277256941977948</v>
      </c>
      <c r="AM91" s="31" t="str">
        <f t="shared" si="106"/>
        <v>1+10123.9041409003i</v>
      </c>
      <c r="AN91" s="31">
        <f t="shared" si="126"/>
        <v>10123.904190288362</v>
      </c>
      <c r="AO91" s="31">
        <f t="shared" si="127"/>
        <v>1.5706975506722833</v>
      </c>
      <c r="AP91" s="31" t="str">
        <f t="shared" si="107"/>
        <v>1+1.09326357475115i</v>
      </c>
      <c r="AQ91" s="31">
        <f t="shared" si="128"/>
        <v>1.4816292531796418</v>
      </c>
      <c r="AR91" s="31">
        <f t="shared" si="129"/>
        <v>0.82992286522325487</v>
      </c>
      <c r="AS91" s="58" t="str">
        <f t="shared" si="130"/>
        <v>-4.61388128517079+1.93931542203277i</v>
      </c>
      <c r="AT91" s="49">
        <f t="shared" si="131"/>
        <v>13.987877022606817</v>
      </c>
      <c r="AU91" s="61">
        <f t="shared" si="132"/>
        <v>157.20191736645197</v>
      </c>
      <c r="AV91" s="58" t="str">
        <f t="shared" si="108"/>
        <v>5838.52145534063+15122.100716419i</v>
      </c>
      <c r="AW91" s="64">
        <f t="shared" si="133"/>
        <v>84.195696044439714</v>
      </c>
      <c r="AX91" s="61">
        <f t="shared" si="134"/>
        <v>68.888826344112104</v>
      </c>
    </row>
    <row r="92" spans="14:50" x14ac:dyDescent="0.3">
      <c r="N92" s="10">
        <v>74</v>
      </c>
      <c r="O92" s="50">
        <f t="shared" si="109"/>
        <v>54.95408738576247</v>
      </c>
      <c r="P92" s="48" t="str">
        <f t="shared" si="99"/>
        <v>51201.9230769231</v>
      </c>
      <c r="Q92" s="17" t="str">
        <f t="shared" si="100"/>
        <v>1+16.1355137705576i</v>
      </c>
      <c r="R92" s="17">
        <f t="shared" si="110"/>
        <v>16.166471619987274</v>
      </c>
      <c r="S92" s="17">
        <f t="shared" si="111"/>
        <v>1.5089003963326864</v>
      </c>
      <c r="T92" s="17" t="str">
        <f t="shared" si="101"/>
        <v>1+1.03586014329506E-09i</v>
      </c>
      <c r="U92" s="17">
        <f t="shared" si="112"/>
        <v>1</v>
      </c>
      <c r="V92" s="17">
        <f t="shared" si="113"/>
        <v>1.0358601432950601E-9</v>
      </c>
      <c r="W92" s="31" t="str">
        <f t="shared" si="102"/>
        <v>1-0.000559364477379331i</v>
      </c>
      <c r="X92" s="17">
        <f t="shared" si="114"/>
        <v>1.0000001564442971</v>
      </c>
      <c r="Y92" s="17">
        <f t="shared" si="115"/>
        <v>-5.593644190397491E-4</v>
      </c>
      <c r="Z92" s="31" t="str">
        <f t="shared" si="103"/>
        <v>0.999998792019312+0.0341344371398669i</v>
      </c>
      <c r="AA92" s="17">
        <f t="shared" si="116"/>
        <v>1.0005812030209935</v>
      </c>
      <c r="AB92" s="17">
        <f t="shared" si="117"/>
        <v>3.4121230228156649E-2</v>
      </c>
      <c r="AC92" s="66" t="str">
        <f t="shared" si="118"/>
        <v>86.1348412304287-3164.15610397407i</v>
      </c>
      <c r="AD92" s="64">
        <f t="shared" si="119"/>
        <v>70.008375132272221</v>
      </c>
      <c r="AE92" s="61">
        <f t="shared" si="120"/>
        <v>-88.440676060418056</v>
      </c>
      <c r="AF92" s="31" t="str">
        <f t="shared" si="104"/>
        <v>-0.332666666666667</v>
      </c>
      <c r="AG92" s="31" t="str">
        <f t="shared" si="121"/>
        <v>345.286714431686i</v>
      </c>
      <c r="AH92" s="31">
        <f t="shared" si="122"/>
        <v>345.28671443168599</v>
      </c>
      <c r="AI92" s="31">
        <f t="shared" si="123"/>
        <v>1.5707963267948966</v>
      </c>
      <c r="AJ92" s="31" t="str">
        <f t="shared" si="105"/>
        <v>0.993639090269474+2.84739549609932i</v>
      </c>
      <c r="AK92" s="31">
        <f t="shared" si="124"/>
        <v>3.0157884131547159</v>
      </c>
      <c r="AL92" s="31">
        <f t="shared" si="125"/>
        <v>1.2350445673037858</v>
      </c>
      <c r="AM92" s="31" t="str">
        <f t="shared" si="106"/>
        <v>1+10359.7201619054i</v>
      </c>
      <c r="AN92" s="31">
        <f t="shared" si="126"/>
        <v>10359.720210169249</v>
      </c>
      <c r="AO92" s="31">
        <f t="shared" si="127"/>
        <v>1.570699799091323</v>
      </c>
      <c r="AP92" s="31" t="str">
        <f t="shared" si="107"/>
        <v>1+1.11872895475866i</v>
      </c>
      <c r="AQ92" s="31">
        <f t="shared" si="128"/>
        <v>1.5005180686067743</v>
      </c>
      <c r="AR92" s="31">
        <f t="shared" si="129"/>
        <v>0.84137743771280182</v>
      </c>
      <c r="AS92" s="58" t="str">
        <f t="shared" si="130"/>
        <v>-4.58607714510134+1.90533776044391i</v>
      </c>
      <c r="AT92" s="49">
        <f t="shared" si="131"/>
        <v>13.920356113495183</v>
      </c>
      <c r="AU92" s="61">
        <f t="shared" si="132"/>
        <v>157.43900431138607</v>
      </c>
      <c r="AV92" s="58" t="str">
        <f t="shared" si="108"/>
        <v>5633.76507807708+14675.1799574546i</v>
      </c>
      <c r="AW92" s="64">
        <f t="shared" si="133"/>
        <v>83.928731245767409</v>
      </c>
      <c r="AX92" s="61">
        <f t="shared" si="134"/>
        <v>68.998328250968086</v>
      </c>
    </row>
    <row r="93" spans="14:50" x14ac:dyDescent="0.3">
      <c r="N93" s="10">
        <v>75</v>
      </c>
      <c r="O93" s="50">
        <f t="shared" si="109"/>
        <v>56.234132519034915</v>
      </c>
      <c r="P93" s="48" t="str">
        <f t="shared" si="99"/>
        <v>51201.9230769231</v>
      </c>
      <c r="Q93" s="17" t="str">
        <f t="shared" si="100"/>
        <v>1+16.5113581682612i</v>
      </c>
      <c r="R93" s="17">
        <f t="shared" si="110"/>
        <v>16.541612634825114</v>
      </c>
      <c r="S93" s="17">
        <f t="shared" si="111"/>
        <v>1.5103058454703984</v>
      </c>
      <c r="T93" s="17" t="str">
        <f t="shared" si="101"/>
        <v>1+1.05998842561677E-09i</v>
      </c>
      <c r="U93" s="17">
        <f t="shared" si="112"/>
        <v>1</v>
      </c>
      <c r="V93" s="17">
        <f t="shared" si="113"/>
        <v>1.0599884256167699E-9</v>
      </c>
      <c r="W93" s="31" t="str">
        <f t="shared" si="102"/>
        <v>1-0.000572393749833056i</v>
      </c>
      <c r="X93" s="17">
        <f t="shared" si="114"/>
        <v>1.0000001638172891</v>
      </c>
      <c r="Y93" s="17">
        <f t="shared" si="115"/>
        <v>-5.7239368732106826E-4</v>
      </c>
      <c r="Z93" s="31" t="str">
        <f t="shared" si="103"/>
        <v>0.999998735088936+0.0349295303206737i</v>
      </c>
      <c r="AA93" s="17">
        <f t="shared" si="116"/>
        <v>1.0006085859455207</v>
      </c>
      <c r="AB93" s="17">
        <f t="shared" si="117"/>
        <v>3.4915379324633809E-2</v>
      </c>
      <c r="AC93" s="66" t="str">
        <f t="shared" si="118"/>
        <v>77.3367817018434-3092.49147987076i</v>
      </c>
      <c r="AD93" s="64">
        <f t="shared" si="119"/>
        <v>69.808885447334944</v>
      </c>
      <c r="AE93" s="61">
        <f t="shared" si="120"/>
        <v>-88.567450276561743</v>
      </c>
      <c r="AF93" s="31" t="str">
        <f t="shared" si="104"/>
        <v>-0.332666666666667</v>
      </c>
      <c r="AG93" s="31" t="str">
        <f t="shared" si="121"/>
        <v>353.32947520559i</v>
      </c>
      <c r="AH93" s="31">
        <f t="shared" si="122"/>
        <v>353.32947520558997</v>
      </c>
      <c r="AI93" s="31">
        <f t="shared" si="123"/>
        <v>1.5707963267948966</v>
      </c>
      <c r="AJ93" s="31" t="str">
        <f t="shared" si="105"/>
        <v>0.993339309829591+2.91371985741022i</v>
      </c>
      <c r="AK93" s="31">
        <f t="shared" si="124"/>
        <v>3.078390227362243</v>
      </c>
      <c r="AL93" s="31">
        <f t="shared" si="125"/>
        <v>1.2422352474972185</v>
      </c>
      <c r="AM93" s="31" t="str">
        <f t="shared" si="106"/>
        <v>1+10601.0290436674i</v>
      </c>
      <c r="AN93" s="31">
        <f t="shared" si="126"/>
        <v>10601.029090832631</v>
      </c>
      <c r="AO93" s="31">
        <f t="shared" si="127"/>
        <v>1.5707019963300979</v>
      </c>
      <c r="AP93" s="31" t="str">
        <f t="shared" si="107"/>
        <v>1+1.14478749966611i</v>
      </c>
      <c r="AQ93" s="31">
        <f t="shared" si="128"/>
        <v>1.5200455320127038</v>
      </c>
      <c r="AR93" s="31">
        <f t="shared" si="129"/>
        <v>0.85280258436091705</v>
      </c>
      <c r="AS93" s="58" t="str">
        <f t="shared" si="130"/>
        <v>-4.55925399522051+1.87158331271314i</v>
      </c>
      <c r="AT93" s="49">
        <f t="shared" si="131"/>
        <v>13.854207399972505</v>
      </c>
      <c r="AU93" s="61">
        <f t="shared" si="132"/>
        <v>157.68174726023759</v>
      </c>
      <c r="AV93" s="58" t="str">
        <f t="shared" si="108"/>
        <v>5435.25741748205+14244.1963648783i</v>
      </c>
      <c r="AW93" s="64">
        <f t="shared" si="133"/>
        <v>83.663092847307468</v>
      </c>
      <c r="AX93" s="61">
        <f t="shared" si="134"/>
        <v>69.114296983675914</v>
      </c>
    </row>
    <row r="94" spans="14:50" x14ac:dyDescent="0.3">
      <c r="N94" s="10">
        <v>76</v>
      </c>
      <c r="O94" s="50">
        <f t="shared" si="109"/>
        <v>57.543993733715695</v>
      </c>
      <c r="P94" s="48" t="str">
        <f t="shared" si="99"/>
        <v>51201.9230769231</v>
      </c>
      <c r="Q94" s="17" t="str">
        <f t="shared" si="100"/>
        <v>1+16.8959571066193i</v>
      </c>
      <c r="R94" s="17">
        <f t="shared" si="110"/>
        <v>16.925524114446773</v>
      </c>
      <c r="S94" s="17">
        <f t="shared" si="111"/>
        <v>1.5116795339159834</v>
      </c>
      <c r="T94" s="17" t="str">
        <f t="shared" si="101"/>
        <v>1+1.08467872783235E-09i</v>
      </c>
      <c r="U94" s="17">
        <f t="shared" si="112"/>
        <v>1</v>
      </c>
      <c r="V94" s="17">
        <f t="shared" si="113"/>
        <v>1.08467872783235E-9</v>
      </c>
      <c r="W94" s="31" t="str">
        <f t="shared" si="102"/>
        <v>1-0.000585726513029469i</v>
      </c>
      <c r="X94" s="17">
        <f t="shared" si="114"/>
        <v>1.0000001715377593</v>
      </c>
      <c r="Y94" s="17">
        <f t="shared" si="115"/>
        <v>-5.8572644604666798E-4</v>
      </c>
      <c r="Z94" s="31" t="str">
        <f t="shared" si="103"/>
        <v>0.999998675475514+0.0357431436008035i</v>
      </c>
      <c r="AA94" s="17">
        <f t="shared" si="116"/>
        <v>1.0006372585843732</v>
      </c>
      <c r="AB94" s="17">
        <f t="shared" si="117"/>
        <v>3.5727981056853542E-2</v>
      </c>
      <c r="AC94" s="66" t="str">
        <f t="shared" si="118"/>
        <v>68.9324234957246-3022.41871317998i</v>
      </c>
      <c r="AD94" s="64">
        <f t="shared" si="119"/>
        <v>69.609351033494903</v>
      </c>
      <c r="AE94" s="61">
        <f t="shared" si="120"/>
        <v>-88.693479385930459</v>
      </c>
      <c r="AF94" s="31" t="str">
        <f t="shared" si="104"/>
        <v>-0.332666666666667</v>
      </c>
      <c r="AG94" s="31" t="str">
        <f t="shared" si="121"/>
        <v>361.559575944117i</v>
      </c>
      <c r="AH94" s="31">
        <f t="shared" si="122"/>
        <v>361.559575944117</v>
      </c>
      <c r="AI94" s="31">
        <f t="shared" si="123"/>
        <v>1.5707963267948966</v>
      </c>
      <c r="AJ94" s="31" t="str">
        <f t="shared" si="105"/>
        <v>0.993025401172843+2.98158911155715i</v>
      </c>
      <c r="AK94" s="31">
        <f t="shared" si="124"/>
        <v>3.1426060964636724</v>
      </c>
      <c r="AL94" s="31">
        <f t="shared" si="125"/>
        <v>1.2492986361932497</v>
      </c>
      <c r="AM94" s="31" t="str">
        <f t="shared" si="106"/>
        <v>1+10847.9587313496i</v>
      </c>
      <c r="AN94" s="31">
        <f t="shared" si="126"/>
        <v>10847.958777441221</v>
      </c>
      <c r="AO94" s="31">
        <f t="shared" si="127"/>
        <v>1.5707041435536129</v>
      </c>
      <c r="AP94" s="31" t="str">
        <f t="shared" si="107"/>
        <v>1+1.17145302605894i</v>
      </c>
      <c r="AQ94" s="31">
        <f t="shared" si="128"/>
        <v>1.5402279676277297</v>
      </c>
      <c r="AR94" s="31">
        <f t="shared" si="129"/>
        <v>0.86419243290704972</v>
      </c>
      <c r="AS94" s="58" t="str">
        <f t="shared" si="130"/>
        <v>-4.53338776678078+1.83807569358822i</v>
      </c>
      <c r="AT94" s="49">
        <f t="shared" si="131"/>
        <v>13.789450016449695</v>
      </c>
      <c r="AU94" s="61">
        <f t="shared" si="132"/>
        <v>157.92975817672624</v>
      </c>
      <c r="AV94" s="58" t="str">
        <f t="shared" si="108"/>
        <v>5242.93696713224+13828.499032547i</v>
      </c>
      <c r="AW94" s="64">
        <f t="shared" si="133"/>
        <v>83.398801049944581</v>
      </c>
      <c r="AX94" s="61">
        <f t="shared" si="134"/>
        <v>69.236278790795694</v>
      </c>
    </row>
    <row r="95" spans="14:50" x14ac:dyDescent="0.3">
      <c r="N95" s="10">
        <v>77</v>
      </c>
      <c r="O95" s="50">
        <f t="shared" si="109"/>
        <v>58.884365535558949</v>
      </c>
      <c r="P95" s="48" t="str">
        <f t="shared" si="99"/>
        <v>51201.9230769231</v>
      </c>
      <c r="Q95" s="17" t="str">
        <f t="shared" si="100"/>
        <v>1+17.2895145050798i</v>
      </c>
      <c r="R95" s="17">
        <f t="shared" si="110"/>
        <v>17.318409621595304</v>
      </c>
      <c r="S95" s="17">
        <f t="shared" si="111"/>
        <v>1.5130221692681007</v>
      </c>
      <c r="T95" s="17" t="str">
        <f t="shared" si="101"/>
        <v>1+1.10994414106685E-09i</v>
      </c>
      <c r="U95" s="17">
        <f t="shared" si="112"/>
        <v>1</v>
      </c>
      <c r="V95" s="17">
        <f t="shared" si="113"/>
        <v>1.10994414106685E-9</v>
      </c>
      <c r="W95" s="31" t="str">
        <f t="shared" si="102"/>
        <v>1-0.000599369836176098i</v>
      </c>
      <c r="X95" s="17">
        <f t="shared" si="114"/>
        <v>1.0000001796220841</v>
      </c>
      <c r="Y95" s="17">
        <f t="shared" si="115"/>
        <v>-5.9936976440273424E-4</v>
      </c>
      <c r="Z95" s="31" t="str">
        <f t="shared" si="103"/>
        <v>0.999998613052598+0.0365757083687869i</v>
      </c>
      <c r="AA95" s="17">
        <f t="shared" si="116"/>
        <v>1.0006672816425037</v>
      </c>
      <c r="AB95" s="17">
        <f t="shared" si="117"/>
        <v>3.6559461995306124E-2</v>
      </c>
      <c r="AC95" s="66" t="str">
        <f t="shared" si="118"/>
        <v>60.9043210630485-2953.90382302104i</v>
      </c>
      <c r="AD95" s="64">
        <f t="shared" si="119"/>
        <v>69.409772864079542</v>
      </c>
      <c r="AE95" s="61">
        <f t="shared" si="120"/>
        <v>-88.818828776663509</v>
      </c>
      <c r="AF95" s="31" t="str">
        <f t="shared" si="104"/>
        <v>-0.332666666666667</v>
      </c>
      <c r="AG95" s="31" t="str">
        <f t="shared" si="121"/>
        <v>369.981380355616i</v>
      </c>
      <c r="AH95" s="31">
        <f t="shared" si="122"/>
        <v>369.98138035561601</v>
      </c>
      <c r="AI95" s="31">
        <f t="shared" si="123"/>
        <v>1.5707963267948966</v>
      </c>
      <c r="AJ95" s="31" t="str">
        <f t="shared" si="105"/>
        <v>0.992696698456881+3.05103924371704i</v>
      </c>
      <c r="AK95" s="31">
        <f t="shared" si="124"/>
        <v>3.2084711626923874</v>
      </c>
      <c r="AL95" s="31">
        <f t="shared" si="125"/>
        <v>1.2562357216924933</v>
      </c>
      <c r="AM95" s="31" t="str">
        <f t="shared" si="106"/>
        <v>1+11100.6401503408i</v>
      </c>
      <c r="AN95" s="31">
        <f t="shared" si="126"/>
        <v>11100.640195383245</v>
      </c>
      <c r="AO95" s="31">
        <f t="shared" si="127"/>
        <v>1.5707062419003543</v>
      </c>
      <c r="AP95" s="31" t="str">
        <f t="shared" si="107"/>
        <v>1+1.1987396723522i</v>
      </c>
      <c r="AQ95" s="31">
        <f t="shared" si="128"/>
        <v>1.5610819331704084</v>
      </c>
      <c r="AR95" s="31">
        <f t="shared" si="129"/>
        <v>0.87554120256006962</v>
      </c>
      <c r="AS95" s="58" t="str">
        <f t="shared" si="130"/>
        <v>-4.50845412063375+1.80483688324961i</v>
      </c>
      <c r="AT95" s="49">
        <f t="shared" si="131"/>
        <v>13.726100032068116</v>
      </c>
      <c r="AU95" s="61">
        <f t="shared" si="132"/>
        <v>158.18264928569457</v>
      </c>
      <c r="AV95" s="58" t="str">
        <f t="shared" si="108"/>
        <v>5056.7302320993+13427.4622278589i</v>
      </c>
      <c r="AW95" s="64">
        <f t="shared" si="133"/>
        <v>83.135872896147674</v>
      </c>
      <c r="AX95" s="61">
        <f t="shared" si="134"/>
        <v>69.363820509031143</v>
      </c>
    </row>
    <row r="96" spans="14:50" x14ac:dyDescent="0.3">
      <c r="N96" s="10">
        <v>78</v>
      </c>
      <c r="O96" s="50">
        <f t="shared" si="109"/>
        <v>60.255958607435822</v>
      </c>
      <c r="P96" s="48" t="str">
        <f t="shared" si="99"/>
        <v>51201.9230769231</v>
      </c>
      <c r="Q96" s="17" t="str">
        <f t="shared" si="100"/>
        <v>1+17.6922390329846i</v>
      </c>
      <c r="R96" s="17">
        <f t="shared" si="110"/>
        <v>17.720477476644465</v>
      </c>
      <c r="S96" s="17">
        <f t="shared" si="111"/>
        <v>1.5143344440362116</v>
      </c>
      <c r="T96" s="17" t="str">
        <f t="shared" si="101"/>
        <v>1+1.13579806137679E-09i</v>
      </c>
      <c r="U96" s="17">
        <f t="shared" si="112"/>
        <v>1</v>
      </c>
      <c r="V96" s="17">
        <f t="shared" si="113"/>
        <v>1.13579806137679E-9</v>
      </c>
      <c r="W96" s="31" t="str">
        <f t="shared" si="102"/>
        <v>1-0.000613330953143464i</v>
      </c>
      <c r="X96" s="17">
        <f t="shared" si="114"/>
        <v>1.0000001880874114</v>
      </c>
      <c r="Y96" s="17">
        <f t="shared" si="115"/>
        <v>-6.1333087623691997E-4</v>
      </c>
      <c r="Z96" s="31" t="str">
        <f t="shared" si="103"/>
        <v>0.999998547687781+0.0374276660614842i</v>
      </c>
      <c r="AA96" s="17">
        <f t="shared" si="116"/>
        <v>1.0006987186783449</v>
      </c>
      <c r="AB96" s="17">
        <f t="shared" si="117"/>
        <v>3.7410258415070272E-2</v>
      </c>
      <c r="AC96" s="66" t="str">
        <f t="shared" si="118"/>
        <v>53.2357936059603-2886.91344534157i</v>
      </c>
      <c r="AD96" s="64">
        <f t="shared" si="119"/>
        <v>69.210151821214978</v>
      </c>
      <c r="AE96" s="61">
        <f t="shared" si="120"/>
        <v>-88.943563537819188</v>
      </c>
      <c r="AF96" s="31" t="str">
        <f t="shared" si="104"/>
        <v>-0.332666666666667</v>
      </c>
      <c r="AG96" s="31" t="str">
        <f t="shared" si="121"/>
        <v>378.599353792262i</v>
      </c>
      <c r="AH96" s="31">
        <f t="shared" si="122"/>
        <v>378.59935379226198</v>
      </c>
      <c r="AI96" s="31">
        <f t="shared" si="123"/>
        <v>1.5707963267948966</v>
      </c>
      <c r="AJ96" s="31" t="str">
        <f t="shared" si="105"/>
        <v>0.992352504459176+3.12210707726921i</v>
      </c>
      <c r="AK96" s="31">
        <f t="shared" si="124"/>
        <v>3.2760213819572193</v>
      </c>
      <c r="AL96" s="31">
        <f t="shared" si="125"/>
        <v>1.2630475730583715</v>
      </c>
      <c r="AM96" s="31" t="str">
        <f t="shared" si="106"/>
        <v>1+11359.2072756742i</v>
      </c>
      <c r="AN96" s="31">
        <f t="shared" si="126"/>
        <v>11359.207319691357</v>
      </c>
      <c r="AO96" s="31">
        <f t="shared" si="127"/>
        <v>1.5707082924828932</v>
      </c>
      <c r="AP96" s="31" t="str">
        <f t="shared" si="107"/>
        <v>1+1.22666190628693i</v>
      </c>
      <c r="AQ96" s="31">
        <f t="shared" si="128"/>
        <v>1.5826242233504089</v>
      </c>
      <c r="AR96" s="31">
        <f t="shared" si="129"/>
        <v>0.88684321812212552</v>
      </c>
      <c r="AS96" s="58" t="str">
        <f t="shared" si="130"/>
        <v>-4.48442853444938+1.77188727223593i</v>
      </c>
      <c r="AT96" s="49">
        <f t="shared" si="131"/>
        <v>13.664170505211244</v>
      </c>
      <c r="AU96" s="61">
        <f t="shared" si="132"/>
        <v>158.44003423318134</v>
      </c>
      <c r="AV96" s="58" t="str">
        <f t="shared" si="108"/>
        <v>4876.55307794688+13040.4848558931i</v>
      </c>
      <c r="AW96" s="64">
        <f t="shared" si="133"/>
        <v>82.874322326426238</v>
      </c>
      <c r="AX96" s="61">
        <f t="shared" si="134"/>
        <v>69.496470695362163</v>
      </c>
    </row>
    <row r="97" spans="14:50" x14ac:dyDescent="0.3">
      <c r="N97" s="10">
        <v>79</v>
      </c>
      <c r="O97" s="50">
        <f t="shared" si="109"/>
        <v>61.659500186148257</v>
      </c>
      <c r="P97" s="48" t="str">
        <f t="shared" si="99"/>
        <v>51201.9230769231</v>
      </c>
      <c r="Q97" s="17" t="str">
        <f t="shared" si="100"/>
        <v>1+18.1043442202091i</v>
      </c>
      <c r="R97" s="17">
        <f t="shared" si="110"/>
        <v>18.131940868087415</v>
      </c>
      <c r="S97" s="17">
        <f t="shared" si="111"/>
        <v>1.5156170359169576</v>
      </c>
      <c r="T97" s="17" t="str">
        <f t="shared" si="101"/>
        <v>1+1.16225419685293E-09i</v>
      </c>
      <c r="U97" s="17">
        <f t="shared" si="112"/>
        <v>1</v>
      </c>
      <c r="V97" s="17">
        <f t="shared" si="113"/>
        <v>1.16225419685293E-9</v>
      </c>
      <c r="W97" s="31" t="str">
        <f t="shared" si="102"/>
        <v>1-0.000627617266300583i</v>
      </c>
      <c r="X97" s="17">
        <f t="shared" si="114"/>
        <v>1.0000001969516972</v>
      </c>
      <c r="Y97" s="17">
        <f t="shared" si="115"/>
        <v>-6.2761718389373717E-4</v>
      </c>
      <c r="Z97" s="31" t="str">
        <f t="shared" si="103"/>
        <v>0.999998479242415+0.038299468398141i</v>
      </c>
      <c r="AA97" s="17">
        <f t="shared" si="116"/>
        <v>1.0007316362375696</v>
      </c>
      <c r="AB97" s="17">
        <f t="shared" si="117"/>
        <v>3.8280816505387116E-2</v>
      </c>
      <c r="AC97" s="66" t="str">
        <f t="shared" si="118"/>
        <v>45.9108925984039-2821.41482894549i</v>
      </c>
      <c r="AD97" s="64">
        <f t="shared" si="119"/>
        <v>69.010488697591285</v>
      </c>
      <c r="AE97" s="61">
        <f t="shared" si="120"/>
        <v>-89.067748487437527</v>
      </c>
      <c r="AF97" s="31" t="str">
        <f t="shared" si="104"/>
        <v>-0.332666666666667</v>
      </c>
      <c r="AG97" s="31" t="str">
        <f t="shared" si="121"/>
        <v>387.418065617644i</v>
      </c>
      <c r="AH97" s="31">
        <f t="shared" si="122"/>
        <v>387.418065617644</v>
      </c>
      <c r="AI97" s="31">
        <f t="shared" si="123"/>
        <v>1.5707963267948966</v>
      </c>
      <c r="AJ97" s="31" t="str">
        <f t="shared" si="105"/>
        <v>0.991992089098112+3.19483029331973i</v>
      </c>
      <c r="AK97" s="31">
        <f t="shared" si="124"/>
        <v>3.3452935458561281</v>
      </c>
      <c r="AL97" s="31">
        <f t="shared" si="125"/>
        <v>1.2697353341714168</v>
      </c>
      <c r="AM97" s="31" t="str">
        <f t="shared" si="106"/>
        <v>1+11623.7972030619i</v>
      </c>
      <c r="AN97" s="31">
        <f t="shared" si="126"/>
        <v>11623.797246077103</v>
      </c>
      <c r="AO97" s="31">
        <f t="shared" si="127"/>
        <v>1.5707102963884758</v>
      </c>
      <c r="AP97" s="31" t="str">
        <f t="shared" si="107"/>
        <v>1+1.25523453260117i</v>
      </c>
      <c r="AQ97" s="31">
        <f t="shared" si="128"/>
        <v>1.6048718739620549</v>
      </c>
      <c r="AR97" s="31">
        <f t="shared" si="129"/>
        <v>0.89809292346018677</v>
      </c>
      <c r="AS97" s="58" t="str">
        <f t="shared" si="130"/>
        <v>-4.46128638374112+1.73924570946579i</v>
      </c>
      <c r="AT97" s="49">
        <f t="shared" si="131"/>
        <v>13.603671549056296</v>
      </c>
      <c r="AU97" s="61">
        <f t="shared" si="132"/>
        <v>158.70152919898126</v>
      </c>
      <c r="AV97" s="58" t="str">
        <f t="shared" si="108"/>
        <v>4702.31199585194+12666.9898822293i</v>
      </c>
      <c r="AW97" s="64">
        <f t="shared" si="133"/>
        <v>82.614160246647558</v>
      </c>
      <c r="AX97" s="61">
        <f t="shared" si="134"/>
        <v>69.633780711543693</v>
      </c>
    </row>
    <row r="98" spans="14:50" x14ac:dyDescent="0.3">
      <c r="N98" s="10">
        <v>80</v>
      </c>
      <c r="O98" s="50">
        <f t="shared" si="109"/>
        <v>63.095734448019364</v>
      </c>
      <c r="P98" s="48" t="str">
        <f t="shared" si="99"/>
        <v>51201.9230769231</v>
      </c>
      <c r="Q98" s="17" t="str">
        <f t="shared" si="100"/>
        <v>1+18.5260485703786i</v>
      </c>
      <c r="R98" s="17">
        <f t="shared" si="110"/>
        <v>18.553017965604056</v>
      </c>
      <c r="S98" s="17">
        <f t="shared" si="111"/>
        <v>1.5168706080686341</v>
      </c>
      <c r="T98" s="17" t="str">
        <f t="shared" si="101"/>
        <v>1+1.1893265748885E-09i</v>
      </c>
      <c r="U98" s="17">
        <f t="shared" si="112"/>
        <v>1</v>
      </c>
      <c r="V98" s="17">
        <f t="shared" si="113"/>
        <v>1.1893265748885E-9</v>
      </c>
      <c r="W98" s="31" t="str">
        <f t="shared" si="102"/>
        <v>1-0.00064223635043979i</v>
      </c>
      <c r="X98" s="17">
        <f t="shared" si="114"/>
        <v>1.0000002062337436</v>
      </c>
      <c r="Y98" s="17">
        <f t="shared" si="115"/>
        <v>-6.4223626213926474E-4</v>
      </c>
      <c r="Z98" s="31" t="str">
        <f t="shared" si="103"/>
        <v>0.999998407571318+0.0391915776198958i</v>
      </c>
      <c r="AA98" s="17">
        <f t="shared" si="116"/>
        <v>1.00076610399309</v>
      </c>
      <c r="AB98" s="17">
        <f t="shared" si="117"/>
        <v>3.9171592582947654E-2</v>
      </c>
      <c r="AC98" s="66" t="str">
        <f t="shared" si="118"/>
        <v>38.9143706080947-2757.375830959i</v>
      </c>
      <c r="AD98" s="64">
        <f t="shared" si="119"/>
        <v>68.810784198050342</v>
      </c>
      <c r="AE98" s="61">
        <f t="shared" si="120"/>
        <v>-89.191448200711861</v>
      </c>
      <c r="AF98" s="31" t="str">
        <f t="shared" si="104"/>
        <v>-0.332666666666667</v>
      </c>
      <c r="AG98" s="31" t="str">
        <f t="shared" si="121"/>
        <v>396.4421916295i</v>
      </c>
      <c r="AH98" s="31">
        <f t="shared" si="122"/>
        <v>396.44219162949997</v>
      </c>
      <c r="AI98" s="31">
        <f t="shared" si="123"/>
        <v>1.5707963267948966</v>
      </c>
      <c r="AJ98" s="31" t="str">
        <f t="shared" si="105"/>
        <v>0.991614687884385+3.26924745068035i</v>
      </c>
      <c r="AK98" s="31">
        <f t="shared" si="124"/>
        <v>3.4163253040376609</v>
      </c>
      <c r="AL98" s="31">
        <f t="shared" si="125"/>
        <v>1.276300217971172</v>
      </c>
      <c r="AM98" s="31" t="str">
        <f t="shared" si="106"/>
        <v>1+11894.5502215859i</v>
      </c>
      <c r="AN98" s="31">
        <f t="shared" si="126"/>
        <v>11894.550263621955</v>
      </c>
      <c r="AO98" s="31">
        <f t="shared" si="127"/>
        <v>1.5707122546795989</v>
      </c>
      <c r="AP98" s="31" t="str">
        <f t="shared" si="107"/>
        <v>1+1.28447270087958i</v>
      </c>
      <c r="AQ98" s="31">
        <f t="shared" si="128"/>
        <v>1.6278421665827689</v>
      </c>
      <c r="AR98" s="31">
        <f t="shared" si="129"/>
        <v>0.90928489425215475</v>
      </c>
      <c r="AS98" s="58" t="str">
        <f t="shared" si="130"/>
        <v>-4.43900301680241+1.70692955279796i</v>
      </c>
      <c r="AT98" s="49">
        <f t="shared" si="131"/>
        <v>13.544610407371987</v>
      </c>
      <c r="AU98" s="61">
        <f t="shared" si="132"/>
        <v>158.96675395689141</v>
      </c>
      <c r="AV98" s="58" t="str">
        <f t="shared" si="108"/>
        <v>4533.90528550845+12306.4237213045i</v>
      </c>
      <c r="AW98" s="64">
        <f t="shared" si="133"/>
        <v>82.355394605422305</v>
      </c>
      <c r="AX98" s="61">
        <f t="shared" si="134"/>
        <v>69.775305756179492</v>
      </c>
    </row>
    <row r="99" spans="14:50" x14ac:dyDescent="0.3">
      <c r="N99" s="10">
        <v>81</v>
      </c>
      <c r="O99" s="50">
        <f t="shared" si="109"/>
        <v>64.565422903465588</v>
      </c>
      <c r="P99" s="48" t="str">
        <f t="shared" si="99"/>
        <v>51201.9230769231</v>
      </c>
      <c r="Q99" s="17" t="str">
        <f t="shared" si="100"/>
        <v>1+18.9575756767213i</v>
      </c>
      <c r="R99" s="17">
        <f t="shared" si="110"/>
        <v>18.983932035766856</v>
      </c>
      <c r="S99" s="17">
        <f t="shared" si="111"/>
        <v>1.5180958093835193</v>
      </c>
      <c r="T99" s="17" t="str">
        <f t="shared" si="101"/>
        <v>1+1.21702954961667E-09i</v>
      </c>
      <c r="U99" s="17">
        <f t="shared" si="112"/>
        <v>1</v>
      </c>
      <c r="V99" s="17">
        <f t="shared" si="113"/>
        <v>1.21702954961667E-9</v>
      </c>
      <c r="W99" s="31" t="str">
        <f t="shared" si="102"/>
        <v>1-0.000657195956793003i</v>
      </c>
      <c r="X99" s="17">
        <f t="shared" si="114"/>
        <v>1.0000002159532395</v>
      </c>
      <c r="Y99" s="17">
        <f t="shared" si="115"/>
        <v>-6.5719586217728666E-4</v>
      </c>
      <c r="Z99" s="31" t="str">
        <f t="shared" si="103"/>
        <v>0.999998332522466+0.0401044667348666i</v>
      </c>
      <c r="AA99" s="17">
        <f t="shared" si="116"/>
        <v>1.0008021948915782</v>
      </c>
      <c r="AB99" s="17">
        <f t="shared" si="117"/>
        <v>4.0083053308897977E-2</v>
      </c>
      <c r="AC99" s="66" t="str">
        <f t="shared" si="118"/>
        <v>32.2316513753897-2694.76491178869i</v>
      </c>
      <c r="AD99" s="64">
        <f t="shared" si="119"/>
        <v>68.611038941000018</v>
      </c>
      <c r="AE99" s="61">
        <f t="shared" si="120"/>
        <v>-89.314727038255668</v>
      </c>
      <c r="AF99" s="31" t="str">
        <f t="shared" si="104"/>
        <v>-0.332666666666667</v>
      </c>
      <c r="AG99" s="31" t="str">
        <f t="shared" si="121"/>
        <v>405.676516538891i</v>
      </c>
      <c r="AH99" s="31">
        <f t="shared" si="122"/>
        <v>405.67651653889101</v>
      </c>
      <c r="AI99" s="31">
        <f t="shared" si="123"/>
        <v>1.5707963267948966</v>
      </c>
      <c r="AJ99" s="31" t="str">
        <f t="shared" si="105"/>
        <v>0.991219500299422+3.34539800631292i</v>
      </c>
      <c r="AK99" s="31">
        <f t="shared" si="124"/>
        <v>3.489155186920796</v>
      </c>
      <c r="AL99" s="31">
        <f t="shared" si="125"/>
        <v>1.2827435008943668</v>
      </c>
      <c r="AM99" s="31" t="str">
        <f t="shared" si="106"/>
        <v>1+12171.6098880803i</v>
      </c>
      <c r="AN99" s="31">
        <f t="shared" si="126"/>
        <v>12171.6099291595</v>
      </c>
      <c r="AO99" s="31">
        <f t="shared" si="127"/>
        <v>1.5707141683945745</v>
      </c>
      <c r="AP99" s="31" t="str">
        <f t="shared" si="107"/>
        <v>1+1.31439191358601i</v>
      </c>
      <c r="AQ99" s="31">
        <f t="shared" si="128"/>
        <v>1.6515526338873654</v>
      </c>
      <c r="AR99" s="31">
        <f t="shared" si="129"/>
        <v>0.92041384994259201</v>
      </c>
      <c r="AS99" s="58" t="str">
        <f t="shared" si="130"/>
        <v>-4.41755382369082+1.67495472160906i</v>
      </c>
      <c r="AT99" s="49">
        <f t="shared" si="131"/>
        <v>13.486991539710464</v>
      </c>
      <c r="AU99" s="61">
        <f t="shared" si="132"/>
        <v>159.235332878425</v>
      </c>
      <c r="AV99" s="58" t="str">
        <f t="shared" si="108"/>
        <v>4371.22415784967+11958.2555966764i</v>
      </c>
      <c r="AW99" s="64">
        <f t="shared" si="133"/>
        <v>82.098030480710449</v>
      </c>
      <c r="AX99" s="61">
        <f t="shared" si="134"/>
        <v>69.920605840169216</v>
      </c>
    </row>
    <row r="100" spans="14:50" x14ac:dyDescent="0.3">
      <c r="N100" s="10">
        <v>82</v>
      </c>
      <c r="O100" s="50">
        <f t="shared" si="109"/>
        <v>66.069344800759623</v>
      </c>
      <c r="P100" s="48" t="str">
        <f t="shared" si="99"/>
        <v>51201.9230769231</v>
      </c>
      <c r="Q100" s="17" t="str">
        <f t="shared" si="100"/>
        <v>1+19.399154340621i</v>
      </c>
      <c r="R100" s="17">
        <f t="shared" si="110"/>
        <v>19.424911560448209</v>
      </c>
      <c r="S100" s="17">
        <f t="shared" si="111"/>
        <v>1.5192932747578491</v>
      </c>
      <c r="T100" s="17" t="str">
        <f t="shared" si="101"/>
        <v>1+1.24537780952135E-09i</v>
      </c>
      <c r="U100" s="17">
        <f t="shared" si="112"/>
        <v>1</v>
      </c>
      <c r="V100" s="17">
        <f t="shared" si="113"/>
        <v>1.2453778095213499E-9</v>
      </c>
      <c r="W100" s="31" t="str">
        <f t="shared" si="102"/>
        <v>1-0.000672504017141526i</v>
      </c>
      <c r="X100" s="17">
        <f t="shared" si="114"/>
        <v>1.000000226130801</v>
      </c>
      <c r="Y100" s="17">
        <f t="shared" si="115"/>
        <v>-6.7250391575896071E-4</v>
      </c>
      <c r="Z100" s="31" t="str">
        <f t="shared" si="103"/>
        <v>0.999998253936671+0.0410386197689457i</v>
      </c>
      <c r="AA100" s="17">
        <f t="shared" si="116"/>
        <v>1.0008399853068077</v>
      </c>
      <c r="AB100" s="17">
        <f t="shared" si="117"/>
        <v>4.101567590955997E-2</v>
      </c>
      <c r="AC100" s="66" t="str">
        <f t="shared" si="118"/>
        <v>25.8488011053882-2633.55112962139i</v>
      </c>
      <c r="AD100" s="64">
        <f t="shared" si="119"/>
        <v>68.411253459654745</v>
      </c>
      <c r="AE100" s="61">
        <f t="shared" si="120"/>
        <v>-89.437649174452844</v>
      </c>
      <c r="AF100" s="31" t="str">
        <f t="shared" si="104"/>
        <v>-0.332666666666667</v>
      </c>
      <c r="AG100" s="31" t="str">
        <f t="shared" si="121"/>
        <v>415.125936507115i</v>
      </c>
      <c r="AH100" s="31">
        <f t="shared" si="122"/>
        <v>415.125936507115</v>
      </c>
      <c r="AI100" s="31">
        <f t="shared" si="123"/>
        <v>1.5707963267948966</v>
      </c>
      <c r="AJ100" s="31" t="str">
        <f t="shared" si="105"/>
        <v>0.990805688097373+3.42332233625002i</v>
      </c>
      <c r="AK100" s="31">
        <f t="shared" si="124"/>
        <v>3.5638226287842105</v>
      </c>
      <c r="AL100" s="31">
        <f t="shared" si="125"/>
        <v>1.289066517516108</v>
      </c>
      <c r="AM100" s="31" t="str">
        <f t="shared" si="106"/>
        <v>1+12455.1231032478i</v>
      </c>
      <c r="AN100" s="31">
        <f t="shared" si="126"/>
        <v>12455.123143391926</v>
      </c>
      <c r="AO100" s="31">
        <f t="shared" si="127"/>
        <v>1.5707160385480794</v>
      </c>
      <c r="AP100" s="31" t="str">
        <f t="shared" si="107"/>
        <v>1+1.34500803428305i</v>
      </c>
      <c r="AQ100" s="31">
        <f t="shared" si="128"/>
        <v>1.6760210655853804</v>
      </c>
      <c r="AR100" s="31">
        <f t="shared" si="129"/>
        <v>0.93147466485154251</v>
      </c>
      <c r="AS100" s="58" t="str">
        <f t="shared" si="130"/>
        <v>-4.39691429943035+1.64333575090983i</v>
      </c>
      <c r="AT100" s="49">
        <f t="shared" si="131"/>
        <v>13.430816715110534</v>
      </c>
      <c r="AU100" s="61">
        <f t="shared" si="132"/>
        <v>159.50689587636933</v>
      </c>
      <c r="AV100" s="58" t="str">
        <f t="shared" si="108"/>
        <v>4214.15375995239+11621.9768790879i</v>
      </c>
      <c r="AW100" s="64">
        <f t="shared" si="133"/>
        <v>81.842070174765297</v>
      </c>
      <c r="AX100" s="61">
        <f t="shared" si="134"/>
        <v>70.069246701916526</v>
      </c>
    </row>
    <row r="101" spans="14:50" x14ac:dyDescent="0.3">
      <c r="N101" s="10">
        <v>83</v>
      </c>
      <c r="O101" s="50">
        <f t="shared" si="109"/>
        <v>67.60829753919819</v>
      </c>
      <c r="P101" s="48" t="str">
        <f t="shared" si="99"/>
        <v>51201.9230769231</v>
      </c>
      <c r="Q101" s="17" t="str">
        <f t="shared" si="100"/>
        <v>1+19.8510186929302i</v>
      </c>
      <c r="R101" s="17">
        <f t="shared" si="110"/>
        <v>19.876190357990243</v>
      </c>
      <c r="S101" s="17">
        <f t="shared" si="111"/>
        <v>1.5204636253592341</v>
      </c>
      <c r="T101" s="17" t="str">
        <f t="shared" si="101"/>
        <v>1+1.27438638522515E-09i</v>
      </c>
      <c r="U101" s="17">
        <f t="shared" si="112"/>
        <v>1</v>
      </c>
      <c r="V101" s="17">
        <f t="shared" si="113"/>
        <v>1.27438638522515E-9</v>
      </c>
      <c r="W101" s="31" t="str">
        <f t="shared" si="102"/>
        <v>1-0.00068816864802158i</v>
      </c>
      <c r="X101" s="17">
        <f t="shared" si="114"/>
        <v>1.0000002367880161</v>
      </c>
      <c r="Y101" s="17">
        <f t="shared" si="115"/>
        <v>-6.881685393882055E-4</v>
      </c>
      <c r="Z101" s="31" t="str">
        <f t="shared" si="103"/>
        <v>0.999998171647242+0.0419945320224365i</v>
      </c>
      <c r="AA101" s="17">
        <f t="shared" si="116"/>
        <v>1.0008795552001302</v>
      </c>
      <c r="AB101" s="17">
        <f t="shared" si="117"/>
        <v>4.1969948400860858E-2</v>
      </c>
      <c r="AC101" s="66" t="str">
        <f t="shared" si="118"/>
        <v>19.7525009305393-2573.70413451316i</v>
      </c>
      <c r="AD101" s="64">
        <f t="shared" si="119"/>
        <v>68.211428203107147</v>
      </c>
      <c r="AE101" s="61">
        <f t="shared" si="120"/>
        <v>-89.56027862587932</v>
      </c>
      <c r="AF101" s="31" t="str">
        <f t="shared" si="104"/>
        <v>-0.332666666666667</v>
      </c>
      <c r="AG101" s="31" t="str">
        <f t="shared" si="121"/>
        <v>424.795461741716i</v>
      </c>
      <c r="AH101" s="31">
        <f t="shared" si="122"/>
        <v>424.795461741716</v>
      </c>
      <c r="AI101" s="31">
        <f t="shared" si="123"/>
        <v>1.5707963267948966</v>
      </c>
      <c r="AJ101" s="31" t="str">
        <f t="shared" si="105"/>
        <v>0.990372373527075+3.50306175700282i</v>
      </c>
      <c r="AK101" s="31">
        <f t="shared" si="124"/>
        <v>3.6403679912367837</v>
      </c>
      <c r="AL101" s="31">
        <f t="shared" si="125"/>
        <v>1.2952706553990743</v>
      </c>
      <c r="AM101" s="31" t="str">
        <f t="shared" si="106"/>
        <v>1+12745.2401895475i</v>
      </c>
      <c r="AN101" s="31">
        <f t="shared" si="126"/>
        <v>12745.240228777831</v>
      </c>
      <c r="AO101" s="31">
        <f t="shared" si="127"/>
        <v>1.5707178661316941</v>
      </c>
      <c r="AP101" s="31" t="str">
        <f t="shared" si="107"/>
        <v>1+1.37633729604316i</v>
      </c>
      <c r="AQ101" s="31">
        <f t="shared" si="128"/>
        <v>1.7012655149856524</v>
      </c>
      <c r="AR101" s="31">
        <f t="shared" si="129"/>
        <v>0.94246237838907654</v>
      </c>
      <c r="AS101" s="58" t="str">
        <f t="shared" si="130"/>
        <v>-4.37706010162319+1.61208584655855i</v>
      </c>
      <c r="AT101" s="49">
        <f t="shared" si="131"/>
        <v>13.376085113392556</v>
      </c>
      <c r="AU101" s="61">
        <f t="shared" si="132"/>
        <v>159.78107928518537</v>
      </c>
      <c r="AV101" s="58" t="str">
        <f t="shared" si="108"/>
        <v>4062.57412474755+11297.1004077445i</v>
      </c>
      <c r="AW101" s="64">
        <f t="shared" si="133"/>
        <v>81.587513316499738</v>
      </c>
      <c r="AX101" s="61">
        <f t="shared" si="134"/>
        <v>70.22080065930615</v>
      </c>
    </row>
    <row r="102" spans="14:50" x14ac:dyDescent="0.3">
      <c r="N102" s="10">
        <v>84</v>
      </c>
      <c r="O102" s="50">
        <f t="shared" si="109"/>
        <v>69.183097091893657</v>
      </c>
      <c r="P102" s="48" t="str">
        <f t="shared" si="99"/>
        <v>51201.9230769231</v>
      </c>
      <c r="Q102" s="17" t="str">
        <f t="shared" si="100"/>
        <v>1+20.3134083181097i</v>
      </c>
      <c r="R102" s="17">
        <f t="shared" si="110"/>
        <v>20.338007707202994</v>
      </c>
      <c r="S102" s="17">
        <f t="shared" si="111"/>
        <v>1.5216074688913488</v>
      </c>
      <c r="T102" s="17" t="str">
        <f t="shared" si="101"/>
        <v>1+1.3040706574589E-09i</v>
      </c>
      <c r="U102" s="17">
        <f t="shared" si="112"/>
        <v>1</v>
      </c>
      <c r="V102" s="17">
        <f t="shared" si="113"/>
        <v>1.3040706574589E-9</v>
      </c>
      <c r="W102" s="31" t="str">
        <f t="shared" si="102"/>
        <v>1-0.000704198155027803i</v>
      </c>
      <c r="X102" s="17">
        <f t="shared" si="114"/>
        <v>1.0000002479474901</v>
      </c>
      <c r="Y102" s="17">
        <f t="shared" si="115"/>
        <v>-7.0419803862504658E-4</v>
      </c>
      <c r="Z102" s="31" t="str">
        <f t="shared" si="103"/>
        <v>0.999998085479631+0.042972710332669i</v>
      </c>
      <c r="AA102" s="17">
        <f t="shared" si="116"/>
        <v>1.0009209882884176</v>
      </c>
      <c r="AB102" s="17">
        <f t="shared" si="117"/>
        <v>4.2946369816457587E-2</v>
      </c>
      <c r="AC102" s="66" t="str">
        <f t="shared" si="118"/>
        <v>13.9300205019015-2515.1941621104i</v>
      </c>
      <c r="AD102" s="64">
        <f t="shared" si="119"/>
        <v>68.011563537230842</v>
      </c>
      <c r="AE102" s="61">
        <f t="shared" si="120"/>
        <v>-89.682679279785901</v>
      </c>
      <c r="AF102" s="31" t="str">
        <f t="shared" si="104"/>
        <v>-0.332666666666667</v>
      </c>
      <c r="AG102" s="31" t="str">
        <f t="shared" si="121"/>
        <v>434.690219152965i</v>
      </c>
      <c r="AH102" s="31">
        <f t="shared" si="122"/>
        <v>434.69021915296503</v>
      </c>
      <c r="AI102" s="31">
        <f t="shared" si="123"/>
        <v>1.5707963267948966</v>
      </c>
      <c r="AJ102" s="31" t="str">
        <f t="shared" si="105"/>
        <v>0.989918637470229+3.58465854746769i</v>
      </c>
      <c r="AK102" s="31">
        <f t="shared" si="124"/>
        <v>3.7188325870821459</v>
      </c>
      <c r="AL102" s="31">
        <f t="shared" si="125"/>
        <v>1.3013573501541262</v>
      </c>
      <c r="AM102" s="31" t="str">
        <f t="shared" si="106"/>
        <v>1+13042.114970899i</v>
      </c>
      <c r="AN102" s="31">
        <f t="shared" si="126"/>
        <v>13042.11500923634</v>
      </c>
      <c r="AO102" s="31">
        <f t="shared" si="127"/>
        <v>1.5707196521144271</v>
      </c>
      <c r="AP102" s="31" t="str">
        <f t="shared" si="107"/>
        <v>1+1.40839631005561i</v>
      </c>
      <c r="AQ102" s="31">
        <f t="shared" si="128"/>
        <v>1.727304306188767</v>
      </c>
      <c r="AR102" s="31">
        <f t="shared" si="129"/>
        <v>0.95337220433723313</v>
      </c>
      <c r="AS102" s="58" t="str">
        <f t="shared" si="130"/>
        <v>-4.35796710268615+1.58121694117087i</v>
      </c>
      <c r="AT102" s="49">
        <f t="shared" si="131"/>
        <v>13.322793433114171</v>
      </c>
      <c r="AU102" s="61">
        <f t="shared" si="132"/>
        <v>160.057526675861</v>
      </c>
      <c r="AV102" s="58" t="str">
        <f t="shared" si="108"/>
        <v>3916.36104837601+10983.1597997538i</v>
      </c>
      <c r="AW102" s="64">
        <f t="shared" si="133"/>
        <v>81.334356970344984</v>
      </c>
      <c r="AX102" s="61">
        <f t="shared" si="134"/>
        <v>70.374847396075012</v>
      </c>
    </row>
    <row r="103" spans="14:50" x14ac:dyDescent="0.3">
      <c r="N103" s="10">
        <v>85</v>
      </c>
      <c r="O103" s="50">
        <f t="shared" si="109"/>
        <v>70.794578438413865</v>
      </c>
      <c r="P103" s="48" t="str">
        <f t="shared" si="99"/>
        <v>51201.9230769231</v>
      </c>
      <c r="Q103" s="17" t="str">
        <f t="shared" si="100"/>
        <v>1+20.7865683812593i</v>
      </c>
      <c r="R103" s="17">
        <f t="shared" si="110"/>
        <v>20.81060847425584</v>
      </c>
      <c r="S103" s="17">
        <f t="shared" si="111"/>
        <v>1.5227253998557371</v>
      </c>
      <c r="T103" s="17" t="str">
        <f t="shared" si="101"/>
        <v>1+1.33444636521665E-09i</v>
      </c>
      <c r="U103" s="17">
        <f t="shared" si="112"/>
        <v>1</v>
      </c>
      <c r="V103" s="17">
        <f t="shared" si="113"/>
        <v>1.3344463652166501E-9</v>
      </c>
      <c r="W103" s="31" t="str">
        <f t="shared" si="102"/>
        <v>1-0.000720601037216988i</v>
      </c>
      <c r="X103" s="17">
        <f t="shared" si="114"/>
        <v>1.0000002596328936</v>
      </c>
      <c r="Y103" s="17">
        <f t="shared" si="115"/>
        <v>-7.2060091248918898E-4</v>
      </c>
      <c r="Z103" s="31" t="str">
        <f t="shared" si="103"/>
        <v>0.999997995251065+0.043973673342731i</v>
      </c>
      <c r="AA103" s="17">
        <f t="shared" si="116"/>
        <v>1.000964372219812</v>
      </c>
      <c r="AB103" s="17">
        <f t="shared" si="117"/>
        <v>4.3945450439532213E-2</v>
      </c>
      <c r="AC103" s="66" t="str">
        <f t="shared" si="118"/>
        <v>8.36919266821574-2457.99202704348i</v>
      </c>
      <c r="AD103" s="64">
        <f t="shared" si="119"/>
        <v>67.811659745416094</v>
      </c>
      <c r="AE103" s="61">
        <f t="shared" si="120"/>
        <v>-89.80491492263171</v>
      </c>
      <c r="AF103" s="31" t="str">
        <f t="shared" si="104"/>
        <v>-0.332666666666667</v>
      </c>
      <c r="AG103" s="31" t="str">
        <f t="shared" si="121"/>
        <v>444.815455072215i</v>
      </c>
      <c r="AH103" s="31">
        <f t="shared" si="122"/>
        <v>444.815455072215</v>
      </c>
      <c r="AI103" s="31">
        <f t="shared" si="123"/>
        <v>1.5707963267948966</v>
      </c>
      <c r="AJ103" s="31" t="str">
        <f t="shared" si="105"/>
        <v>0.989443517491826+3.668155971343i</v>
      </c>
      <c r="AK103" s="31">
        <f t="shared" si="124"/>
        <v>3.7992587045903972</v>
      </c>
      <c r="AL103" s="31">
        <f t="shared" si="125"/>
        <v>1.3073280807142633</v>
      </c>
      <c r="AM103" s="31" t="str">
        <f t="shared" si="106"/>
        <v>1+13345.9048542409i</v>
      </c>
      <c r="AN103" s="31">
        <f t="shared" si="126"/>
        <v>13345.904891705575</v>
      </c>
      <c r="AO103" s="31">
        <f t="shared" si="127"/>
        <v>1.5707213974432304</v>
      </c>
      <c r="AP103" s="31" t="str">
        <f t="shared" si="107"/>
        <v>1+1.44120207443398i</v>
      </c>
      <c r="AQ103" s="31">
        <f t="shared" si="128"/>
        <v>1.7541560419052824</v>
      </c>
      <c r="AR103" s="31">
        <f t="shared" si="129"/>
        <v>0.9641995391704965</v>
      </c>
      <c r="AS103" s="58" t="str">
        <f t="shared" si="130"/>
        <v>-4.3396114369385+1.5507397503616i</v>
      </c>
      <c r="AT103" s="49">
        <f t="shared" si="131"/>
        <v>13.270936005239435</v>
      </c>
      <c r="AU103" s="61">
        <f t="shared" si="132"/>
        <v>160.33588960345062</v>
      </c>
      <c r="AV103" s="58" t="str">
        <f t="shared" si="108"/>
        <v>3775.38689818728+10679.7087522106i</v>
      </c>
      <c r="AW103" s="64">
        <f t="shared" si="133"/>
        <v>81.082595750655543</v>
      </c>
      <c r="AX103" s="61">
        <f t="shared" si="134"/>
        <v>70.530974680818943</v>
      </c>
    </row>
    <row r="104" spans="14:50" x14ac:dyDescent="0.3">
      <c r="N104" s="10">
        <v>86</v>
      </c>
      <c r="O104" s="50">
        <f t="shared" si="109"/>
        <v>72.443596007499011</v>
      </c>
      <c r="P104" s="48" t="str">
        <f t="shared" si="99"/>
        <v>51201.9230769231</v>
      </c>
      <c r="Q104" s="17" t="str">
        <f t="shared" si="100"/>
        <v>1+21.2707497581073i</v>
      </c>
      <c r="R104" s="17">
        <f t="shared" si="110"/>
        <v>21.294243242529699</v>
      </c>
      <c r="S104" s="17">
        <f t="shared" si="111"/>
        <v>1.5238179998105921</v>
      </c>
      <c r="T104" s="17" t="str">
        <f t="shared" si="101"/>
        <v>1+1.36552961410071E-09i</v>
      </c>
      <c r="U104" s="17">
        <f t="shared" si="112"/>
        <v>1</v>
      </c>
      <c r="V104" s="17">
        <f t="shared" si="113"/>
        <v>1.3655296141007099E-9</v>
      </c>
      <c r="W104" s="31" t="str">
        <f t="shared" si="102"/>
        <v>1-0.000737385991614385i</v>
      </c>
      <c r="X104" s="17">
        <f t="shared" si="114"/>
        <v>1.0000002718690133</v>
      </c>
      <c r="Y104" s="17">
        <f t="shared" si="115"/>
        <v>-7.3738585796614248E-4</v>
      </c>
      <c r="Z104" s="31" t="str">
        <f t="shared" si="103"/>
        <v>0.999997900770159+0.0449979517764595i</v>
      </c>
      <c r="AA104" s="17">
        <f t="shared" si="116"/>
        <v>1.0010097987576352</v>
      </c>
      <c r="AB104" s="17">
        <f t="shared" si="117"/>
        <v>4.4967712038230655E-2</v>
      </c>
      <c r="AC104" s="66" t="str">
        <f t="shared" si="118"/>
        <v>3.05838920294006-2402.06911603063i</v>
      </c>
      <c r="AD104" s="64">
        <f t="shared" si="119"/>
        <v>67.611717029140451</v>
      </c>
      <c r="AE104" s="61">
        <f t="shared" si="120"/>
        <v>-89.927049268659047</v>
      </c>
      <c r="AF104" s="31" t="str">
        <f t="shared" si="104"/>
        <v>-0.332666666666667</v>
      </c>
      <c r="AG104" s="31" t="str">
        <f t="shared" si="121"/>
        <v>455.176538033571i</v>
      </c>
      <c r="AH104" s="31">
        <f t="shared" si="122"/>
        <v>455.17653803357098</v>
      </c>
      <c r="AI104" s="31">
        <f t="shared" si="123"/>
        <v>1.5707963267948966</v>
      </c>
      <c r="AJ104" s="31" t="str">
        <f t="shared" si="105"/>
        <v>0.988946005798692+3.75359830006809i</v>
      </c>
      <c r="AK104" s="31">
        <f t="shared" si="124"/>
        <v>3.8816896321910179</v>
      </c>
      <c r="AL104" s="31">
        <f t="shared" si="125"/>
        <v>1.3131843648225701</v>
      </c>
      <c r="AM104" s="31" t="str">
        <f t="shared" si="106"/>
        <v>1+13656.7709129904i</v>
      </c>
      <c r="AN104" s="31">
        <f t="shared" si="126"/>
        <v>13656.770949602274</v>
      </c>
      <c r="AO104" s="31">
        <f t="shared" si="127"/>
        <v>1.5707231030435</v>
      </c>
      <c r="AP104" s="31" t="str">
        <f t="shared" si="107"/>
        <v>1+1.47477198322877i</v>
      </c>
      <c r="AQ104" s="31">
        <f t="shared" si="128"/>
        <v>1.7818396118945496</v>
      </c>
      <c r="AR104" s="31">
        <f t="shared" si="129"/>
        <v>0.9749399693951033</v>
      </c>
      <c r="AS104" s="58" t="str">
        <f t="shared" si="130"/>
        <v>-4.32196954278355+1.52066382899234i</v>
      </c>
      <c r="AT104" s="49">
        <f t="shared" si="131"/>
        <v>13.220504911582783</v>
      </c>
      <c r="AU104" s="61">
        <f t="shared" si="132"/>
        <v>160.61582828613686</v>
      </c>
      <c r="AV104" s="58" t="str">
        <f t="shared" si="108"/>
        <v>3639.52135450229+10386.3203409813i</v>
      </c>
      <c r="AW104" s="64">
        <f t="shared" si="133"/>
        <v>80.832221940723258</v>
      </c>
      <c r="AX104" s="61">
        <f t="shared" si="134"/>
        <v>70.688779017477884</v>
      </c>
    </row>
    <row r="105" spans="14:50" x14ac:dyDescent="0.3">
      <c r="N105" s="10">
        <v>87</v>
      </c>
      <c r="O105" s="50">
        <f t="shared" si="109"/>
        <v>74.131024130091816</v>
      </c>
      <c r="P105" s="48" t="str">
        <f t="shared" si="99"/>
        <v>51201.9230769231</v>
      </c>
      <c r="Q105" s="17" t="str">
        <f t="shared" si="100"/>
        <v>1+21.7662091680287i</v>
      </c>
      <c r="R105" s="17">
        <f t="shared" si="110"/>
        <v>21.789168445500085</v>
      </c>
      <c r="S105" s="17">
        <f t="shared" si="111"/>
        <v>1.524885837626395</v>
      </c>
      <c r="T105" s="17" t="str">
        <f t="shared" si="101"/>
        <v>1+1.39733688486111E-09i</v>
      </c>
      <c r="U105" s="17">
        <f t="shared" si="112"/>
        <v>1</v>
      </c>
      <c r="V105" s="17">
        <f t="shared" si="113"/>
        <v>1.3973368848611099E-9</v>
      </c>
      <c r="W105" s="31" t="str">
        <f t="shared" si="102"/>
        <v>1-0.000754561917824996i</v>
      </c>
      <c r="X105" s="17">
        <f t="shared" si="114"/>
        <v>1.0000002846818035</v>
      </c>
      <c r="Y105" s="17">
        <f t="shared" si="115"/>
        <v>-7.5456177461832614E-4</v>
      </c>
      <c r="Z105" s="31" t="str">
        <f t="shared" si="103"/>
        <v>0.999997801836505+0.0460460887198384i</v>
      </c>
      <c r="AA105" s="17">
        <f t="shared" si="116"/>
        <v>1.0010573639728328</v>
      </c>
      <c r="AB105" s="17">
        <f t="shared" si="117"/>
        <v>4.601368810470706E-2</v>
      </c>
      <c r="AC105" s="66" t="str">
        <f t="shared" si="118"/>
        <v>-2.01350245958498-2347.39738072648i</v>
      </c>
      <c r="AD105" s="64">
        <f t="shared" si="119"/>
        <v>67.411735508373994</v>
      </c>
      <c r="AE105" s="61">
        <f t="shared" si="120"/>
        <v>-90.04914598850084</v>
      </c>
      <c r="AF105" s="31" t="str">
        <f t="shared" si="104"/>
        <v>-0.332666666666667</v>
      </c>
      <c r="AG105" s="31" t="str">
        <f t="shared" si="121"/>
        <v>465.778961620368i</v>
      </c>
      <c r="AH105" s="31">
        <f t="shared" si="122"/>
        <v>465.77896162036802</v>
      </c>
      <c r="AI105" s="31">
        <f t="shared" si="123"/>
        <v>1.5707963267948966</v>
      </c>
      <c r="AJ105" s="31" t="str">
        <f t="shared" si="105"/>
        <v>0.988425047101821+3.84103083629663i</v>
      </c>
      <c r="AK105" s="31">
        <f t="shared" si="124"/>
        <v>3.9661696836015263</v>
      </c>
      <c r="AL105" s="31">
        <f t="shared" si="125"/>
        <v>1.3189277547336129</v>
      </c>
      <c r="AM105" s="31" t="str">
        <f t="shared" si="106"/>
        <v>1+13974.8779724467i</v>
      </c>
      <c r="AN105" s="31">
        <f t="shared" si="126"/>
        <v>13974.878008225187</v>
      </c>
      <c r="AO105" s="31">
        <f t="shared" si="127"/>
        <v>1.5707247698195681</v>
      </c>
      <c r="AP105" s="31" t="str">
        <f t="shared" si="107"/>
        <v>1+1.50912383564999i</v>
      </c>
      <c r="AQ105" s="31">
        <f t="shared" si="128"/>
        <v>1.8103742020165161</v>
      </c>
      <c r="AR105" s="31">
        <f t="shared" si="129"/>
        <v>0.98558927789663586</v>
      </c>
      <c r="AS105" s="58" t="str">
        <f t="shared" si="130"/>
        <v>-4.30501820023149+1.49099762713275i</v>
      </c>
      <c r="AT105" s="49">
        <f t="shared" si="131"/>
        <v>13.171490107094003</v>
      </c>
      <c r="AU105" s="61">
        <f t="shared" si="132"/>
        <v>160.89701221524086</v>
      </c>
      <c r="AV105" s="58" t="str">
        <f t="shared" si="108"/>
        <v>3508.63208933554+10102.5863198138i</v>
      </c>
      <c r="AW105" s="64">
        <f t="shared" si="133"/>
        <v>80.583225615468024</v>
      </c>
      <c r="AX105" s="61">
        <f t="shared" si="134"/>
        <v>70.847866226740095</v>
      </c>
    </row>
    <row r="106" spans="14:50" x14ac:dyDescent="0.3">
      <c r="N106" s="10">
        <v>88</v>
      </c>
      <c r="O106" s="50">
        <f t="shared" si="109"/>
        <v>75.857757502918361</v>
      </c>
      <c r="P106" s="48" t="str">
        <f t="shared" si="99"/>
        <v>51201.9230769231</v>
      </c>
      <c r="Q106" s="17" t="str">
        <f t="shared" si="100"/>
        <v>1+22.2732093101609i</v>
      </c>
      <c r="R106" s="17">
        <f t="shared" si="110"/>
        <v>22.295646502719723</v>
      </c>
      <c r="S106" s="17">
        <f t="shared" si="111"/>
        <v>1.5259294697382975</v>
      </c>
      <c r="T106" s="17" t="str">
        <f t="shared" si="101"/>
        <v>1+1.42988504213379E-09i</v>
      </c>
      <c r="U106" s="17">
        <f t="shared" si="112"/>
        <v>1</v>
      </c>
      <c r="V106" s="17">
        <f t="shared" si="113"/>
        <v>1.4298850421337901E-9</v>
      </c>
      <c r="W106" s="31" t="str">
        <f t="shared" si="102"/>
        <v>1-0.000772137922752245i</v>
      </c>
      <c r="X106" s="17">
        <f t="shared" si="114"/>
        <v>1.0000002980984415</v>
      </c>
      <c r="Y106" s="17">
        <f t="shared" si="115"/>
        <v>-7.7213776930353613E-4</v>
      </c>
      <c r="Z106" s="31" t="str">
        <f t="shared" si="103"/>
        <v>0.999997698240251+0.0471186399089485i</v>
      </c>
      <c r="AA106" s="17">
        <f t="shared" si="116"/>
        <v>1.0011071684453514</v>
      </c>
      <c r="AB106" s="17">
        <f t="shared" si="117"/>
        <v>4.7083924097722121E-2</v>
      </c>
      <c r="AC106" s="66" t="str">
        <f t="shared" si="118"/>
        <v>-6.85710151658308-2293.9493303479i</v>
      </c>
      <c r="AD106" s="64">
        <f t="shared" si="119"/>
        <v>67.211715221821095</v>
      </c>
      <c r="AE106" s="61">
        <f t="shared" si="120"/>
        <v>-90.171268737811261</v>
      </c>
      <c r="AF106" s="31" t="str">
        <f t="shared" si="104"/>
        <v>-0.332666666666667</v>
      </c>
      <c r="AG106" s="31" t="str">
        <f t="shared" si="121"/>
        <v>476.628347377929i</v>
      </c>
      <c r="AH106" s="31">
        <f t="shared" si="122"/>
        <v>476.628347377929</v>
      </c>
      <c r="AI106" s="31">
        <f t="shared" si="123"/>
        <v>1.5707963267948966</v>
      </c>
      <c r="AJ106" s="31" t="str">
        <f t="shared" si="105"/>
        <v>0.987879536377972+3.93049993791663i</v>
      </c>
      <c r="AK106" s="31">
        <f t="shared" si="124"/>
        <v>4.0527442234067763</v>
      </c>
      <c r="AL106" s="31">
        <f t="shared" si="125"/>
        <v>1.3245598331266875</v>
      </c>
      <c r="AM106" s="31" t="str">
        <f t="shared" si="106"/>
        <v>1+14300.3946971834i</v>
      </c>
      <c r="AN106" s="31">
        <f t="shared" si="126"/>
        <v>14300.394732147468</v>
      </c>
      <c r="AO106" s="31">
        <f t="shared" si="127"/>
        <v>1.5707263986551812</v>
      </c>
      <c r="AP106" s="31" t="str">
        <f t="shared" si="107"/>
        <v>1+1.54427584550449i</v>
      </c>
      <c r="AQ106" s="31">
        <f t="shared" si="128"/>
        <v>1.8397793038863677</v>
      </c>
      <c r="AR106" s="31">
        <f t="shared" si="129"/>
        <v>0.99614344929407983</v>
      </c>
      <c r="AS106" s="58" t="str">
        <f t="shared" si="130"/>
        <v>-4.28873456401783+1.46174854547772i</v>
      </c>
      <c r="AT106" s="49">
        <f t="shared" si="131"/>
        <v>13.123879545073569</v>
      </c>
      <c r="AU106" s="61">
        <f t="shared" si="132"/>
        <v>161.17912069616813</v>
      </c>
      <c r="AV106" s="58" t="str">
        <f t="shared" si="108"/>
        <v>3382.58538531878+9828.11642300053i</v>
      </c>
      <c r="AW106" s="64">
        <f t="shared" si="133"/>
        <v>80.335594766894644</v>
      </c>
      <c r="AX106" s="61">
        <f t="shared" si="134"/>
        <v>71.007851958356866</v>
      </c>
    </row>
    <row r="107" spans="14:50" x14ac:dyDescent="0.3">
      <c r="N107" s="10">
        <v>89</v>
      </c>
      <c r="O107" s="50">
        <f t="shared" si="109"/>
        <v>77.624711662869217</v>
      </c>
      <c r="P107" s="48" t="str">
        <f t="shared" si="99"/>
        <v>51201.9230769231</v>
      </c>
      <c r="Q107" s="17" t="str">
        <f t="shared" si="100"/>
        <v>1+22.7920190026901i</v>
      </c>
      <c r="R107" s="17">
        <f t="shared" si="110"/>
        <v>22.813945958974013</v>
      </c>
      <c r="S107" s="17">
        <f t="shared" si="111"/>
        <v>1.5269494403951591</v>
      </c>
      <c r="T107" s="17" t="str">
        <f t="shared" si="101"/>
        <v>1+1.46319134338258E-09i</v>
      </c>
      <c r="U107" s="17">
        <f t="shared" si="112"/>
        <v>1</v>
      </c>
      <c r="V107" s="17">
        <f t="shared" si="113"/>
        <v>1.4631913433825799E-9</v>
      </c>
      <c r="W107" s="31" t="str">
        <f t="shared" si="102"/>
        <v>1-0.000790123325426591i</v>
      </c>
      <c r="X107" s="17">
        <f t="shared" si="114"/>
        <v>1.0000003121473859</v>
      </c>
      <c r="Y107" s="17">
        <f t="shared" si="115"/>
        <v>-7.9012316100333989E-4</v>
      </c>
      <c r="Z107" s="31" t="str">
        <f t="shared" si="103"/>
        <v>0.999997589761656+0.0482161740246273i</v>
      </c>
      <c r="AA107" s="17">
        <f t="shared" si="116"/>
        <v>1.0011593174748432</v>
      </c>
      <c r="AB107" s="17">
        <f t="shared" si="117"/>
        <v>4.8178977688742818E-2</v>
      </c>
      <c r="AC107" s="66" t="str">
        <f t="shared" si="118"/>
        <v>-11.4825551546299-2241.69802410671i</v>
      </c>
      <c r="AD107" s="64">
        <f t="shared" si="119"/>
        <v>67.011656126998474</v>
      </c>
      <c r="AE107" s="61">
        <f t="shared" si="120"/>
        <v>-90.29348118591173</v>
      </c>
      <c r="AF107" s="31" t="str">
        <f t="shared" si="104"/>
        <v>-0.332666666666667</v>
      </c>
      <c r="AG107" s="31" t="str">
        <f t="shared" si="121"/>
        <v>487.730447794192i</v>
      </c>
      <c r="AH107" s="31">
        <f t="shared" si="122"/>
        <v>487.730447794192</v>
      </c>
      <c r="AI107" s="31">
        <f t="shared" si="123"/>
        <v>1.5707963267948966</v>
      </c>
      <c r="AJ107" s="31" t="str">
        <f t="shared" si="105"/>
        <v>0.987308316525762+4.02205304263003i</v>
      </c>
      <c r="AK107" s="31">
        <f t="shared" si="124"/>
        <v>4.1414596931046441</v>
      </c>
      <c r="AL107" s="31">
        <f t="shared" si="125"/>
        <v>1.3300822092284292</v>
      </c>
      <c r="AM107" s="31" t="str">
        <f t="shared" si="106"/>
        <v>1+14633.4936804766i</v>
      </c>
      <c r="AN107" s="31">
        <f t="shared" si="126"/>
        <v>14633.49371464479</v>
      </c>
      <c r="AO107" s="31">
        <f t="shared" si="127"/>
        <v>1.5707279904139695</v>
      </c>
      <c r="AP107" s="31" t="str">
        <f t="shared" si="107"/>
        <v>1+1.58024665085318i</v>
      </c>
      <c r="AQ107" s="31">
        <f t="shared" si="128"/>
        <v>1.8700747251200129</v>
      </c>
      <c r="AR107" s="31">
        <f t="shared" si="129"/>
        <v>1.0065986743069908</v>
      </c>
      <c r="AS107" s="58" t="str">
        <f t="shared" si="130"/>
        <v>-4.27309619257277+1.43292298999361i</v>
      </c>
      <c r="AT107" s="49">
        <f t="shared" si="131"/>
        <v>13.077659304432512</v>
      </c>
      <c r="AU107" s="61">
        <f t="shared" si="132"/>
        <v>161.46184332081444</v>
      </c>
      <c r="AV107" s="58" t="str">
        <f t="shared" si="108"/>
        <v>3261.24669807801+9562.53767444335i</v>
      </c>
      <c r="AW107" s="64">
        <f t="shared" si="133"/>
        <v>80.08931543143099</v>
      </c>
      <c r="AX107" s="61">
        <f t="shared" si="134"/>
        <v>71.168362134902736</v>
      </c>
    </row>
    <row r="108" spans="14:50" x14ac:dyDescent="0.3">
      <c r="N108" s="10">
        <v>90</v>
      </c>
      <c r="O108" s="50">
        <f t="shared" si="109"/>
        <v>79.432823472428197</v>
      </c>
      <c r="P108" s="48" t="str">
        <f t="shared" si="99"/>
        <v>51201.9230769231</v>
      </c>
      <c r="Q108" s="17" t="str">
        <f t="shared" si="100"/>
        <v>1+23.3229133253826i</v>
      </c>
      <c r="R108" s="17">
        <f t="shared" si="110"/>
        <v>23.344341626683526</v>
      </c>
      <c r="S108" s="17">
        <f t="shared" si="111"/>
        <v>1.527946281905159</v>
      </c>
      <c r="T108" s="17" t="str">
        <f t="shared" si="101"/>
        <v>1+1.49727344804925E-09i</v>
      </c>
      <c r="U108" s="17">
        <f t="shared" si="112"/>
        <v>1</v>
      </c>
      <c r="V108" s="17">
        <f t="shared" si="113"/>
        <v>1.49727344804925E-9</v>
      </c>
      <c r="W108" s="31" t="str">
        <f t="shared" si="102"/>
        <v>1-0.000808527661946596i</v>
      </c>
      <c r="X108" s="17">
        <f t="shared" si="114"/>
        <v>1.0000003268584365</v>
      </c>
      <c r="Y108" s="17">
        <f t="shared" si="115"/>
        <v>-8.0852748576391127E-4</v>
      </c>
      <c r="Z108" s="31" t="str">
        <f t="shared" si="103"/>
        <v>0.999997476170622+0.0493392729939905i</v>
      </c>
      <c r="AA108" s="17">
        <f t="shared" si="116"/>
        <v>1.001213921301132</v>
      </c>
      <c r="AB108" s="17">
        <f t="shared" si="117"/>
        <v>4.9299419011470148E-2</v>
      </c>
      <c r="AC108" s="66" t="str">
        <f t="shared" si="118"/>
        <v>-15.8995590084075-2190.61706347698i</v>
      </c>
      <c r="AD108" s="64">
        <f t="shared" si="119"/>
        <v>66.811558100149341</v>
      </c>
      <c r="AE108" s="61">
        <f t="shared" si="120"/>
        <v>-90.415847044443325</v>
      </c>
      <c r="AF108" s="31" t="str">
        <f t="shared" si="104"/>
        <v>-0.332666666666667</v>
      </c>
      <c r="AG108" s="31" t="str">
        <f t="shared" si="121"/>
        <v>499.091149349751i</v>
      </c>
      <c r="AH108" s="31">
        <f t="shared" si="122"/>
        <v>499.09114934975099</v>
      </c>
      <c r="AI108" s="31">
        <f t="shared" si="123"/>
        <v>1.5707963267948966</v>
      </c>
      <c r="AJ108" s="31" t="str">
        <f t="shared" si="105"/>
        <v>0.9867101759113+4.11573869310479i</v>
      </c>
      <c r="AK108" s="31">
        <f t="shared" si="124"/>
        <v>4.2323636376340392</v>
      </c>
      <c r="AL108" s="31">
        <f t="shared" si="125"/>
        <v>1.3354965151414675</v>
      </c>
      <c r="AM108" s="31" t="str">
        <f t="shared" si="106"/>
        <v>1+14974.3515358164i</v>
      </c>
      <c r="AN108" s="31">
        <f t="shared" si="126"/>
        <v>14974.351569206827</v>
      </c>
      <c r="AO108" s="31">
        <f t="shared" si="127"/>
        <v>1.5707295459399047</v>
      </c>
      <c r="AP108" s="31" t="str">
        <f t="shared" si="107"/>
        <v>1+1.61705532389319i</v>
      </c>
      <c r="AQ108" s="31">
        <f t="shared" si="128"/>
        <v>1.9012806001564604</v>
      </c>
      <c r="AR108" s="31">
        <f t="shared" si="129"/>
        <v>1.0169513531502203</v>
      </c>
      <c r="AS108" s="58" t="str">
        <f t="shared" si="130"/>
        <v>-4.25808107309755+1.40452642559739i</v>
      </c>
      <c r="AT108" s="49">
        <f t="shared" si="131"/>
        <v>13.03281371814812</v>
      </c>
      <c r="AU108" s="61">
        <f t="shared" si="132"/>
        <v>161.74488037244711</v>
      </c>
      <c r="AV108" s="58" t="str">
        <f t="shared" si="108"/>
        <v>3144.48116530227+9305.49370561321i</v>
      </c>
      <c r="AW108" s="64">
        <f t="shared" si="133"/>
        <v>79.844371818297461</v>
      </c>
      <c r="AX108" s="61">
        <f t="shared" si="134"/>
        <v>71.329033328003803</v>
      </c>
    </row>
    <row r="109" spans="14:50" x14ac:dyDescent="0.3">
      <c r="N109" s="10">
        <v>91</v>
      </c>
      <c r="O109" s="50">
        <f t="shared" si="109"/>
        <v>81.283051616409963</v>
      </c>
      <c r="P109" s="48" t="str">
        <f t="shared" si="99"/>
        <v>51201.9230769231</v>
      </c>
      <c r="Q109" s="17" t="str">
        <f t="shared" si="100"/>
        <v>1+23.8661737654354i</v>
      </c>
      <c r="R109" s="17">
        <f t="shared" si="110"/>
        <v>23.88711473162795</v>
      </c>
      <c r="S109" s="17">
        <f t="shared" si="111"/>
        <v>1.5289205148779119</v>
      </c>
      <c r="T109" s="17" t="str">
        <f t="shared" si="101"/>
        <v>1+1.53214942691684E-09i</v>
      </c>
      <c r="U109" s="17">
        <f t="shared" si="112"/>
        <v>1</v>
      </c>
      <c r="V109" s="17">
        <f t="shared" si="113"/>
        <v>1.5321494269168401E-9</v>
      </c>
      <c r="W109" s="31" t="str">
        <f t="shared" si="102"/>
        <v>1-0.000827360690535094i</v>
      </c>
      <c r="X109" s="17">
        <f t="shared" si="114"/>
        <v>1.0000003422627977</v>
      </c>
      <c r="Y109" s="17">
        <f t="shared" si="115"/>
        <v>-8.2736050175194953E-4</v>
      </c>
      <c r="Z109" s="31" t="str">
        <f t="shared" si="103"/>
        <v>0.999997357226208+0.0504885322989775i</v>
      </c>
      <c r="AA109" s="17">
        <f t="shared" si="116"/>
        <v>1.0012710953348773</v>
      </c>
      <c r="AB109" s="17">
        <f t="shared" si="117"/>
        <v>5.0445830914716022E-2</v>
      </c>
      <c r="AC109" s="66" t="str">
        <f t="shared" si="118"/>
        <v>-20.1173767549926-2140.6805843227i</v>
      </c>
      <c r="AD109" s="64">
        <f t="shared" si="119"/>
        <v>66.611420935994644</v>
      </c>
      <c r="AE109" s="61">
        <f t="shared" si="120"/>
        <v>-90.53843009601745</v>
      </c>
      <c r="AF109" s="31" t="str">
        <f t="shared" si="104"/>
        <v>-0.332666666666667</v>
      </c>
      <c r="AG109" s="31" t="str">
        <f t="shared" si="121"/>
        <v>510.716475638947i</v>
      </c>
      <c r="AH109" s="31">
        <f t="shared" si="122"/>
        <v>510.71647563894697</v>
      </c>
      <c r="AI109" s="31">
        <f t="shared" si="123"/>
        <v>1.5707963267948966</v>
      </c>
      <c r="AJ109" s="31" t="str">
        <f t="shared" si="105"/>
        <v>0.986083845798147+4.21160656271288i</v>
      </c>
      <c r="AK109" s="31">
        <f t="shared" si="124"/>
        <v>4.3255047324017877</v>
      </c>
      <c r="AL109" s="31">
        <f t="shared" si="125"/>
        <v>1.3408044023751289</v>
      </c>
      <c r="AM109" s="31" t="str">
        <f t="shared" si="106"/>
        <v>1+15323.1489905495i</v>
      </c>
      <c r="AN109" s="31">
        <f t="shared" si="126"/>
        <v>15323.149023179869</v>
      </c>
      <c r="AO109" s="31">
        <f t="shared" si="127"/>
        <v>1.5707310660577467</v>
      </c>
      <c r="AP109" s="31" t="str">
        <f t="shared" si="107"/>
        <v>1+1.65472138107019i</v>
      </c>
      <c r="AQ109" s="31">
        <f t="shared" si="128"/>
        <v>1.9334174016416725</v>
      </c>
      <c r="AR109" s="31">
        <f t="shared" si="129"/>
        <v>1.027198097977958</v>
      </c>
      <c r="AS109" s="58" t="str">
        <f t="shared" si="130"/>
        <v>-4.24366764300036+1.37656342869943i</v>
      </c>
      <c r="AT109" s="49">
        <f t="shared" si="131"/>
        <v>12.989325502105372</v>
      </c>
      <c r="AU109" s="61">
        <f t="shared" si="132"/>
        <v>162.02794316454055</v>
      </c>
      <c r="AV109" s="58" t="str">
        <f t="shared" si="108"/>
        <v>3032.15406570276+9056.64408456705i</v>
      </c>
      <c r="AW109" s="64">
        <f t="shared" si="133"/>
        <v>79.600746438100018</v>
      </c>
      <c r="AX109" s="61">
        <f t="shared" si="134"/>
        <v>71.489513068523095</v>
      </c>
    </row>
    <row r="110" spans="14:50" x14ac:dyDescent="0.3">
      <c r="N110" s="10">
        <v>92</v>
      </c>
      <c r="O110" s="50">
        <f t="shared" si="109"/>
        <v>83.176377110267126</v>
      </c>
      <c r="P110" s="48" t="str">
        <f t="shared" si="99"/>
        <v>51201.9230769231</v>
      </c>
      <c r="Q110" s="17" t="str">
        <f t="shared" si="100"/>
        <v>1+24.4220883667248i</v>
      </c>
      <c r="R110" s="17">
        <f t="shared" si="110"/>
        <v>24.44255306207015</v>
      </c>
      <c r="S110" s="17">
        <f t="shared" si="111"/>
        <v>1.5298726484630314</v>
      </c>
      <c r="T110" s="17" t="str">
        <f t="shared" si="101"/>
        <v>1+1.56783777169098E-09i</v>
      </c>
      <c r="U110" s="17">
        <f t="shared" si="112"/>
        <v>1</v>
      </c>
      <c r="V110" s="17">
        <f t="shared" si="113"/>
        <v>1.5678377716909799E-9</v>
      </c>
      <c r="W110" s="31" t="str">
        <f t="shared" si="102"/>
        <v>1-0.000846632396713127i</v>
      </c>
      <c r="X110" s="17">
        <f t="shared" si="114"/>
        <v>1.0000003583931434</v>
      </c>
      <c r="Y110" s="17">
        <f t="shared" si="115"/>
        <v>-8.4663219442834717E-4</v>
      </c>
      <c r="Z110" s="31" t="str">
        <f t="shared" si="103"/>
        <v>0.999997232676116+0.0516645612920842i</v>
      </c>
      <c r="AA110" s="17">
        <f t="shared" si="116"/>
        <v>1.0013309603989051</v>
      </c>
      <c r="AB110" s="17">
        <f t="shared" si="117"/>
        <v>5.1618809218535573E-2</v>
      </c>
      <c r="AC110" s="66" t="str">
        <f t="shared" si="118"/>
        <v>-24.1448588771826-2091.86324890911i</v>
      </c>
      <c r="AD110" s="64">
        <f t="shared" si="119"/>
        <v>66.411244347319624</v>
      </c>
      <c r="AE110" s="61">
        <f t="shared" si="120"/>
        <v>-90.66129422285637</v>
      </c>
      <c r="AF110" s="31" t="str">
        <f t="shared" si="104"/>
        <v>-0.332666666666667</v>
      </c>
      <c r="AG110" s="31" t="str">
        <f t="shared" si="121"/>
        <v>522.612590563659i</v>
      </c>
      <c r="AH110" s="31">
        <f t="shared" si="122"/>
        <v>522.61259056365896</v>
      </c>
      <c r="AI110" s="31">
        <f t="shared" si="123"/>
        <v>1.5707963267948966</v>
      </c>
      <c r="AJ110" s="31" t="str">
        <f t="shared" si="105"/>
        <v>0.985427997656162+4.30970748186772i</v>
      </c>
      <c r="AK110" s="31">
        <f t="shared" si="124"/>
        <v>4.4209328108252484</v>
      </c>
      <c r="AL110" s="31">
        <f t="shared" si="125"/>
        <v>1.3460075385735857</v>
      </c>
      <c r="AM110" s="31" t="str">
        <f t="shared" si="106"/>
        <v>1+15680.0709817032i</v>
      </c>
      <c r="AN110" s="31">
        <f t="shared" si="126"/>
        <v>15680.071013590812</v>
      </c>
      <c r="AO110" s="31">
        <f t="shared" si="127"/>
        <v>1.5707325515734827</v>
      </c>
      <c r="AP110" s="31" t="str">
        <f t="shared" si="107"/>
        <v>1+1.69326479342626i</v>
      </c>
      <c r="AQ110" s="31">
        <f t="shared" si="128"/>
        <v>1.9665059523573467</v>
      </c>
      <c r="AR110" s="31">
        <f t="shared" si="129"/>
        <v>1.0373357344055005</v>
      </c>
      <c r="AS110" s="58" t="str">
        <f t="shared" si="130"/>
        <v>-4.22983480794135+1.34903773846721i</v>
      </c>
      <c r="AT110" s="49">
        <f t="shared" si="131"/>
        <v>12.947175883563038</v>
      </c>
      <c r="AU110" s="61">
        <f t="shared" si="132"/>
        <v>162.31075431545554</v>
      </c>
      <c r="AV110" s="58" t="str">
        <f t="shared" si="108"/>
        <v>2924.13123100256+8815.66365787375i</v>
      </c>
      <c r="AW110" s="64">
        <f t="shared" si="133"/>
        <v>79.358420230882658</v>
      </c>
      <c r="AX110" s="61">
        <f t="shared" si="134"/>
        <v>71.649460092599128</v>
      </c>
    </row>
    <row r="111" spans="14:50" x14ac:dyDescent="0.3">
      <c r="N111" s="10">
        <v>93</v>
      </c>
      <c r="O111" s="50">
        <f t="shared" si="109"/>
        <v>85.113803820237734</v>
      </c>
      <c r="P111" s="48" t="str">
        <f t="shared" si="99"/>
        <v>51201.9230769231</v>
      </c>
      <c r="Q111" s="17" t="str">
        <f t="shared" si="100"/>
        <v>1+24.9909518825309i</v>
      </c>
      <c r="R111" s="17">
        <f t="shared" si="110"/>
        <v>25.010951121358314</v>
      </c>
      <c r="S111" s="17">
        <f t="shared" si="111"/>
        <v>1.530803180585095</v>
      </c>
      <c r="T111" s="17" t="str">
        <f t="shared" si="101"/>
        <v>1+1.60435740480445E-09i</v>
      </c>
      <c r="U111" s="17">
        <f t="shared" si="112"/>
        <v>1</v>
      </c>
      <c r="V111" s="17">
        <f t="shared" si="113"/>
        <v>1.6043574048044499E-9</v>
      </c>
      <c r="W111" s="31" t="str">
        <f t="shared" si="102"/>
        <v>1-0.000866352998594404i</v>
      </c>
      <c r="X111" s="17">
        <f t="shared" si="114"/>
        <v>1.0000003752836886</v>
      </c>
      <c r="Y111" s="17">
        <f t="shared" si="115"/>
        <v>-8.6635278184236161E-4</v>
      </c>
      <c r="Z111" s="31" t="str">
        <f t="shared" si="103"/>
        <v>0.99999710225616+0.0528679835194493i</v>
      </c>
      <c r="AA111" s="17">
        <f t="shared" si="116"/>
        <v>1.001393642980686</v>
      </c>
      <c r="AB111" s="17">
        <f t="shared" si="117"/>
        <v>5.2818962973505267E-2</v>
      </c>
      <c r="AC111" s="66" t="str">
        <f t="shared" si="118"/>
        <v>-27.9904606282866-2044.1402378198i</v>
      </c>
      <c r="AD111" s="64">
        <f t="shared" si="119"/>
        <v>66.211027964395811</v>
      </c>
      <c r="AE111" s="61">
        <f t="shared" si="120"/>
        <v>-90.784503435414436</v>
      </c>
      <c r="AF111" s="31" t="str">
        <f t="shared" si="104"/>
        <v>-0.332666666666667</v>
      </c>
      <c r="AG111" s="31" t="str">
        <f t="shared" si="121"/>
        <v>534.785801601484i</v>
      </c>
      <c r="AH111" s="31">
        <f t="shared" si="122"/>
        <v>534.78580160148397</v>
      </c>
      <c r="AI111" s="31">
        <f t="shared" si="123"/>
        <v>1.5707963267948966</v>
      </c>
      <c r="AJ111" s="31" t="str">
        <f t="shared" si="105"/>
        <v>0.984741240343502+4.41009346497518i</v>
      </c>
      <c r="AK111" s="31">
        <f t="shared" si="124"/>
        <v>4.5186988924080849</v>
      </c>
      <c r="AL111" s="31">
        <f t="shared" si="125"/>
        <v>1.3511076044363735</v>
      </c>
      <c r="AM111" s="31" t="str">
        <f t="shared" si="106"/>
        <v>1+16045.3067540417i</v>
      </c>
      <c r="AN111" s="31">
        <f t="shared" si="126"/>
        <v>16045.306785203458</v>
      </c>
      <c r="AO111" s="31">
        <f t="shared" si="127"/>
        <v>1.5707340032747523</v>
      </c>
      <c r="AP111" s="31" t="str">
        <f t="shared" si="107"/>
        <v>1+1.73270599718881i</v>
      </c>
      <c r="AQ111" s="31">
        <f t="shared" si="128"/>
        <v>2.0005674376771378</v>
      </c>
      <c r="AR111" s="31">
        <f t="shared" si="129"/>
        <v>1.0473613021430845</v>
      </c>
      <c r="AS111" s="58" t="str">
        <f t="shared" si="130"/>
        <v>-4.21656195672937+1.3219523066906i</v>
      </c>
      <c r="AT111" s="49">
        <f t="shared" si="131"/>
        <v>12.906344728532144</v>
      </c>
      <c r="AU111" s="61">
        <f t="shared" si="132"/>
        <v>162.59304796122103</v>
      </c>
      <c r="AV111" s="58" t="str">
        <f t="shared" si="108"/>
        <v>2820.27941402152+8582.2419070178i</v>
      </c>
      <c r="AW111" s="64">
        <f t="shared" si="133"/>
        <v>79.117372692927944</v>
      </c>
      <c r="AX111" s="61">
        <f t="shared" si="134"/>
        <v>71.80854452580661</v>
      </c>
    </row>
    <row r="112" spans="14:50" x14ac:dyDescent="0.3">
      <c r="N112" s="10">
        <v>94</v>
      </c>
      <c r="O112" s="50">
        <f t="shared" si="109"/>
        <v>87.096358995608071</v>
      </c>
      <c r="P112" s="48" t="str">
        <f t="shared" si="99"/>
        <v>51201.9230769231</v>
      </c>
      <c r="Q112" s="17" t="str">
        <f t="shared" si="100"/>
        <v>1+25.5730659318193i</v>
      </c>
      <c r="R112" s="17">
        <f t="shared" si="110"/>
        <v>25.592610284087414</v>
      </c>
      <c r="S112" s="17">
        <f t="shared" si="111"/>
        <v>1.5317125981749666</v>
      </c>
      <c r="T112" s="17" t="str">
        <f t="shared" si="101"/>
        <v>1+1.64172768945013E-09i</v>
      </c>
      <c r="U112" s="17">
        <f t="shared" si="112"/>
        <v>1</v>
      </c>
      <c r="V112" s="17">
        <f t="shared" si="113"/>
        <v>1.64172768945013E-9</v>
      </c>
      <c r="W112" s="31" t="str">
        <f t="shared" si="102"/>
        <v>1-0.00088653295230307i</v>
      </c>
      <c r="X112" s="17">
        <f t="shared" si="114"/>
        <v>1.0000003929702606</v>
      </c>
      <c r="Y112" s="17">
        <f t="shared" si="115"/>
        <v>-8.865327200490771E-4</v>
      </c>
      <c r="Z112" s="31" t="str">
        <f t="shared" si="103"/>
        <v>0.9999969656897+0.0540994370514668i</v>
      </c>
      <c r="AA112" s="17">
        <f t="shared" si="116"/>
        <v>1.0014592754964589</v>
      </c>
      <c r="AB112" s="17">
        <f t="shared" si="117"/>
        <v>5.4046914723026092E-2</v>
      </c>
      <c r="AC112" s="66" t="str">
        <f t="shared" si="118"/>
        <v>-31.6622592297721-1997.48724179969i</v>
      </c>
      <c r="AD112" s="64">
        <f t="shared" si="119"/>
        <v>66.010771334238044</v>
      </c>
      <c r="AE112" s="61">
        <f t="shared" si="120"/>
        <v>-90.908121900971196</v>
      </c>
      <c r="AF112" s="31" t="str">
        <f t="shared" si="104"/>
        <v>-0.332666666666667</v>
      </c>
      <c r="AG112" s="31" t="str">
        <f t="shared" si="121"/>
        <v>547.242563150043i</v>
      </c>
      <c r="AH112" s="31">
        <f t="shared" si="122"/>
        <v>547.242563150043</v>
      </c>
      <c r="AI112" s="31">
        <f t="shared" si="123"/>
        <v>1.5707963267948966</v>
      </c>
      <c r="AJ112" s="31" t="str">
        <f t="shared" si="105"/>
        <v>0.984022117155834+4.51281773801225i</v>
      </c>
      <c r="AK112" s="31">
        <f t="shared" si="124"/>
        <v>4.6188552113667569</v>
      </c>
      <c r="AL112" s="31">
        <f t="shared" si="125"/>
        <v>1.3561062908257586</v>
      </c>
      <c r="AM112" s="31" t="str">
        <f t="shared" si="106"/>
        <v>1+16419.0499604059i</v>
      </c>
      <c r="AN112" s="31">
        <f t="shared" si="126"/>
        <v>16419.04999085833</v>
      </c>
      <c r="AO112" s="31">
        <f t="shared" si="127"/>
        <v>1.5707354219312673</v>
      </c>
      <c r="AP112" s="31" t="str">
        <f t="shared" si="107"/>
        <v>1+1.77306590460614i</v>
      </c>
      <c r="AQ112" s="31">
        <f t="shared" si="128"/>
        <v>2.0356234185322171</v>
      </c>
      <c r="AR112" s="31">
        <f t="shared" si="129"/>
        <v>1.0572720547813161</v>
      </c>
      <c r="AS112" s="58" t="str">
        <f t="shared" si="130"/>
        <v>-4.20382897330711+1.29530934615145i</v>
      </c>
      <c r="AT112" s="49">
        <f t="shared" si="131"/>
        <v>12.86681066741105</v>
      </c>
      <c r="AU112" s="61">
        <f t="shared" si="132"/>
        <v>162.87456990899946</v>
      </c>
      <c r="AV112" s="58" t="str">
        <f t="shared" si="108"/>
        <v>2720.4666158319+8356.08232058825i</v>
      </c>
      <c r="AW112" s="64">
        <f t="shared" si="133"/>
        <v>78.877582001649102</v>
      </c>
      <c r="AX112" s="61">
        <f t="shared" si="134"/>
        <v>71.966448008028237</v>
      </c>
    </row>
    <row r="113" spans="14:50" x14ac:dyDescent="0.3">
      <c r="N113" s="10">
        <v>95</v>
      </c>
      <c r="O113" s="50">
        <f t="shared" si="109"/>
        <v>89.125093813374562</v>
      </c>
      <c r="P113" s="48" t="str">
        <f t="shared" si="99"/>
        <v>51201.9230769231</v>
      </c>
      <c r="Q113" s="17" t="str">
        <f t="shared" si="100"/>
        <v>1+26.1687391591644i</v>
      </c>
      <c r="R113" s="17">
        <f t="shared" si="110"/>
        <v>26.187838955904404</v>
      </c>
      <c r="S113" s="17">
        <f t="shared" si="111"/>
        <v>1.5326013773974587</v>
      </c>
      <c r="T113" s="17" t="str">
        <f t="shared" si="101"/>
        <v>1+1.67996843984759E-09i</v>
      </c>
      <c r="U113" s="17">
        <f t="shared" si="112"/>
        <v>1</v>
      </c>
      <c r="V113" s="17">
        <f t="shared" si="113"/>
        <v>1.6799684398475899E-9</v>
      </c>
      <c r="W113" s="31" t="str">
        <f t="shared" si="102"/>
        <v>1-0.000907182957517699i</v>
      </c>
      <c r="X113" s="17">
        <f t="shared" si="114"/>
        <v>1.0000004114903744</v>
      </c>
      <c r="Y113" s="17">
        <f t="shared" si="115"/>
        <v>-9.0718270865306741E-4</v>
      </c>
      <c r="Z113" s="31" t="str">
        <f t="shared" si="103"/>
        <v>0.999996822687061+0.0553595748210997i</v>
      </c>
      <c r="AA113" s="17">
        <f t="shared" si="116"/>
        <v>1.0015279965675401</v>
      </c>
      <c r="AB113" s="17">
        <f t="shared" si="117"/>
        <v>5.5303300768511199E-2</v>
      </c>
      <c r="AC113" s="66" t="str">
        <f t="shared" si="118"/>
        <v>-35.1679703321059-1951.88045354202i</v>
      </c>
      <c r="AD113" s="64">
        <f t="shared" si="119"/>
        <v>65.810473919693052</v>
      </c>
      <c r="AE113" s="61">
        <f t="shared" si="120"/>
        <v>-91.032213972187307</v>
      </c>
      <c r="AF113" s="31" t="str">
        <f t="shared" si="104"/>
        <v>-0.332666666666667</v>
      </c>
      <c r="AG113" s="31" t="str">
        <f t="shared" si="121"/>
        <v>559.989479949197i</v>
      </c>
      <c r="AH113" s="31">
        <f t="shared" si="122"/>
        <v>559.98947994919695</v>
      </c>
      <c r="AI113" s="31">
        <f t="shared" si="123"/>
        <v>1.5707963267948966</v>
      </c>
      <c r="AJ113" s="31" t="str">
        <f t="shared" si="105"/>
        <v>0.983269102736461+4.61793476674822i</v>
      </c>
      <c r="AK113" s="31">
        <f t="shared" si="124"/>
        <v>4.721455245826025</v>
      </c>
      <c r="AL113" s="31">
        <f t="shared" si="125"/>
        <v>1.361005296055142</v>
      </c>
      <c r="AM113" s="31" t="str">
        <f t="shared" si="106"/>
        <v>1+16801.498764391i</v>
      </c>
      <c r="AN113" s="31">
        <f t="shared" si="126"/>
        <v>16801.498794150248</v>
      </c>
      <c r="AO113" s="31">
        <f t="shared" si="127"/>
        <v>1.5707368082952173</v>
      </c>
      <c r="AP113" s="31" t="str">
        <f t="shared" si="107"/>
        <v>1+1.8143659150354i</v>
      </c>
      <c r="AQ113" s="31">
        <f t="shared" si="128"/>
        <v>2.0716958448677363</v>
      </c>
      <c r="AR113" s="31">
        <f t="shared" si="129"/>
        <v>1.0670654587721851</v>
      </c>
      <c r="AS113" s="58" t="str">
        <f t="shared" si="130"/>
        <v>-4.19161624605231+1.26911037741997i</v>
      </c>
      <c r="AT113" s="49">
        <f t="shared" si="131"/>
        <v>12.828551218276781</v>
      </c>
      <c r="AU113" s="61">
        <f t="shared" si="132"/>
        <v>163.15507773408984</v>
      </c>
      <c r="AV113" s="58" t="str">
        <f t="shared" si="108"/>
        <v>2624.56237485812+8136.90178331741i</v>
      </c>
      <c r="AW113" s="64">
        <f t="shared" si="133"/>
        <v>78.639025137969838</v>
      </c>
      <c r="AX113" s="61">
        <f t="shared" si="134"/>
        <v>72.122863761902494</v>
      </c>
    </row>
    <row r="114" spans="14:50" x14ac:dyDescent="0.3">
      <c r="N114" s="10">
        <v>96</v>
      </c>
      <c r="O114" s="50">
        <f t="shared" si="109"/>
        <v>91.201083935590972</v>
      </c>
      <c r="P114" s="48" t="str">
        <f t="shared" si="99"/>
        <v>51201.9230769231</v>
      </c>
      <c r="Q114" s="17" t="str">
        <f t="shared" si="100"/>
        <v>1+26.7782873983959i</v>
      </c>
      <c r="R114" s="17">
        <f t="shared" si="110"/>
        <v>26.796952737038751</v>
      </c>
      <c r="S114" s="17">
        <f t="shared" si="111"/>
        <v>1.5334699838752979</v>
      </c>
      <c r="T114" s="17" t="str">
        <f t="shared" si="101"/>
        <v>1+1.71909993174887E-09i</v>
      </c>
      <c r="U114" s="17">
        <f t="shared" si="112"/>
        <v>1</v>
      </c>
      <c r="V114" s="17">
        <f t="shared" si="113"/>
        <v>1.71909993174887E-9</v>
      </c>
      <c r="W114" s="31" t="str">
        <f t="shared" si="102"/>
        <v>1-0.00092831396314439i</v>
      </c>
      <c r="X114" s="17">
        <f t="shared" si="114"/>
        <v>1.0000004308833141</v>
      </c>
      <c r="Y114" s="17">
        <f t="shared" si="115"/>
        <v>-9.2831369648113909E-4</v>
      </c>
      <c r="Z114" s="31" t="str">
        <f t="shared" si="103"/>
        <v>0.999996672944916+0.0566490649700734i</v>
      </c>
      <c r="AA114" s="17">
        <f t="shared" si="116"/>
        <v>1.0015999513093463</v>
      </c>
      <c r="AB114" s="17">
        <f t="shared" si="117"/>
        <v>5.6588771437301712E-2</v>
      </c>
      <c r="AC114" s="66" t="str">
        <f t="shared" si="118"/>
        <v>-38.5149637681039-1907.2965594371i</v>
      </c>
      <c r="AD114" s="64">
        <f t="shared" si="119"/>
        <v>65.610135098361141</v>
      </c>
      <c r="AE114" s="61">
        <f t="shared" si="120"/>
        <v>-91.156844215612196</v>
      </c>
      <c r="AF114" s="31" t="str">
        <f t="shared" si="104"/>
        <v>-0.332666666666667</v>
      </c>
      <c r="AG114" s="31" t="str">
        <f t="shared" si="121"/>
        <v>573.033310582957i</v>
      </c>
      <c r="AH114" s="31">
        <f t="shared" si="122"/>
        <v>573.03331058295703</v>
      </c>
      <c r="AI114" s="31">
        <f t="shared" si="123"/>
        <v>1.5707963267948966</v>
      </c>
      <c r="AJ114" s="31" t="str">
        <f t="shared" si="105"/>
        <v>0.982480599840841+4.72550028562311i</v>
      </c>
      <c r="AK114" s="31">
        <f t="shared" si="124"/>
        <v>4.8265537476016691</v>
      </c>
      <c r="AL114" s="31">
        <f t="shared" si="125"/>
        <v>1.3658063233523887</v>
      </c>
      <c r="AM114" s="31" t="str">
        <f t="shared" si="106"/>
        <v>1+17192.855945415i</v>
      </c>
      <c r="AN114" s="31">
        <f t="shared" si="126"/>
        <v>17192.855974496848</v>
      </c>
      <c r="AO114" s="31">
        <f t="shared" si="127"/>
        <v>1.5707381631016715</v>
      </c>
      <c r="AP114" s="31" t="str">
        <f t="shared" si="107"/>
        <v>1+1.85662792628878i</v>
      </c>
      <c r="AQ114" s="31">
        <f t="shared" si="128"/>
        <v>2.1088070695716512</v>
      </c>
      <c r="AR114" s="31">
        <f t="shared" si="129"/>
        <v>1.0767391916533309</v>
      </c>
      <c r="AS114" s="58" t="str">
        <f t="shared" si="130"/>
        <v>-4.17990467461484+1.24335627401875i</v>
      </c>
      <c r="AT114" s="49">
        <f t="shared" si="131"/>
        <v>12.791542907292966</v>
      </c>
      <c r="AU114" s="61">
        <f t="shared" si="132"/>
        <v>163.43434082354904</v>
      </c>
      <c r="AV114" s="58" t="str">
        <f t="shared" si="108"/>
        <v>2532.43802068741+7924.42998282326i</v>
      </c>
      <c r="AW114" s="64">
        <f t="shared" si="133"/>
        <v>78.401678005654119</v>
      </c>
      <c r="AX114" s="61">
        <f t="shared" si="134"/>
        <v>72.277496607936854</v>
      </c>
    </row>
    <row r="115" spans="14:50" x14ac:dyDescent="0.3">
      <c r="N115" s="10">
        <v>97</v>
      </c>
      <c r="O115" s="50">
        <f t="shared" si="109"/>
        <v>93.325430079699174</v>
      </c>
      <c r="P115" s="48" t="str">
        <f t="shared" si="99"/>
        <v>51201.9230769231</v>
      </c>
      <c r="Q115" s="17" t="str">
        <f t="shared" si="100"/>
        <v>1+27.4020338400586i</v>
      </c>
      <c r="R115" s="17">
        <f t="shared" si="110"/>
        <v>27.420274589648383</v>
      </c>
      <c r="S115" s="17">
        <f t="shared" si="111"/>
        <v>1.5343188729093939</v>
      </c>
      <c r="T115" s="17" t="str">
        <f t="shared" si="101"/>
        <v>1+1.75914291318895E-09i</v>
      </c>
      <c r="U115" s="17">
        <f t="shared" si="112"/>
        <v>1</v>
      </c>
      <c r="V115" s="17">
        <f t="shared" si="113"/>
        <v>1.7591429131889499E-9</v>
      </c>
      <c r="W115" s="31" t="str">
        <f t="shared" si="102"/>
        <v>1-0.000949937173122031i</v>
      </c>
      <c r="X115" s="17">
        <f t="shared" si="114"/>
        <v>1.0000004511902147</v>
      </c>
      <c r="Y115" s="17">
        <f t="shared" si="115"/>
        <v>-9.4993688738721652E-4</v>
      </c>
      <c r="Z115" s="31" t="str">
        <f t="shared" si="103"/>
        <v>0.99999651614564+0.0579685912031334i</v>
      </c>
      <c r="AA115" s="17">
        <f t="shared" si="116"/>
        <v>1.0016752916337175</v>
      </c>
      <c r="AB115" s="17">
        <f t="shared" si="117"/>
        <v>5.7903991353135453E-2</v>
      </c>
      <c r="AC115" s="66" t="str">
        <f t="shared" si="118"/>
        <v>-41.7102786270978-1863.71273129783i</v>
      </c>
      <c r="AD115" s="64">
        <f t="shared" si="119"/>
        <v>65.409754161346541</v>
      </c>
      <c r="AE115" s="61">
        <f t="shared" si="120"/>
        <v>-91.282077440133904</v>
      </c>
      <c r="AF115" s="31" t="str">
        <f t="shared" si="104"/>
        <v>-0.332666666666667</v>
      </c>
      <c r="AG115" s="31" t="str">
        <f t="shared" si="121"/>
        <v>586.380971062982i</v>
      </c>
      <c r="AH115" s="31">
        <f t="shared" si="122"/>
        <v>586.38097106298198</v>
      </c>
      <c r="AI115" s="31">
        <f t="shared" si="123"/>
        <v>1.5707963267948966</v>
      </c>
      <c r="AJ115" s="31" t="str">
        <f t="shared" si="105"/>
        <v>0.981654935948618+4.83557132729883i</v>
      </c>
      <c r="AK115" s="31">
        <f t="shared" si="124"/>
        <v>4.9342067725893743</v>
      </c>
      <c r="AL115" s="31">
        <f t="shared" si="125"/>
        <v>1.3705110784918084</v>
      </c>
      <c r="AM115" s="31" t="str">
        <f t="shared" si="106"/>
        <v>1+17593.3290062357i</v>
      </c>
      <c r="AN115" s="31">
        <f t="shared" si="126"/>
        <v>17593.329034655562</v>
      </c>
      <c r="AO115" s="31">
        <f t="shared" si="127"/>
        <v>1.5707394870689659</v>
      </c>
      <c r="AP115" s="31" t="str">
        <f t="shared" si="107"/>
        <v>1+1.89987434624406i</v>
      </c>
      <c r="AQ115" s="31">
        <f t="shared" si="128"/>
        <v>2.1469798628576591</v>
      </c>
      <c r="AR115" s="31">
        <f t="shared" si="129"/>
        <v>1.0862911395662058</v>
      </c>
      <c r="AS115" s="58" t="str">
        <f t="shared" si="130"/>
        <v>-4.1686756744996+1.21804730591136i</v>
      </c>
      <c r="AT115" s="49">
        <f t="shared" si="131"/>
        <v>12.755761385753795</v>
      </c>
      <c r="AU115" s="61">
        <f t="shared" si="132"/>
        <v>163.71214036969241</v>
      </c>
      <c r="AV115" s="58" t="str">
        <f t="shared" si="108"/>
        <v>2443.96689523941+7718.40883470592i</v>
      </c>
      <c r="AW115" s="64">
        <f t="shared" si="133"/>
        <v>78.165515547100327</v>
      </c>
      <c r="AX115" s="61">
        <f t="shared" si="134"/>
        <v>72.430062929558474</v>
      </c>
    </row>
    <row r="116" spans="14:50" x14ac:dyDescent="0.3">
      <c r="N116" s="10">
        <v>98</v>
      </c>
      <c r="O116" s="50">
        <f t="shared" si="109"/>
        <v>95.499258602143655</v>
      </c>
      <c r="P116" s="48" t="str">
        <f t="shared" si="99"/>
        <v>51201.9230769231</v>
      </c>
      <c r="Q116" s="17" t="str">
        <f t="shared" si="100"/>
        <v>1+28.040309202772i</v>
      </c>
      <c r="R116" s="17">
        <f t="shared" si="110"/>
        <v>28.058135009067513</v>
      </c>
      <c r="S116" s="17">
        <f t="shared" si="111"/>
        <v>1.5351484896953942</v>
      </c>
      <c r="T116" s="17" t="str">
        <f t="shared" si="101"/>
        <v>1+1.8001186154866E-09i</v>
      </c>
      <c r="U116" s="17">
        <f t="shared" si="112"/>
        <v>1</v>
      </c>
      <c r="V116" s="17">
        <f t="shared" si="113"/>
        <v>1.8001186154866001E-9</v>
      </c>
      <c r="W116" s="31" t="str">
        <f t="shared" si="102"/>
        <v>1-0.000972064052362763i</v>
      </c>
      <c r="X116" s="17">
        <f t="shared" si="114"/>
        <v>1.0000004724541494</v>
      </c>
      <c r="Y116" s="17">
        <f t="shared" si="115"/>
        <v>-9.7206374619240095E-4</v>
      </c>
      <c r="Z116" s="31" t="str">
        <f t="shared" si="103"/>
        <v>0.999996351956643+0.0593188531505541i</v>
      </c>
      <c r="AA116" s="17">
        <f t="shared" si="116"/>
        <v>1.0017541765651348</v>
      </c>
      <c r="AB116" s="17">
        <f t="shared" si="117"/>
        <v>5.9249639708971617E-2</v>
      </c>
      <c r="AC116" s="66" t="str">
        <f t="shared" si="118"/>
        <v>-44.7606376772319-1821.1066180769i</v>
      </c>
      <c r="AD116" s="64">
        <f t="shared" si="119"/>
        <v>65.20933031183624</v>
      </c>
      <c r="AE116" s="61">
        <f t="shared" si="120"/>
        <v>-91.407978725358731</v>
      </c>
      <c r="AF116" s="31" t="str">
        <f t="shared" si="104"/>
        <v>-0.332666666666667</v>
      </c>
      <c r="AG116" s="31" t="str">
        <f t="shared" si="121"/>
        <v>600.039538495533i</v>
      </c>
      <c r="AH116" s="31">
        <f t="shared" si="122"/>
        <v>600.03953849553295</v>
      </c>
      <c r="AI116" s="31">
        <f t="shared" si="123"/>
        <v>1.5707963267948966</v>
      </c>
      <c r="AJ116" s="31" t="str">
        <f t="shared" si="105"/>
        <v>0.980790359715975+4.94820625289864i</v>
      </c>
      <c r="AK116" s="31">
        <f t="shared" si="124"/>
        <v>5.0444717117788453</v>
      </c>
      <c r="AL116" s="31">
        <f t="shared" si="125"/>
        <v>1.3751212675883646</v>
      </c>
      <c r="AM116" s="31" t="str">
        <f t="shared" si="106"/>
        <v>1+18003.1302829707i</v>
      </c>
      <c r="AN116" s="31">
        <f t="shared" si="126"/>
        <v>18003.130310743647</v>
      </c>
      <c r="AO116" s="31">
        <f t="shared" si="127"/>
        <v>1.5707407808990854</v>
      </c>
      <c r="AP116" s="31" t="str">
        <f t="shared" si="107"/>
        <v>1+1.94412810472553i</v>
      </c>
      <c r="AQ116" s="31">
        <f t="shared" si="128"/>
        <v>2.186237427084186</v>
      </c>
      <c r="AR116" s="31">
        <f t="shared" si="129"/>
        <v>1.0957193941209287</v>
      </c>
      <c r="AS116" s="58" t="str">
        <f t="shared" si="130"/>
        <v>-4.15791117959486+1.19318318128705i</v>
      </c>
      <c r="AT116" s="49">
        <f t="shared" si="131"/>
        <v>12.721181543342128</v>
      </c>
      <c r="AU116" s="61">
        <f t="shared" si="132"/>
        <v>163.9882693168685</v>
      </c>
      <c r="AV116" s="58" t="str">
        <f t="shared" si="108"/>
        <v>2359.02454382385+7518.59192647597i</v>
      </c>
      <c r="AW116" s="64">
        <f t="shared" si="133"/>
        <v>77.930511855178366</v>
      </c>
      <c r="AX116" s="61">
        <f t="shared" si="134"/>
        <v>72.580290591509765</v>
      </c>
    </row>
    <row r="117" spans="14:50" x14ac:dyDescent="0.3">
      <c r="N117" s="10">
        <v>99</v>
      </c>
      <c r="O117" s="50">
        <f t="shared" si="109"/>
        <v>97.723722095581124</v>
      </c>
      <c r="P117" s="48" t="str">
        <f t="shared" si="99"/>
        <v>51201.9230769231</v>
      </c>
      <c r="Q117" s="17" t="str">
        <f t="shared" si="100"/>
        <v>1+28.6934519085821i</v>
      </c>
      <c r="R117" s="17">
        <f t="shared" si="110"/>
        <v>28.710872199048811</v>
      </c>
      <c r="S117" s="17">
        <f t="shared" si="111"/>
        <v>1.5359592695365278</v>
      </c>
      <c r="T117" s="17" t="str">
        <f t="shared" si="101"/>
        <v>1+1.84204876450157E-09i</v>
      </c>
      <c r="U117" s="17">
        <f t="shared" si="112"/>
        <v>1</v>
      </c>
      <c r="V117" s="17">
        <f t="shared" si="113"/>
        <v>1.84204876450157E-9</v>
      </c>
      <c r="W117" s="31" t="str">
        <f t="shared" si="102"/>
        <v>1-0.000994706332830847i</v>
      </c>
      <c r="X117" s="17">
        <f t="shared" si="114"/>
        <v>1.0000004947202219</v>
      </c>
      <c r="Y117" s="17">
        <f t="shared" si="115"/>
        <v>-9.9470600476340206E-4</v>
      </c>
      <c r="Z117" s="31" t="str">
        <f t="shared" si="103"/>
        <v>0.999996180029656+0.0607005667390931i</v>
      </c>
      <c r="AA117" s="17">
        <f t="shared" si="116"/>
        <v>1.0018367725714361</v>
      </c>
      <c r="AB117" s="17">
        <f t="shared" si="117"/>
        <v>6.0626410541957033E-2</v>
      </c>
      <c r="AC117" s="66" t="str">
        <f t="shared" si="118"/>
        <v>-47.6724611622355-1779.45633758842i</v>
      </c>
      <c r="AD117" s="64">
        <f t="shared" si="119"/>
        <v>65.008862663503322</v>
      </c>
      <c r="AE117" s="61">
        <f t="shared" si="120"/>
        <v>-91.534613449909102</v>
      </c>
      <c r="AF117" s="31" t="str">
        <f t="shared" si="104"/>
        <v>-0.332666666666667</v>
      </c>
      <c r="AG117" s="31" t="str">
        <f t="shared" si="121"/>
        <v>614.016254833856i</v>
      </c>
      <c r="AH117" s="31">
        <f t="shared" si="122"/>
        <v>614.01625483385601</v>
      </c>
      <c r="AI117" s="31">
        <f t="shared" si="123"/>
        <v>1.5707963267948966</v>
      </c>
      <c r="AJ117" s="31" t="str">
        <f t="shared" si="105"/>
        <v>0.979885037260809+5.06346478295099i</v>
      </c>
      <c r="AK117" s="31">
        <f t="shared" si="124"/>
        <v>5.1574073229126025</v>
      </c>
      <c r="AL117" s="31">
        <f t="shared" si="125"/>
        <v>1.3796385950476053</v>
      </c>
      <c r="AM117" s="31" t="str">
        <f t="shared" si="106"/>
        <v>1+18422.4770576814i</v>
      </c>
      <c r="AN117" s="31">
        <f t="shared" si="126"/>
        <v>18422.47708482216</v>
      </c>
      <c r="AO117" s="31">
        <f t="shared" si="127"/>
        <v>1.5707420452780361</v>
      </c>
      <c r="AP117" s="31" t="str">
        <f t="shared" si="107"/>
        <v>1+1.98941266566169i</v>
      </c>
      <c r="AQ117" s="31">
        <f t="shared" si="128"/>
        <v>2.2266034119921652</v>
      </c>
      <c r="AR117" s="31">
        <f t="shared" si="129"/>
        <v>1.105022248662203</v>
      </c>
      <c r="AS117" s="58" t="str">
        <f t="shared" si="130"/>
        <v>-4.14759364283645+1.16876308662654i</v>
      </c>
      <c r="AT117" s="49">
        <f t="shared" si="131"/>
        <v>12.687777617241178</v>
      </c>
      <c r="AU117" s="61">
        <f t="shared" si="132"/>
        <v>164.26253226499196</v>
      </c>
      <c r="AV117" s="58" t="str">
        <f t="shared" si="108"/>
        <v>2277.48887849186+7324.7439806317i</v>
      </c>
      <c r="AW117" s="64">
        <f t="shared" si="133"/>
        <v>77.696640280744489</v>
      </c>
      <c r="AX117" s="61">
        <f t="shared" si="134"/>
        <v>72.727918815082816</v>
      </c>
    </row>
    <row r="118" spans="14:50" x14ac:dyDescent="0.3">
      <c r="N118" s="10">
        <v>100</v>
      </c>
      <c r="O118" s="50">
        <f t="shared" si="109"/>
        <v>100</v>
      </c>
      <c r="P118" s="48" t="str">
        <f t="shared" si="99"/>
        <v>51201.9230769231</v>
      </c>
      <c r="Q118" s="17" t="str">
        <f t="shared" si="100"/>
        <v>1+29.3618082623969i</v>
      </c>
      <c r="R118" s="17">
        <f t="shared" si="110"/>
        <v>29.378832251091243</v>
      </c>
      <c r="S118" s="17">
        <f t="shared" si="111"/>
        <v>1.5367516380527442</v>
      </c>
      <c r="T118" s="17" t="str">
        <f t="shared" si="101"/>
        <v>1+1.88495559215388E-09i</v>
      </c>
      <c r="U118" s="17">
        <f t="shared" si="112"/>
        <v>1</v>
      </c>
      <c r="V118" s="17">
        <f t="shared" si="113"/>
        <v>1.88495559215388E-9</v>
      </c>
      <c r="W118" s="31" t="str">
        <f t="shared" si="102"/>
        <v>1-0.00101787601976309i</v>
      </c>
      <c r="X118" s="17">
        <f t="shared" si="114"/>
        <v>1.0000005180356617</v>
      </c>
      <c r="Y118" s="17">
        <f t="shared" si="115"/>
        <v>-1.0178756682324994E-3</v>
      </c>
      <c r="Z118" s="31" t="str">
        <f t="shared" si="103"/>
        <v>0.999996+0.0621144645715842i</v>
      </c>
      <c r="AA118" s="17">
        <f t="shared" si="116"/>
        <v>1.0019232539097067</v>
      </c>
      <c r="AB118" s="17">
        <f t="shared" si="117"/>
        <v>6.2035013010287951E-2</v>
      </c>
      <c r="AC118" s="66" t="str">
        <f t="shared" si="118"/>
        <v>-50.4518799980584-1738.74046824651i</v>
      </c>
      <c r="AD118" s="64">
        <f t="shared" si="119"/>
        <v>64.808350238733908</v>
      </c>
      <c r="AE118" s="61">
        <f t="shared" si="120"/>
        <v>-91.662047319625557</v>
      </c>
      <c r="AF118" s="31" t="str">
        <f t="shared" si="104"/>
        <v>-0.332666666666667</v>
      </c>
      <c r="AG118" s="31" t="str">
        <f t="shared" si="121"/>
        <v>628.318530717959i</v>
      </c>
      <c r="AH118" s="31">
        <f t="shared" si="122"/>
        <v>628.31853071795899</v>
      </c>
      <c r="AI118" s="31">
        <f t="shared" si="123"/>
        <v>1.5707963267948966</v>
      </c>
      <c r="AJ118" s="31" t="str">
        <f t="shared" si="105"/>
        <v>0.978937048272813+5.18140802905413i</v>
      </c>
      <c r="AK118" s="31">
        <f t="shared" si="124"/>
        <v>5.273073762809287</v>
      </c>
      <c r="AL118" s="31">
        <f t="shared" si="125"/>
        <v>1.3840647616647803</v>
      </c>
      <c r="AM118" s="31" t="str">
        <f t="shared" si="106"/>
        <v>1+18851.5916735783i</v>
      </c>
      <c r="AN118" s="31">
        <f t="shared" si="126"/>
        <v>18851.59170010126</v>
      </c>
      <c r="AO118" s="31">
        <f t="shared" si="127"/>
        <v>1.5707432808762083</v>
      </c>
      <c r="AP118" s="31" t="str">
        <f t="shared" si="107"/>
        <v>1+2.03575203952619i</v>
      </c>
      <c r="AQ118" s="31">
        <f t="shared" si="128"/>
        <v>2.2681019303450718</v>
      </c>
      <c r="AR118" s="31">
        <f t="shared" si="129"/>
        <v>1.1141981939914964</v>
      </c>
      <c r="AS118" s="58" t="str">
        <f t="shared" si="130"/>
        <v>-4.1377060351874+1.14478572504468i</v>
      </c>
      <c r="AT118" s="49">
        <f t="shared" si="131"/>
        <v>12.655523296795526</v>
      </c>
      <c r="AU118" s="61">
        <f t="shared" si="132"/>
        <v>164.53474533337794</v>
      </c>
      <c r="AV118" s="58" t="str">
        <f t="shared" si="108"/>
        <v>2199.24031596062+7136.64033706471i</v>
      </c>
      <c r="AW118" s="64">
        <f t="shared" si="133"/>
        <v>77.463873535529444</v>
      </c>
      <c r="AX118" s="61">
        <f t="shared" si="134"/>
        <v>72.872698013752427</v>
      </c>
    </row>
    <row r="119" spans="14:50" x14ac:dyDescent="0.3">
      <c r="N119" s="10">
        <v>1</v>
      </c>
      <c r="O119" s="50">
        <f>10^(2+(N119/100))</f>
        <v>102.32929922807544</v>
      </c>
      <c r="P119" s="48" t="str">
        <f t="shared" si="99"/>
        <v>51201.9230769231</v>
      </c>
      <c r="Q119" s="17" t="str">
        <f t="shared" si="100"/>
        <v>1+30.0457326356019i</v>
      </c>
      <c r="R119" s="17">
        <f t="shared" si="110"/>
        <v>30.062369327950069</v>
      </c>
      <c r="S119" s="17">
        <f t="shared" si="111"/>
        <v>1.5375260113861493</v>
      </c>
      <c r="T119" s="17" t="str">
        <f t="shared" si="101"/>
        <v>1+1.92886184821148E-09i</v>
      </c>
      <c r="U119" s="17">
        <f t="shared" si="112"/>
        <v>1</v>
      </c>
      <c r="V119" s="17">
        <f t="shared" si="113"/>
        <v>1.9288618482114801E-9</v>
      </c>
      <c r="W119" s="31" t="str">
        <f t="shared" si="102"/>
        <v>1-0.0010415853980342i</v>
      </c>
      <c r="X119" s="17">
        <f t="shared" si="114"/>
        <v>1.0000005424499236</v>
      </c>
      <c r="Y119" s="17">
        <f t="shared" si="115"/>
        <v>-1.0415850213623967E-3</v>
      </c>
      <c r="Z119" s="31" t="str">
        <f t="shared" si="103"/>
        <v>0.999995811485808+0.0635612963153733i</v>
      </c>
      <c r="AA119" s="17">
        <f t="shared" si="116"/>
        <v>1.0020138029879879</v>
      </c>
      <c r="AB119" s="17">
        <f t="shared" si="117"/>
        <v>6.3476171671705786E-2</v>
      </c>
      <c r="AC119" s="66" t="str">
        <f t="shared" si="118"/>
        <v>-53.1047483938392-1698.93804083155i</v>
      </c>
      <c r="AD119" s="64">
        <f t="shared" si="119"/>
        <v>64.607791966673545</v>
      </c>
      <c r="AE119" s="61">
        <f t="shared" si="120"/>
        <v>-91.790346395658787</v>
      </c>
      <c r="AF119" s="31" t="str">
        <f t="shared" si="104"/>
        <v>-0.332666666666667</v>
      </c>
      <c r="AG119" s="31" t="str">
        <f t="shared" si="121"/>
        <v>642.953949403827i</v>
      </c>
      <c r="AH119" s="31">
        <f t="shared" si="122"/>
        <v>642.95394940382698</v>
      </c>
      <c r="AI119" s="31">
        <f t="shared" si="123"/>
        <v>1.5707963267948966</v>
      </c>
      <c r="AJ119" s="31" t="str">
        <f t="shared" si="105"/>
        <v>0.977944381940245+5.30209852627833i</v>
      </c>
      <c r="AK119" s="31">
        <f t="shared" si="124"/>
        <v>5.391532620371625</v>
      </c>
      <c r="AL119" s="31">
        <f t="shared" si="125"/>
        <v>1.3884014628666126</v>
      </c>
      <c r="AM119" s="31" t="str">
        <f t="shared" si="106"/>
        <v>1+19290.7016529109i</v>
      </c>
      <c r="AN119" s="31">
        <f t="shared" si="126"/>
        <v>19290.701678830119</v>
      </c>
      <c r="AO119" s="31">
        <f t="shared" si="127"/>
        <v>1.5707444883487325</v>
      </c>
      <c r="AP119" s="31" t="str">
        <f t="shared" si="107"/>
        <v>1+2.0831707960684i</v>
      </c>
      <c r="AQ119" s="31">
        <f t="shared" si="128"/>
        <v>2.3107575739554016</v>
      </c>
      <c r="AR119" s="31">
        <f t="shared" si="129"/>
        <v>1.1232459136008766</v>
      </c>
      <c r="AS119" s="58" t="str">
        <f t="shared" si="130"/>
        <v>-4.12823184310194+1.12124935291698i</v>
      </c>
      <c r="AT119" s="49">
        <f t="shared" si="131"/>
        <v>12.624391823473042</v>
      </c>
      <c r="AU119" s="61">
        <f t="shared" si="132"/>
        <v>164.80473598841843</v>
      </c>
      <c r="AV119" s="58" t="str">
        <f t="shared" si="108"/>
        <v>2124.16189226778+6954.06645484462i</v>
      </c>
      <c r="AW119" s="64">
        <f t="shared" si="133"/>
        <v>77.232183790146578</v>
      </c>
      <c r="AX119" s="61">
        <f t="shared" si="134"/>
        <v>73.014389592759656</v>
      </c>
    </row>
    <row r="120" spans="14:50" x14ac:dyDescent="0.3">
      <c r="N120" s="10">
        <v>2</v>
      </c>
      <c r="O120" s="50">
        <f t="shared" ref="O120:O183" si="135">10^(2+(N120/100))</f>
        <v>104.71285480508998</v>
      </c>
      <c r="P120" s="48" t="str">
        <f t="shared" si="99"/>
        <v>51201.9230769231</v>
      </c>
      <c r="Q120" s="17" t="str">
        <f t="shared" si="100"/>
        <v>1+30.7455876539526i</v>
      </c>
      <c r="R120" s="17">
        <f t="shared" si="110"/>
        <v>30.7618458514258</v>
      </c>
      <c r="S120" s="17">
        <f t="shared" si="111"/>
        <v>1.538282796402763</v>
      </c>
      <c r="T120" s="17" t="str">
        <f t="shared" si="101"/>
        <v>1+1.97379081235251E-09i</v>
      </c>
      <c r="U120" s="17">
        <f t="shared" si="112"/>
        <v>1</v>
      </c>
      <c r="V120" s="17">
        <f t="shared" si="113"/>
        <v>1.9737908123525101E-9</v>
      </c>
      <c r="W120" s="31" t="str">
        <f t="shared" si="102"/>
        <v>1-0.00106584703867036i</v>
      </c>
      <c r="X120" s="17">
        <f t="shared" si="114"/>
        <v>1.0000005680147936</v>
      </c>
      <c r="Y120" s="17">
        <f t="shared" si="115"/>
        <v>-1.0658466350592635E-3</v>
      </c>
      <c r="Z120" s="31" t="str">
        <f t="shared" si="103"/>
        <v>0.999995614087215+0.0650418290998021i</v>
      </c>
      <c r="AA120" s="17">
        <f t="shared" si="116"/>
        <v>1.0021086107435233</v>
      </c>
      <c r="AB120" s="17">
        <f t="shared" si="117"/>
        <v>6.4950626763331576E-2</v>
      </c>
      <c r="AC120" s="66" t="str">
        <f t="shared" si="118"/>
        <v>-55.6366559207631-1660.02853029428i</v>
      </c>
      <c r="AD120" s="64">
        <f t="shared" si="119"/>
        <v>64.40718668109001</v>
      </c>
      <c r="AE120" s="61">
        <f t="shared" si="120"/>
        <v>-91.919577122435982</v>
      </c>
      <c r="AF120" s="31" t="str">
        <f t="shared" si="104"/>
        <v>-0.332666666666667</v>
      </c>
      <c r="AG120" s="31" t="str">
        <f t="shared" si="121"/>
        <v>657.930270784171i</v>
      </c>
      <c r="AH120" s="31">
        <f t="shared" si="122"/>
        <v>657.93027078417094</v>
      </c>
      <c r="AI120" s="31">
        <f t="shared" si="123"/>
        <v>1.5707963267948966</v>
      </c>
      <c r="AJ120" s="31" t="str">
        <f t="shared" si="105"/>
        <v>0.976904932684723+5.42560026632273i</v>
      </c>
      <c r="AK120" s="31">
        <f t="shared" si="124"/>
        <v>5.512846950299366</v>
      </c>
      <c r="AL120" s="31">
        <f t="shared" si="125"/>
        <v>1.3926503870892253</v>
      </c>
      <c r="AM120" s="31" t="str">
        <f t="shared" si="106"/>
        <v>1+19740.0398176025i</v>
      </c>
      <c r="AN120" s="31">
        <f t="shared" si="126"/>
        <v>19740.039842931728</v>
      </c>
      <c r="AO120" s="31">
        <f t="shared" si="127"/>
        <v>1.5707456683358263</v>
      </c>
      <c r="AP120" s="31" t="str">
        <f t="shared" si="107"/>
        <v>1+2.13169407734071i</v>
      </c>
      <c r="AQ120" s="31">
        <f t="shared" si="128"/>
        <v>2.3545954300833634</v>
      </c>
      <c r="AR120" s="31">
        <f t="shared" si="129"/>
        <v>1.1321642784736898</v>
      </c>
      <c r="AS120" s="58" t="str">
        <f t="shared" si="130"/>
        <v>-4.11915506463351+1.09815181480454i</v>
      </c>
      <c r="AT120" s="49">
        <f t="shared" si="131"/>
        <v>12.594356085933967</v>
      </c>
      <c r="AU120" s="61">
        <f t="shared" si="132"/>
        <v>165.07234283864204</v>
      </c>
      <c r="AV120" s="58" t="str">
        <f t="shared" si="108"/>
        <v>2052.13935618526+6776.81743332876i</v>
      </c>
      <c r="AW120" s="64">
        <f t="shared" si="133"/>
        <v>77.001542767023977</v>
      </c>
      <c r="AX120" s="61">
        <f t="shared" si="134"/>
        <v>73.152765716206048</v>
      </c>
    </row>
    <row r="121" spans="14:50" x14ac:dyDescent="0.3">
      <c r="N121" s="10">
        <v>3</v>
      </c>
      <c r="O121" s="50">
        <f t="shared" si="135"/>
        <v>107.15193052376065</v>
      </c>
      <c r="P121" s="48" t="str">
        <f t="shared" si="99"/>
        <v>51201.9230769231</v>
      </c>
      <c r="Q121" s="17" t="str">
        <f t="shared" si="100"/>
        <v>1+31.4617443898434i</v>
      </c>
      <c r="R121" s="17">
        <f t="shared" si="110"/>
        <v>31.477632694531568</v>
      </c>
      <c r="S121" s="17">
        <f t="shared" si="111"/>
        <v>1.5390223908906069</v>
      </c>
      <c r="T121" s="17" t="str">
        <f t="shared" si="101"/>
        <v>1+2.01976630650847E-09i</v>
      </c>
      <c r="U121" s="17">
        <f t="shared" si="112"/>
        <v>1</v>
      </c>
      <c r="V121" s="17">
        <f t="shared" si="113"/>
        <v>2.0197663065084701E-9</v>
      </c>
      <c r="W121" s="31" t="str">
        <f t="shared" si="102"/>
        <v>1-0.00109067380551457i</v>
      </c>
      <c r="X121" s="17">
        <f t="shared" si="114"/>
        <v>1.0000005947844981</v>
      </c>
      <c r="Y121" s="17">
        <f t="shared" si="115"/>
        <v>-1.090673373037502E-3</v>
      </c>
      <c r="Z121" s="31" t="str">
        <f t="shared" si="103"/>
        <v>0.999995407385514+0.0665568479229499i</v>
      </c>
      <c r="AA121" s="17">
        <f t="shared" si="116"/>
        <v>1.0022078770382712</v>
      </c>
      <c r="AB121" s="17">
        <f t="shared" si="117"/>
        <v>6.645913448251678E-2</v>
      </c>
      <c r="AC121" s="66" t="str">
        <f t="shared" si="118"/>
        <v>-58.0529390514855-1621.99184760705i</v>
      </c>
      <c r="AD121" s="64">
        <f t="shared" si="119"/>
        <v>64.206533118050174</v>
      </c>
      <c r="AE121" s="61">
        <f t="shared" si="120"/>
        <v>-92.049806355483838</v>
      </c>
      <c r="AF121" s="31" t="str">
        <f t="shared" si="104"/>
        <v>-0.332666666666667</v>
      </c>
      <c r="AG121" s="31" t="str">
        <f t="shared" si="121"/>
        <v>673.255435502821i</v>
      </c>
      <c r="AH121" s="31">
        <f t="shared" si="122"/>
        <v>673.255435502821</v>
      </c>
      <c r="AI121" s="31">
        <f t="shared" si="123"/>
        <v>1.5707963267948966</v>
      </c>
      <c r="AJ121" s="31" t="str">
        <f t="shared" si="105"/>
        <v>0.975816495695016+5.55197873144464i</v>
      </c>
      <c r="AK121" s="31">
        <f t="shared" si="124"/>
        <v>5.6370813075282262</v>
      </c>
      <c r="AL121" s="31">
        <f t="shared" si="125"/>
        <v>1.3968132142858136</v>
      </c>
      <c r="AM121" s="31" t="str">
        <f t="shared" si="106"/>
        <v>1+20199.8444126957i</v>
      </c>
      <c r="AN121" s="31">
        <f t="shared" si="126"/>
        <v>20199.844437448366</v>
      </c>
      <c r="AO121" s="31">
        <f t="shared" si="127"/>
        <v>1.570746821463135</v>
      </c>
      <c r="AP121" s="31" t="str">
        <f t="shared" si="107"/>
        <v>1+2.18134761102914i</v>
      </c>
      <c r="AQ121" s="31">
        <f t="shared" si="128"/>
        <v>2.3996410981941731</v>
      </c>
      <c r="AR121" s="31">
        <f t="shared" si="129"/>
        <v>1.1409523415062945</v>
      </c>
      <c r="AS121" s="58" t="str">
        <f t="shared" si="130"/>
        <v>-4.11046020433524+1.07549057670077i</v>
      </c>
      <c r="AT121" s="49">
        <f t="shared" si="131"/>
        <v>12.565388710062626</v>
      </c>
      <c r="AU121" s="61">
        <f t="shared" si="132"/>
        <v>165.33741540062647</v>
      </c>
      <c r="AV121" s="58" t="str">
        <f t="shared" si="108"/>
        <v>1983.06124330268+6604.69755244531i</v>
      </c>
      <c r="AW121" s="64">
        <f t="shared" si="133"/>
        <v>76.771921828112809</v>
      </c>
      <c r="AX121" s="61">
        <f t="shared" si="134"/>
        <v>73.287609045142631</v>
      </c>
    </row>
    <row r="122" spans="14:50" x14ac:dyDescent="0.3">
      <c r="N122" s="10">
        <v>4</v>
      </c>
      <c r="O122" s="50">
        <f t="shared" si="135"/>
        <v>109.64781961431861</v>
      </c>
      <c r="P122" s="48" t="str">
        <f t="shared" si="99"/>
        <v>51201.9230769231</v>
      </c>
      <c r="Q122" s="17" t="str">
        <f t="shared" si="100"/>
        <v>1+32.1945825590551i</v>
      </c>
      <c r="R122" s="17">
        <f t="shared" si="110"/>
        <v>32.210109378141127</v>
      </c>
      <c r="S122" s="17">
        <f t="shared" si="111"/>
        <v>1.5397451837541525</v>
      </c>
      <c r="T122" s="17" t="str">
        <f t="shared" si="101"/>
        <v>1+2.06681270749489E-09i</v>
      </c>
      <c r="U122" s="17">
        <f t="shared" si="112"/>
        <v>1</v>
      </c>
      <c r="V122" s="17">
        <f t="shared" si="113"/>
        <v>2.0668127074948898E-9</v>
      </c>
      <c r="W122" s="31" t="str">
        <f t="shared" si="102"/>
        <v>1-0.00111607886204724i</v>
      </c>
      <c r="X122" s="17">
        <f t="shared" si="114"/>
        <v>1.0000006228158194</v>
      </c>
      <c r="Y122" s="17">
        <f t="shared" si="115"/>
        <v>-1.1160783986397282E-3</v>
      </c>
      <c r="Z122" s="31" t="str">
        <f t="shared" si="103"/>
        <v>0.999995190942262+0.0681071560678505i</v>
      </c>
      <c r="AA122" s="17">
        <f t="shared" si="116"/>
        <v>1.0023118110724334</v>
      </c>
      <c r="AB122" s="17">
        <f t="shared" si="117"/>
        <v>6.8002467268359859E-2</v>
      </c>
      <c r="AC122" s="66" t="str">
        <f t="shared" si="118"/>
        <v>-60.3586921919437-1584.80833167039i</v>
      </c>
      <c r="AD122" s="64">
        <f t="shared" si="119"/>
        <v>64.005829913405762</v>
      </c>
      <c r="AE122" s="61">
        <f t="shared" si="120"/>
        <v>-92.181101389090003</v>
      </c>
      <c r="AF122" s="31" t="str">
        <f t="shared" si="104"/>
        <v>-0.332666666666667</v>
      </c>
      <c r="AG122" s="31" t="str">
        <f t="shared" si="121"/>
        <v>688.937569164964i</v>
      </c>
      <c r="AH122" s="31">
        <f t="shared" si="122"/>
        <v>688.93756916496397</v>
      </c>
      <c r="AI122" s="31">
        <f t="shared" si="123"/>
        <v>1.5707963267948966</v>
      </c>
      <c r="AJ122" s="31" t="str">
        <f t="shared" si="105"/>
        <v>0.97467676225034+5.6813009291791i</v>
      </c>
      <c r="AK122" s="31">
        <f t="shared" si="124"/>
        <v>5.7643017824158127</v>
      </c>
      <c r="AL122" s="31">
        <f t="shared" si="125"/>
        <v>1.4008916145577386</v>
      </c>
      <c r="AM122" s="31" t="str">
        <f t="shared" si="106"/>
        <v>1+20670.359232673i</v>
      </c>
      <c r="AN122" s="31">
        <f t="shared" si="126"/>
        <v>20670.359256862223</v>
      </c>
      <c r="AO122" s="31">
        <f t="shared" si="127"/>
        <v>1.5707479483420617</v>
      </c>
      <c r="AP122" s="31" t="str">
        <f t="shared" si="107"/>
        <v>1+2.23215772409448i</v>
      </c>
      <c r="AQ122" s="31">
        <f t="shared" si="128"/>
        <v>2.4459207070619948</v>
      </c>
      <c r="AR122" s="31">
        <f t="shared" si="129"/>
        <v>1.1496093316038785</v>
      </c>
      <c r="AS122" s="58" t="str">
        <f t="shared" si="130"/>
        <v>-4.10213226709198+1.05326275762913i</v>
      </c>
      <c r="AT122" s="49">
        <f t="shared" si="131"/>
        <v>12.537462143865474</v>
      </c>
      <c r="AU122" s="61">
        <f t="shared" si="132"/>
        <v>165.59981383916497</v>
      </c>
      <c r="AV122" s="58" t="str">
        <f t="shared" si="108"/>
        <v>1916.81893256882+6437.51983191634i</v>
      </c>
      <c r="AW122" s="64">
        <f t="shared" si="133"/>
        <v>76.543292057271231</v>
      </c>
      <c r="AX122" s="61">
        <f t="shared" si="134"/>
        <v>73.418712450074963</v>
      </c>
    </row>
    <row r="123" spans="14:50" x14ac:dyDescent="0.3">
      <c r="N123" s="10">
        <v>5</v>
      </c>
      <c r="O123" s="50">
        <f t="shared" si="135"/>
        <v>112.20184543019634</v>
      </c>
      <c r="P123" s="48" t="str">
        <f t="shared" si="99"/>
        <v>51201.9230769231</v>
      </c>
      <c r="Q123" s="17" t="str">
        <f t="shared" si="100"/>
        <v>1+32.9444907220852i</v>
      </c>
      <c r="R123" s="17">
        <f t="shared" si="110"/>
        <v>32.959664272221552</v>
      </c>
      <c r="S123" s="17">
        <f t="shared" si="111"/>
        <v>1.5404515552051488</v>
      </c>
      <c r="T123" s="17" t="str">
        <f t="shared" si="101"/>
        <v>1+2.11495495993634E-09i</v>
      </c>
      <c r="U123" s="17">
        <f t="shared" si="112"/>
        <v>1</v>
      </c>
      <c r="V123" s="17">
        <f t="shared" si="113"/>
        <v>2.11495495993634E-9</v>
      </c>
      <c r="W123" s="31" t="str">
        <f t="shared" si="102"/>
        <v>1-0.00114207567836562i</v>
      </c>
      <c r="X123" s="17">
        <f t="shared" si="114"/>
        <v>1.000000652168215</v>
      </c>
      <c r="Y123" s="17">
        <f t="shared" si="115"/>
        <v>-1.1420751818155424E-3</v>
      </c>
      <c r="Z123" s="31" t="str">
        <f t="shared" si="103"/>
        <v>0.999994964298353+0.069693575528403i</v>
      </c>
      <c r="AA123" s="17">
        <f t="shared" si="116"/>
        <v>1.0024206318168025</v>
      </c>
      <c r="AB123" s="17">
        <f t="shared" si="117"/>
        <v>6.9581414083498924E-2</v>
      </c>
      <c r="AC123" s="66" t="str">
        <f t="shared" si="118"/>
        <v>-62.5587782265417-1548.45874128259i</v>
      </c>
      <c r="AD123" s="64">
        <f t="shared" si="119"/>
        <v>63.805075600085104</v>
      </c>
      <c r="AE123" s="61">
        <f t="shared" si="120"/>
        <v>-92.31352998378226</v>
      </c>
      <c r="AF123" s="31" t="str">
        <f t="shared" si="104"/>
        <v>-0.332666666666667</v>
      </c>
      <c r="AG123" s="31" t="str">
        <f t="shared" si="121"/>
        <v>704.984986645445i</v>
      </c>
      <c r="AH123" s="31">
        <f t="shared" si="122"/>
        <v>704.98498664544502</v>
      </c>
      <c r="AI123" s="31">
        <f t="shared" si="123"/>
        <v>1.5707963267948966</v>
      </c>
      <c r="AJ123" s="31" t="str">
        <f t="shared" si="105"/>
        <v>0.97348331482325+5.8136354278671i</v>
      </c>
      <c r="AK123" s="31">
        <f t="shared" si="124"/>
        <v>5.8945760366960007</v>
      </c>
      <c r="AL123" s="31">
        <f t="shared" si="125"/>
        <v>1.4048872469028442</v>
      </c>
      <c r="AM123" s="31" t="str">
        <f t="shared" si="106"/>
        <v>1+21151.8337507201i</v>
      </c>
      <c r="AN123" s="31">
        <f t="shared" si="126"/>
        <v>21151.833774358714</v>
      </c>
      <c r="AO123" s="31">
        <f t="shared" si="127"/>
        <v>1.5707490495700924</v>
      </c>
      <c r="AP123" s="31" t="str">
        <f t="shared" si="107"/>
        <v>1+2.28415135673124i</v>
      </c>
      <c r="AQ123" s="31">
        <f t="shared" si="128"/>
        <v>2.4934609322099202</v>
      </c>
      <c r="AR123" s="31">
        <f t="shared" si="129"/>
        <v>1.1581346475016874</v>
      </c>
      <c r="AS123" s="58" t="str">
        <f t="shared" si="130"/>
        <v>-4.09415675101348+1.03146515962688i</v>
      </c>
      <c r="AT123" s="49">
        <f t="shared" si="131"/>
        <v>12.510548737183587</v>
      </c>
      <c r="AU123" s="61">
        <f t="shared" si="132"/>
        <v>165.85940868498301</v>
      </c>
      <c r="AV123" s="58" t="str">
        <f t="shared" si="108"/>
        <v>1853.30668696404+6275.10560911845i</v>
      </c>
      <c r="AW123" s="64">
        <f t="shared" si="133"/>
        <v>76.315624337268702</v>
      </c>
      <c r="AX123" s="61">
        <f t="shared" si="134"/>
        <v>73.545878701200721</v>
      </c>
    </row>
    <row r="124" spans="14:50" x14ac:dyDescent="0.3">
      <c r="N124" s="10">
        <v>6</v>
      </c>
      <c r="O124" s="50">
        <f t="shared" si="135"/>
        <v>114.81536214968835</v>
      </c>
      <c r="P124" s="48" t="str">
        <f t="shared" si="99"/>
        <v>51201.9230769231</v>
      </c>
      <c r="Q124" s="17" t="str">
        <f t="shared" si="100"/>
        <v>1+33.7118664901681i</v>
      </c>
      <c r="R124" s="17">
        <f t="shared" si="110"/>
        <v>33.726694801757837</v>
      </c>
      <c r="S124" s="17">
        <f t="shared" si="111"/>
        <v>1.5411418769498639</v>
      </c>
      <c r="T124" s="17" t="str">
        <f t="shared" si="101"/>
        <v>1+2.16421858949228E-09i</v>
      </c>
      <c r="U124" s="17">
        <f t="shared" si="112"/>
        <v>1</v>
      </c>
      <c r="V124" s="17">
        <f t="shared" si="113"/>
        <v>2.1642185894922802E-9</v>
      </c>
      <c r="W124" s="31" t="str">
        <f t="shared" si="102"/>
        <v>1-0.00116867803832583i</v>
      </c>
      <c r="X124" s="17">
        <f t="shared" si="114"/>
        <v>1.0000006829039454</v>
      </c>
      <c r="Y124" s="17">
        <f t="shared" si="115"/>
        <v>-1.1686775062628553E-3</v>
      </c>
      <c r="Z124" s="31" t="str">
        <f t="shared" si="103"/>
        <v>0.999994726973046+0.0713169474452043i</v>
      </c>
      <c r="AA124" s="17">
        <f t="shared" si="116"/>
        <v>1.002534568464748</v>
      </c>
      <c r="AB124" s="17">
        <f t="shared" si="117"/>
        <v>7.1196780695762296E-2</v>
      </c>
      <c r="AC124" s="66" t="str">
        <f t="shared" si="118"/>
        <v>-64.6578385968805-1512.92424717907i</v>
      </c>
      <c r="AD124" s="64">
        <f t="shared" si="119"/>
        <v>63.60426860518595</v>
      </c>
      <c r="AE124" s="61">
        <f t="shared" si="120"/>
        <v>-92.44716039360307</v>
      </c>
      <c r="AF124" s="31" t="str">
        <f t="shared" si="104"/>
        <v>-0.332666666666667</v>
      </c>
      <c r="AG124" s="31" t="str">
        <f t="shared" si="121"/>
        <v>721.406196497425i</v>
      </c>
      <c r="AH124" s="31">
        <f t="shared" si="122"/>
        <v>721.40619649742496</v>
      </c>
      <c r="AI124" s="31">
        <f t="shared" si="123"/>
        <v>1.5707963267948966</v>
      </c>
      <c r="AJ124" s="31" t="str">
        <f t="shared" si="105"/>
        <v>0.972233621951747+5.94905239301153i</v>
      </c>
      <c r="AK124" s="31">
        <f t="shared" si="124"/>
        <v>6.0279733402238618</v>
      </c>
      <c r="AL124" s="31">
        <f t="shared" si="125"/>
        <v>1.4088017580749506</v>
      </c>
      <c r="AM124" s="31" t="str">
        <f t="shared" si="106"/>
        <v>1+21644.5232509994i</v>
      </c>
      <c r="AN124" s="31">
        <f t="shared" si="126"/>
        <v>21644.523274099931</v>
      </c>
      <c r="AO124" s="31">
        <f t="shared" si="127"/>
        <v>1.5707501257311129</v>
      </c>
      <c r="AP124" s="31" t="str">
        <f t="shared" si="107"/>
        <v>1+2.33735607665166i</v>
      </c>
      <c r="AQ124" s="31">
        <f t="shared" si="128"/>
        <v>2.542289013676541</v>
      </c>
      <c r="AR124" s="31">
        <f t="shared" si="129"/>
        <v>1.1665278513609414</v>
      </c>
      <c r="AS124" s="58" t="str">
        <f t="shared" si="130"/>
        <v>-4.08651963950836+1.01009429615427i</v>
      </c>
      <c r="AT124" s="49">
        <f t="shared" si="131"/>
        <v>12.484620816207064</v>
      </c>
      <c r="AU124" s="61">
        <f t="shared" si="132"/>
        <v>166.11608053317715</v>
      </c>
      <c r="AV124" s="58" t="str">
        <f t="shared" si="108"/>
        <v>1792.42167986339+6117.2841352173i</v>
      </c>
      <c r="AW124" s="64">
        <f t="shared" si="133"/>
        <v>76.08888942139302</v>
      </c>
      <c r="AX124" s="61">
        <f t="shared" si="134"/>
        <v>73.668920139574084</v>
      </c>
    </row>
    <row r="125" spans="14:50" x14ac:dyDescent="0.3">
      <c r="N125" s="10">
        <v>7</v>
      </c>
      <c r="O125" s="50">
        <f t="shared" si="135"/>
        <v>117.48975549395293</v>
      </c>
      <c r="P125" s="48" t="str">
        <f t="shared" si="99"/>
        <v>51201.9230769231</v>
      </c>
      <c r="Q125" s="17" t="str">
        <f t="shared" si="100"/>
        <v>1+34.4971167360934i</v>
      </c>
      <c r="R125" s="17">
        <f t="shared" si="110"/>
        <v>34.511607657477441</v>
      </c>
      <c r="S125" s="17">
        <f t="shared" si="111"/>
        <v>1.541816512372769</v>
      </c>
      <c r="T125" s="17" t="str">
        <f t="shared" si="101"/>
        <v>1+2.21462971639118E-09i</v>
      </c>
      <c r="U125" s="17">
        <f t="shared" si="112"/>
        <v>1</v>
      </c>
      <c r="V125" s="17">
        <f t="shared" si="113"/>
        <v>2.21462971639118E-9</v>
      </c>
      <c r="W125" s="31" t="str">
        <f t="shared" si="102"/>
        <v>1-0.00119590004685124i</v>
      </c>
      <c r="X125" s="17">
        <f t="shared" si="114"/>
        <v>1.0000007150882053</v>
      </c>
      <c r="Y125" s="17">
        <f t="shared" si="115"/>
        <v>-1.1958994767355133E-3</v>
      </c>
      <c r="Z125" s="31" t="str">
        <f t="shared" si="103"/>
        <v>0.999994478462942+0.0729781325515323i</v>
      </c>
      <c r="AA125" s="17">
        <f t="shared" si="116"/>
        <v>1.0026538609046893</v>
      </c>
      <c r="AB125" s="17">
        <f t="shared" si="117"/>
        <v>7.2849389959214694E-2</v>
      </c>
      <c r="AC125" s="66" t="str">
        <f t="shared" si="118"/>
        <v>-66.6603029334335-1478.18642414788i</v>
      </c>
      <c r="AD125" s="64">
        <f t="shared" si="119"/>
        <v>63.403407246865655</v>
      </c>
      <c r="AE125" s="61">
        <f t="shared" si="120"/>
        <v>-92.582061393155371</v>
      </c>
      <c r="AF125" s="31" t="str">
        <f t="shared" si="104"/>
        <v>-0.332666666666667</v>
      </c>
      <c r="AG125" s="31" t="str">
        <f t="shared" si="121"/>
        <v>738.209905463727i</v>
      </c>
      <c r="AH125" s="31">
        <f t="shared" si="122"/>
        <v>738.20990546372695</v>
      </c>
      <c r="AI125" s="31">
        <f t="shared" si="123"/>
        <v>1.5707963267948966</v>
      </c>
      <c r="AJ125" s="31" t="str">
        <f t="shared" si="105"/>
        <v>0.970925032869701+6.08762362447975i</v>
      </c>
      <c r="AK125" s="31">
        <f t="shared" si="124"/>
        <v>6.1645646085329497</v>
      </c>
      <c r="AL125" s="31">
        <f t="shared" si="125"/>
        <v>1.4126367815486172</v>
      </c>
      <c r="AM125" s="31" t="str">
        <f t="shared" si="106"/>
        <v>1+22148.6889640055i</v>
      </c>
      <c r="AN125" s="31">
        <f t="shared" si="126"/>
        <v>22148.6889865802</v>
      </c>
      <c r="AO125" s="31">
        <f t="shared" si="127"/>
        <v>1.5707511773957179</v>
      </c>
      <c r="AP125" s="31" t="str">
        <f t="shared" si="107"/>
        <v>1+2.39180009370248i</v>
      </c>
      <c r="AQ125" s="31">
        <f t="shared" si="128"/>
        <v>2.5924327741014213</v>
      </c>
      <c r="AR125" s="31">
        <f t="shared" si="129"/>
        <v>1.1747886621864809</v>
      </c>
      <c r="AS125" s="58" t="str">
        <f t="shared" si="130"/>
        <v>-4.07920739265024+0.989146418972863i</v>
      </c>
      <c r="AT125" s="49">
        <f t="shared" si="131"/>
        <v>12.459650752817133</v>
      </c>
      <c r="AU125" s="61">
        <f t="shared" si="132"/>
        <v>166.3697197254053</v>
      </c>
      <c r="AV125" s="58" t="str">
        <f t="shared" si="108"/>
        <v>1734.06400854254+5963.892189165i</v>
      </c>
      <c r="AW125" s="64">
        <f t="shared" si="133"/>
        <v>75.863057999682781</v>
      </c>
      <c r="AX125" s="61">
        <f t="shared" si="134"/>
        <v>73.787658332249961</v>
      </c>
    </row>
    <row r="126" spans="14:50" x14ac:dyDescent="0.3">
      <c r="N126" s="10">
        <v>8</v>
      </c>
      <c r="O126" s="50">
        <f t="shared" si="135"/>
        <v>120.22644346174135</v>
      </c>
      <c r="P126" s="48" t="str">
        <f t="shared" si="99"/>
        <v>51201.9230769231</v>
      </c>
      <c r="Q126" s="17" t="str">
        <f t="shared" si="100"/>
        <v>1+35.3006578099356i</v>
      </c>
      <c r="R126" s="17">
        <f t="shared" si="110"/>
        <v>35.314819011488183</v>
      </c>
      <c r="S126" s="17">
        <f t="shared" si="111"/>
        <v>1.5424758167166988</v>
      </c>
      <c r="T126" s="17" t="str">
        <f t="shared" si="101"/>
        <v>1+2.26621506927982E-09i</v>
      </c>
      <c r="U126" s="17">
        <f t="shared" si="112"/>
        <v>1</v>
      </c>
      <c r="V126" s="17">
        <f t="shared" si="113"/>
        <v>2.26621506927982E-9</v>
      </c>
      <c r="W126" s="31" t="str">
        <f t="shared" si="102"/>
        <v>1-0.0012237561374111i</v>
      </c>
      <c r="X126" s="17">
        <f t="shared" si="114"/>
        <v>1.0000007487892615</v>
      </c>
      <c r="Y126" s="17">
        <f t="shared" si="115"/>
        <v>-1.2237555265211173E-3</v>
      </c>
      <c r="Z126" s="31" t="str">
        <f t="shared" si="103"/>
        <v>0.999994218240917+0.0746780116297191i</v>
      </c>
      <c r="AA126" s="17">
        <f t="shared" si="116"/>
        <v>1.0027787602139524</v>
      </c>
      <c r="AB126" s="17">
        <f t="shared" si="117"/>
        <v>7.4540082094102095E-2</v>
      </c>
      <c r="AC126" s="66" t="str">
        <f t="shared" si="118"/>
        <v>-68.5703982588008-1444.22724322679i</v>
      </c>
      <c r="AD126" s="64">
        <f t="shared" si="119"/>
        <v>63.202489731023384</v>
      </c>
      <c r="AE126" s="61">
        <f t="shared" si="120"/>
        <v>-92.718302304393191</v>
      </c>
      <c r="AF126" s="31" t="str">
        <f t="shared" si="104"/>
        <v>-0.332666666666667</v>
      </c>
      <c r="AG126" s="31" t="str">
        <f t="shared" si="121"/>
        <v>755.405023093271i</v>
      </c>
      <c r="AH126" s="31">
        <f t="shared" si="122"/>
        <v>755.40502309327098</v>
      </c>
      <c r="AI126" s="31">
        <f t="shared" si="123"/>
        <v>1.5707963267948966</v>
      </c>
      <c r="AJ126" s="31" t="str">
        <f t="shared" si="105"/>
        <v>0.969554771884222+6.22942259457289i</v>
      </c>
      <c r="AK126" s="31">
        <f t="shared" si="124"/>
        <v>6.3044224412279588</v>
      </c>
      <c r="AL126" s="31">
        <f t="shared" si="125"/>
        <v>1.4163939365834595</v>
      </c>
      <c r="AM126" s="31" t="str">
        <f t="shared" si="106"/>
        <v>1+22664.598205073i</v>
      </c>
      <c r="AN126" s="31">
        <f t="shared" si="126"/>
        <v>22664.598227133836</v>
      </c>
      <c r="AO126" s="31">
        <f t="shared" si="127"/>
        <v>1.5707522051215141</v>
      </c>
      <c r="AP126" s="31" t="str">
        <f t="shared" si="107"/>
        <v>1+2.4475122748222i</v>
      </c>
      <c r="AQ126" s="31">
        <f t="shared" si="128"/>
        <v>2.6439206371230846</v>
      </c>
      <c r="AR126" s="31">
        <f t="shared" si="129"/>
        <v>1.1829169491106344</v>
      </c>
      <c r="AS126" s="58" t="str">
        <f t="shared" si="130"/>
        <v>-4.07220693793813+0.968617543539087i</v>
      </c>
      <c r="AT126" s="49">
        <f t="shared" si="131"/>
        <v>12.435611028813414</v>
      </c>
      <c r="AU126" s="61">
        <f t="shared" si="132"/>
        <v>166.62022601870845</v>
      </c>
      <c r="AV126" s="58" t="str">
        <f t="shared" si="108"/>
        <v>1678.13669617323+5814.77370910646i</v>
      </c>
      <c r="AW126" s="64">
        <f t="shared" si="133"/>
        <v>75.638100759836803</v>
      </c>
      <c r="AX126" s="61">
        <f t="shared" si="134"/>
        <v>73.901923714315259</v>
      </c>
    </row>
    <row r="127" spans="14:50" x14ac:dyDescent="0.3">
      <c r="N127" s="10">
        <v>9</v>
      </c>
      <c r="O127" s="50">
        <f t="shared" si="135"/>
        <v>123.02687708123821</v>
      </c>
      <c r="P127" s="48" t="str">
        <f t="shared" si="99"/>
        <v>51201.9230769231</v>
      </c>
      <c r="Q127" s="17" t="str">
        <f t="shared" si="100"/>
        <v>1+36.1229157598079i</v>
      </c>
      <c r="R127" s="17">
        <f t="shared" si="110"/>
        <v>36.136754737942063</v>
      </c>
      <c r="S127" s="17">
        <f t="shared" si="111"/>
        <v>1.543120137259528</v>
      </c>
      <c r="T127" s="17" t="str">
        <f t="shared" si="101"/>
        <v>1+2.31900199939508E-09i</v>
      </c>
      <c r="U127" s="17">
        <f t="shared" si="112"/>
        <v>1</v>
      </c>
      <c r="V127" s="17">
        <f t="shared" si="113"/>
        <v>2.3190019993950801E-9</v>
      </c>
      <c r="W127" s="31" t="str">
        <f t="shared" si="102"/>
        <v>1-0.00125226107967334i</v>
      </c>
      <c r="X127" s="17">
        <f t="shared" si="114"/>
        <v>1.0000007840785985</v>
      </c>
      <c r="Y127" s="17">
        <f t="shared" si="115"/>
        <v>-1.2522604250929576E-3</v>
      </c>
      <c r="Z127" s="31" t="str">
        <f t="shared" si="103"/>
        <v>0.999993945755006+0.0764174859781522i</v>
      </c>
      <c r="AA127" s="17">
        <f t="shared" si="116"/>
        <v>1.0029095291749337</v>
      </c>
      <c r="AB127" s="17">
        <f t="shared" si="117"/>
        <v>7.6269714965147617E-2</v>
      </c>
      <c r="AC127" s="66" t="str">
        <f t="shared" si="118"/>
        <v>-70.3921577804294-1411.02906398698i</v>
      </c>
      <c r="AD127" s="64">
        <f t="shared" si="119"/>
        <v>63.001514147769299</v>
      </c>
      <c r="AE127" s="61">
        <f t="shared" si="120"/>
        <v>-92.855953023128023</v>
      </c>
      <c r="AF127" s="31" t="str">
        <f t="shared" si="104"/>
        <v>-0.332666666666667</v>
      </c>
      <c r="AG127" s="31" t="str">
        <f t="shared" si="121"/>
        <v>773.000666465025i</v>
      </c>
      <c r="AH127" s="31">
        <f t="shared" si="122"/>
        <v>773.00066646502501</v>
      </c>
      <c r="AI127" s="31">
        <f t="shared" si="123"/>
        <v>1.5707963267948966</v>
      </c>
      <c r="AJ127" s="31" t="str">
        <f t="shared" si="105"/>
        <v>0.968119932488047+6.37452448698184i</v>
      </c>
      <c r="AK127" s="31">
        <f t="shared" si="124"/>
        <v>6.447621161235495</v>
      </c>
      <c r="AL127" s="31">
        <f t="shared" si="125"/>
        <v>1.4200748273824693</v>
      </c>
      <c r="AM127" s="31" t="str">
        <f t="shared" si="106"/>
        <v>1+23192.5245161101i</v>
      </c>
      <c r="AN127" s="31">
        <f t="shared" si="126"/>
        <v>23192.524537668767</v>
      </c>
      <c r="AO127" s="31">
        <f t="shared" si="127"/>
        <v>1.5707532094534151</v>
      </c>
      <c r="AP127" s="31" t="str">
        <f t="shared" si="107"/>
        <v>1+2.50452215934668i</v>
      </c>
      <c r="AQ127" s="31">
        <f t="shared" si="128"/>
        <v>2.6967816460845611</v>
      </c>
      <c r="AR127" s="31">
        <f t="shared" si="129"/>
        <v>1.1909127245851077</v>
      </c>
      <c r="AS127" s="58" t="str">
        <f t="shared" si="130"/>
        <v>-4.06550566054555+0.948503472961889i</v>
      </c>
      <c r="AT127" s="49">
        <f t="shared" si="131"/>
        <v>12.41247429511446</v>
      </c>
      <c r="AU127" s="61">
        <f t="shared" si="132"/>
        <v>166.86750824367741</v>
      </c>
      <c r="AV127" s="58" t="str">
        <f t="shared" si="108"/>
        <v>1624.54568355617+5669.77944070934i</v>
      </c>
      <c r="AW127" s="64">
        <f t="shared" si="133"/>
        <v>75.413988442883763</v>
      </c>
      <c r="AX127" s="61">
        <f t="shared" si="134"/>
        <v>74.01155522054934</v>
      </c>
    </row>
    <row r="128" spans="14:50" x14ac:dyDescent="0.3">
      <c r="N128" s="10">
        <v>10</v>
      </c>
      <c r="O128" s="50">
        <f t="shared" si="135"/>
        <v>125.89254117941677</v>
      </c>
      <c r="P128" s="48" t="str">
        <f t="shared" si="99"/>
        <v>51201.9230769231</v>
      </c>
      <c r="Q128" s="17" t="str">
        <f t="shared" si="100"/>
        <v>1+36.9643265577594i</v>
      </c>
      <c r="R128" s="17">
        <f t="shared" si="110"/>
        <v>36.977850638844288</v>
      </c>
      <c r="S128" s="17">
        <f t="shared" si="111"/>
        <v>1.5437498134874001</v>
      </c>
      <c r="T128" s="17" t="str">
        <f t="shared" si="101"/>
        <v>1+2.37301849506604E-09i</v>
      </c>
      <c r="U128" s="17">
        <f t="shared" si="112"/>
        <v>1</v>
      </c>
      <c r="V128" s="17">
        <f t="shared" si="113"/>
        <v>2.3730184950660402E-9</v>
      </c>
      <c r="W128" s="31" t="str">
        <f t="shared" si="102"/>
        <v>1-0.00128142998733566i</v>
      </c>
      <c r="X128" s="17">
        <f t="shared" si="114"/>
        <v>1.0000008210310691</v>
      </c>
      <c r="Y128" s="17">
        <f t="shared" si="115"/>
        <v>-1.2814292859401747E-3</v>
      </c>
      <c r="Z128" s="31" t="str">
        <f t="shared" si="103"/>
        <v>0.99999366042723+0.0781974778891558i</v>
      </c>
      <c r="AA128" s="17">
        <f t="shared" si="116"/>
        <v>1.0030464428145265</v>
      </c>
      <c r="AB128" s="17">
        <f t="shared" si="117"/>
        <v>7.8039164357614044E-2</v>
      </c>
      <c r="AC128" s="66" t="str">
        <f t="shared" si="118"/>
        <v>-72.1294292899999-1378.57462690787i</v>
      </c>
      <c r="AD128" s="64">
        <f t="shared" si="119"/>
        <v>62.800478467675617</v>
      </c>
      <c r="AE128" s="61">
        <f t="shared" si="120"/>
        <v>-92.995084045219969</v>
      </c>
      <c r="AF128" s="31" t="str">
        <f t="shared" si="104"/>
        <v>-0.332666666666667</v>
      </c>
      <c r="AG128" s="31" t="str">
        <f t="shared" si="121"/>
        <v>791.006165022012i</v>
      </c>
      <c r="AH128" s="31">
        <f t="shared" si="122"/>
        <v>791.00616502201206</v>
      </c>
      <c r="AI128" s="31">
        <f t="shared" si="123"/>
        <v>1.5707963267948966</v>
      </c>
      <c r="AJ128" s="31" t="str">
        <f t="shared" si="105"/>
        <v>0.966617471194444+6.52300623665058i</v>
      </c>
      <c r="AK128" s="31">
        <f t="shared" si="124"/>
        <v>6.594236854936339</v>
      </c>
      <c r="AL128" s="31">
        <f t="shared" si="125"/>
        <v>1.423681042338985</v>
      </c>
      <c r="AM128" s="31" t="str">
        <f t="shared" si="106"/>
        <v>1+23732.7478106351i</v>
      </c>
      <c r="AN128" s="31">
        <f t="shared" si="126"/>
        <v>23732.747831703033</v>
      </c>
      <c r="AO128" s="31">
        <f t="shared" si="127"/>
        <v>1.5707541909239311</v>
      </c>
      <c r="AP128" s="31" t="str">
        <f t="shared" si="107"/>
        <v>1+2.56285997467132i</v>
      </c>
      <c r="AQ128" s="31">
        <f t="shared" si="128"/>
        <v>2.7510454830431792</v>
      </c>
      <c r="AR128" s="31">
        <f t="shared" si="129"/>
        <v>1.1987761375199182</v>
      </c>
      <c r="AS128" s="58" t="str">
        <f t="shared" si="130"/>
        <v>-4.05909139314461+0.928799820575123i</v>
      </c>
      <c r="AT128" s="49">
        <f t="shared" si="131"/>
        <v>12.390213426044758</v>
      </c>
      <c r="AU128" s="61">
        <f t="shared" si="132"/>
        <v>167.11148395450357</v>
      </c>
      <c r="AV128" s="58" t="str">
        <f t="shared" si="108"/>
        <v>1573.19981174492+5528.76660190654i</v>
      </c>
      <c r="AW128" s="64">
        <f t="shared" si="133"/>
        <v>75.190691893720384</v>
      </c>
      <c r="AX128" s="61">
        <f t="shared" si="134"/>
        <v>74.116399909283587</v>
      </c>
    </row>
    <row r="129" spans="14:50" x14ac:dyDescent="0.3">
      <c r="N129" s="10">
        <v>11</v>
      </c>
      <c r="O129" s="50">
        <f t="shared" si="135"/>
        <v>128.82495516931343</v>
      </c>
      <c r="P129" s="48" t="str">
        <f t="shared" si="99"/>
        <v>51201.9230769231</v>
      </c>
      <c r="Q129" s="17" t="str">
        <f t="shared" si="100"/>
        <v>1+37.8253363309326i</v>
      </c>
      <c r="R129" s="17">
        <f t="shared" si="110"/>
        <v>37.838552675124475</v>
      </c>
      <c r="S129" s="17">
        <f t="shared" si="111"/>
        <v>1.5443651772645492</v>
      </c>
      <c r="T129" s="17" t="str">
        <f t="shared" si="101"/>
        <v>1+2.4282931965537E-09i</v>
      </c>
      <c r="U129" s="17">
        <f t="shared" si="112"/>
        <v>1</v>
      </c>
      <c r="V129" s="17">
        <f t="shared" si="113"/>
        <v>2.4282931965536999E-9</v>
      </c>
      <c r="W129" s="31" t="str">
        <f t="shared" si="102"/>
        <v>1-0.001311278326139i</v>
      </c>
      <c r="X129" s="17">
        <f t="shared" si="114"/>
        <v>1.0000008597250547</v>
      </c>
      <c r="Y129" s="17">
        <f t="shared" si="115"/>
        <v>-1.3112775745802319E-3</v>
      </c>
      <c r="Z129" s="31" t="str">
        <f t="shared" si="103"/>
        <v>0.99999336165237+0.0800189311380024i</v>
      </c>
      <c r="AA129" s="17">
        <f t="shared" si="116"/>
        <v>1.0031897889678085</v>
      </c>
      <c r="AB129" s="17">
        <f t="shared" si="117"/>
        <v>7.9849324250490766E-2</v>
      </c>
      <c r="AC129" s="66" t="str">
        <f t="shared" si="118"/>
        <v>-73.7858831859742-1346.84704584715i</v>
      </c>
      <c r="AD129" s="64">
        <f t="shared" si="119"/>
        <v>62.599380537804535</v>
      </c>
      <c r="AE129" s="61">
        <f t="shared" si="120"/>
        <v>-93.135766492419293</v>
      </c>
      <c r="AF129" s="31" t="str">
        <f t="shared" si="104"/>
        <v>-0.332666666666667</v>
      </c>
      <c r="AG129" s="31" t="str">
        <f t="shared" si="121"/>
        <v>809.431065517899i</v>
      </c>
      <c r="AH129" s="31">
        <f t="shared" si="122"/>
        <v>809.43106551789901</v>
      </c>
      <c r="AI129" s="31">
        <f t="shared" si="123"/>
        <v>1.5707963267948966</v>
      </c>
      <c r="AJ129" s="31" t="str">
        <f t="shared" si="105"/>
        <v>0.965044201081571+6.67494657056819i</v>
      </c>
      <c r="AK129" s="31">
        <f t="shared" si="124"/>
        <v>6.7443474132032382</v>
      </c>
      <c r="AL129" s="31">
        <f t="shared" si="125"/>
        <v>1.427214153367153</v>
      </c>
      <c r="AM129" s="31" t="str">
        <f t="shared" si="106"/>
        <v>1+24285.5545221893i</v>
      </c>
      <c r="AN129" s="31">
        <f t="shared" si="126"/>
        <v>24285.554542777667</v>
      </c>
      <c r="AO129" s="31">
        <f t="shared" si="127"/>
        <v>1.5707551500534505</v>
      </c>
      <c r="AP129" s="31" t="str">
        <f t="shared" si="107"/>
        <v>1+2.62255665227799i</v>
      </c>
      <c r="AQ129" s="31">
        <f t="shared" si="128"/>
        <v>2.8067424880824992</v>
      </c>
      <c r="AR129" s="31">
        <f t="shared" si="129"/>
        <v>1.206507466405458</v>
      </c>
      <c r="AS129" s="58" t="str">
        <f t="shared" si="130"/>
        <v>-4.05295240538388+0.909502031176248i</v>
      </c>
      <c r="AT129" s="49">
        <f t="shared" si="131"/>
        <v>12.368801568843327</v>
      </c>
      <c r="AU129" s="61">
        <f t="shared" si="132"/>
        <v>167.35207907328089</v>
      </c>
      <c r="AV129" s="58" t="str">
        <f t="shared" si="108"/>
        <v>1524.01079662368+5391.5985635206i</v>
      </c>
      <c r="AW129" s="64">
        <f t="shared" si="133"/>
        <v>74.968182106647859</v>
      </c>
      <c r="AX129" s="61">
        <f t="shared" si="134"/>
        <v>74.216312580861597</v>
      </c>
    </row>
    <row r="130" spans="14:50" x14ac:dyDescent="0.3">
      <c r="N130" s="10">
        <v>12</v>
      </c>
      <c r="O130" s="50">
        <f t="shared" si="135"/>
        <v>131.82567385564084</v>
      </c>
      <c r="P130" s="48" t="str">
        <f t="shared" si="99"/>
        <v>51201.9230769231</v>
      </c>
      <c r="Q130" s="17" t="str">
        <f t="shared" si="100"/>
        <v>1+38.706401598106i</v>
      </c>
      <c r="R130" s="17">
        <f t="shared" si="110"/>
        <v>38.719317203094668</v>
      </c>
      <c r="S130" s="17">
        <f t="shared" si="111"/>
        <v>1.5449665529997565</v>
      </c>
      <c r="T130" s="17" t="str">
        <f t="shared" si="101"/>
        <v>1+2.48485541123644E-09i</v>
      </c>
      <c r="U130" s="17">
        <f t="shared" si="112"/>
        <v>1</v>
      </c>
      <c r="V130" s="17">
        <f t="shared" si="113"/>
        <v>2.4848554112364399E-9</v>
      </c>
      <c r="W130" s="31" t="str">
        <f t="shared" si="102"/>
        <v>1-0.00134182192206767i</v>
      </c>
      <c r="X130" s="17">
        <f t="shared" si="114"/>
        <v>1.00000090024263</v>
      </c>
      <c r="Y130" s="17">
        <f t="shared" si="115"/>
        <v>-1.34182111675798E-3</v>
      </c>
      <c r="Z130" s="31" t="str">
        <f t="shared" si="103"/>
        <v>0.999993048796685+0.0818828114833142i</v>
      </c>
      <c r="AA130" s="17">
        <f t="shared" si="116"/>
        <v>1.0033398688670263</v>
      </c>
      <c r="AB130" s="17">
        <f t="shared" si="117"/>
        <v>8.1701107086114E-2</v>
      </c>
      <c r="AC130" s="66" t="str">
        <f t="shared" si="118"/>
        <v>-75.3650201351416-1315.82980060945i</v>
      </c>
      <c r="AD130" s="64">
        <f t="shared" si="119"/>
        <v>62.398218077506499</v>
      </c>
      <c r="AE130" s="61">
        <f t="shared" si="120"/>
        <v>-93.278072137821624</v>
      </c>
      <c r="AF130" s="31" t="str">
        <f t="shared" si="104"/>
        <v>-0.332666666666667</v>
      </c>
      <c r="AG130" s="31" t="str">
        <f t="shared" si="121"/>
        <v>828.285137078811i</v>
      </c>
      <c r="AH130" s="31">
        <f t="shared" si="122"/>
        <v>828.28513707881098</v>
      </c>
      <c r="AI130" s="31">
        <f t="shared" si="123"/>
        <v>1.5707963267948966</v>
      </c>
      <c r="AJ130" s="31" t="str">
        <f t="shared" si="105"/>
        <v>0.963396785032586+6.83042604951089i</v>
      </c>
      <c r="AK130" s="31">
        <f t="shared" si="124"/>
        <v>6.8980325733681518</v>
      </c>
      <c r="AL130" s="31">
        <f t="shared" si="125"/>
        <v>1.430675715310914</v>
      </c>
      <c r="AM130" s="31" t="str">
        <f t="shared" si="106"/>
        <v>1+24851.2377562085i</v>
      </c>
      <c r="AN130" s="31">
        <f t="shared" si="126"/>
        <v>24851.23777632822</v>
      </c>
      <c r="AO130" s="31">
        <f t="shared" si="127"/>
        <v>1.5707560873505169</v>
      </c>
      <c r="AP130" s="31" t="str">
        <f t="shared" si="107"/>
        <v>1+2.68364384413535i</v>
      </c>
      <c r="AQ130" s="31">
        <f t="shared" si="128"/>
        <v>2.8639036789259449</v>
      </c>
      <c r="AR130" s="31">
        <f t="shared" si="129"/>
        <v>1.2141071124508931</v>
      </c>
      <c r="AS130" s="58" t="str">
        <f t="shared" si="130"/>
        <v>-4.04707739309251+0.890605400984064i</v>
      </c>
      <c r="AT130" s="49">
        <f t="shared" si="131"/>
        <v>12.34821218854953</v>
      </c>
      <c r="AU130" s="61">
        <f t="shared" si="132"/>
        <v>167.58922753074305</v>
      </c>
      <c r="AV130" s="58" t="str">
        <f t="shared" si="108"/>
        <v>1476.89319641745+5258.1445452263i</v>
      </c>
      <c r="AW130" s="64">
        <f t="shared" si="133"/>
        <v>74.746430266056024</v>
      </c>
      <c r="AX130" s="61">
        <f t="shared" si="134"/>
        <v>74.311155392921435</v>
      </c>
    </row>
    <row r="131" spans="14:50" x14ac:dyDescent="0.3">
      <c r="N131" s="10">
        <v>13</v>
      </c>
      <c r="O131" s="50">
        <f t="shared" si="135"/>
        <v>134.89628825916537</v>
      </c>
      <c r="P131" s="48" t="str">
        <f t="shared" si="99"/>
        <v>51201.9230769231</v>
      </c>
      <c r="Q131" s="17" t="str">
        <f t="shared" si="100"/>
        <v>1+39.6079895117464i</v>
      </c>
      <c r="R131" s="17">
        <f t="shared" si="110"/>
        <v>39.620611216418816</v>
      </c>
      <c r="S131" s="17">
        <f t="shared" si="111"/>
        <v>1.545554257809487</v>
      </c>
      <c r="T131" s="17" t="str">
        <f t="shared" si="101"/>
        <v>1+2.54273512914915E-09i</v>
      </c>
      <c r="U131" s="17">
        <f t="shared" si="112"/>
        <v>1</v>
      </c>
      <c r="V131" s="17">
        <f t="shared" si="113"/>
        <v>2.5427351291491499E-9</v>
      </c>
      <c r="W131" s="31" t="str">
        <f t="shared" si="102"/>
        <v>1-0.00137307696974054i</v>
      </c>
      <c r="X131" s="17">
        <f t="shared" si="114"/>
        <v>1.000000942669738</v>
      </c>
      <c r="Y131" s="17">
        <f t="shared" si="115"/>
        <v>-1.3730761068357045E-3</v>
      </c>
      <c r="Z131" s="31" t="str">
        <f t="shared" si="103"/>
        <v>0.999992721196566+0.0837901071791214i</v>
      </c>
      <c r="AA131" s="17">
        <f t="shared" si="116"/>
        <v>1.0034969977569448</v>
      </c>
      <c r="AB131" s="17">
        <f t="shared" si="117"/>
        <v>8.3595444035475711E-2</v>
      </c>
      <c r="AC131" s="66" t="str">
        <f t="shared" si="118"/>
        <v>-76.8701783883654-1285.5067296169i</v>
      </c>
      <c r="AD131" s="64">
        <f t="shared" si="119"/>
        <v>62.196988673983469</v>
      </c>
      <c r="AE131" s="61">
        <f t="shared" si="120"/>
        <v>-93.422073430896745</v>
      </c>
      <c r="AF131" s="31" t="str">
        <f t="shared" si="104"/>
        <v>-0.332666666666667</v>
      </c>
      <c r="AG131" s="31" t="str">
        <f t="shared" si="121"/>
        <v>847.57837638305i</v>
      </c>
      <c r="AH131" s="31">
        <f t="shared" si="122"/>
        <v>847.57837638305</v>
      </c>
      <c r="AI131" s="31">
        <f t="shared" si="123"/>
        <v>1.5707963267948966</v>
      </c>
      <c r="AJ131" s="31" t="str">
        <f t="shared" si="105"/>
        <v>0.961671728657177+6.9895271107564i</v>
      </c>
      <c r="AK131" s="31">
        <f t="shared" si="124"/>
        <v>7.0553739621438343</v>
      </c>
      <c r="AL131" s="31">
        <f t="shared" si="125"/>
        <v>1.4340672654267559</v>
      </c>
      <c r="AM131" s="31" t="str">
        <f t="shared" si="106"/>
        <v>1+25430.097445431i</v>
      </c>
      <c r="AN131" s="31">
        <f t="shared" si="126"/>
        <v>25430.097465092746</v>
      </c>
      <c r="AO131" s="31">
        <f t="shared" si="127"/>
        <v>1.5707570033120972</v>
      </c>
      <c r="AP131" s="31" t="str">
        <f t="shared" si="107"/>
        <v>1+2.74615393948108i</v>
      </c>
      <c r="AQ131" s="31">
        <f t="shared" si="128"/>
        <v>2.9225607708527557</v>
      </c>
      <c r="AR131" s="31">
        <f t="shared" si="129"/>
        <v>1.2215755927691225</v>
      </c>
      <c r="AS131" s="58" t="str">
        <f t="shared" si="130"/>
        <v>-4.04145546727532+0.872105096368202i</v>
      </c>
      <c r="AT131" s="49">
        <f t="shared" si="131"/>
        <v>12.328419108434669</v>
      </c>
      <c r="AU131" s="61">
        <f t="shared" si="132"/>
        <v>167.82287090544199</v>
      </c>
      <c r="AV131" s="58" t="str">
        <f t="shared" si="108"/>
        <v>1431.76437303261+5128.27932629821i</v>
      </c>
      <c r="AW131" s="64">
        <f t="shared" si="133"/>
        <v>74.525407782418142</v>
      </c>
      <c r="AX131" s="61">
        <f t="shared" si="134"/>
        <v>74.400797474545215</v>
      </c>
    </row>
    <row r="132" spans="14:50" x14ac:dyDescent="0.3">
      <c r="N132" s="10">
        <v>14</v>
      </c>
      <c r="O132" s="50">
        <f t="shared" si="135"/>
        <v>138.0384264602886</v>
      </c>
      <c r="P132" s="48" t="str">
        <f t="shared" si="99"/>
        <v>51201.9230769231</v>
      </c>
      <c r="Q132" s="17" t="str">
        <f t="shared" si="100"/>
        <v>1+40.5305781056997i</v>
      </c>
      <c r="R132" s="17">
        <f t="shared" si="110"/>
        <v>40.542912593722519</v>
      </c>
      <c r="S132" s="17">
        <f t="shared" si="111"/>
        <v>1.546128601677748</v>
      </c>
      <c r="T132" s="17" t="str">
        <f t="shared" si="101"/>
        <v>1+2.60196303888443E-09i</v>
      </c>
      <c r="U132" s="17">
        <f t="shared" si="112"/>
        <v>1</v>
      </c>
      <c r="V132" s="17">
        <f t="shared" si="113"/>
        <v>2.6019630388844302E-9</v>
      </c>
      <c r="W132" s="31" t="str">
        <f t="shared" si="102"/>
        <v>1-0.00140506004099759i</v>
      </c>
      <c r="X132" s="17">
        <f t="shared" si="114"/>
        <v>1.0000009870963722</v>
      </c>
      <c r="Y132" s="17">
        <f t="shared" si="115"/>
        <v>-1.4050591163784494E-3</v>
      </c>
      <c r="Z132" s="31" t="str">
        <f t="shared" si="103"/>
        <v>0.999992378157128+0.0857418294988483i</v>
      </c>
      <c r="AA132" s="17">
        <f t="shared" si="116"/>
        <v>1.0036615055376779</v>
      </c>
      <c r="AB132" s="17">
        <f t="shared" si="117"/>
        <v>8.5533285258413652E-2</v>
      </c>
      <c r="AC132" s="66" t="str">
        <f t="shared" si="118"/>
        <v>-78.3045407651127-1255.86202268424i</v>
      </c>
      <c r="AD132" s="64">
        <f t="shared" si="119"/>
        <v>61.995689777610338</v>
      </c>
      <c r="AE132" s="61">
        <f t="shared" si="120"/>
        <v>-93.567843522047539</v>
      </c>
      <c r="AF132" s="31" t="str">
        <f t="shared" si="104"/>
        <v>-0.332666666666667</v>
      </c>
      <c r="AG132" s="31" t="str">
        <f t="shared" si="121"/>
        <v>867.321012961475i</v>
      </c>
      <c r="AH132" s="31">
        <f t="shared" si="122"/>
        <v>867.32101296147505</v>
      </c>
      <c r="AI132" s="31">
        <f t="shared" si="123"/>
        <v>1.5707963267948966</v>
      </c>
      <c r="AJ132" s="31" t="str">
        <f t="shared" si="105"/>
        <v>0.959865372879489+7.15233411179338i</v>
      </c>
      <c r="AK132" s="31">
        <f t="shared" si="124"/>
        <v>7.2164551395249639</v>
      </c>
      <c r="AL132" s="31">
        <f t="shared" si="125"/>
        <v>1.4373903229356724</v>
      </c>
      <c r="AM132" s="31" t="str">
        <f t="shared" si="106"/>
        <v>1+26022.4405089263i</v>
      </c>
      <c r="AN132" s="31">
        <f t="shared" si="126"/>
        <v>26022.440528140483</v>
      </c>
      <c r="AO132" s="31">
        <f t="shared" si="127"/>
        <v>1.5707578984238464</v>
      </c>
      <c r="AP132" s="31" t="str">
        <f t="shared" si="107"/>
        <v>1+2.81012008199518i</v>
      </c>
      <c r="AQ132" s="31">
        <f t="shared" si="128"/>
        <v>2.9827461969186375</v>
      </c>
      <c r="AR132" s="31">
        <f t="shared" si="129"/>
        <v>1.2289135336356793</v>
      </c>
      <c r="AS132" s="58" t="str">
        <f t="shared" si="130"/>
        <v>-4.03607614295883+0.85399617140331i</v>
      </c>
      <c r="AT132" s="49">
        <f t="shared" si="131"/>
        <v>12.309396546163763</v>
      </c>
      <c r="AU132" s="61">
        <f t="shared" si="132"/>
        <v>168.05295806319751</v>
      </c>
      <c r="AV132" s="58" t="str">
        <f t="shared" si="108"/>
        <v>1388.54444805058+5001.88297058698i</v>
      </c>
      <c r="AW132" s="64">
        <f t="shared" si="133"/>
        <v>74.305086323774105</v>
      </c>
      <c r="AX132" s="61">
        <f t="shared" si="134"/>
        <v>74.48511454114994</v>
      </c>
    </row>
    <row r="133" spans="14:50" x14ac:dyDescent="0.3">
      <c r="N133" s="10">
        <v>15</v>
      </c>
      <c r="O133" s="50">
        <f t="shared" si="135"/>
        <v>141.25375446227542</v>
      </c>
      <c r="P133" s="48" t="str">
        <f t="shared" si="99"/>
        <v>51201.9230769231</v>
      </c>
      <c r="Q133" s="17" t="str">
        <f t="shared" si="100"/>
        <v>1+41.4746565486503i</v>
      </c>
      <c r="R133" s="17">
        <f t="shared" si="110"/>
        <v>41.486710351972974</v>
      </c>
      <c r="S133" s="17">
        <f t="shared" si="111"/>
        <v>1.5466898876127184</v>
      </c>
      <c r="T133" s="17" t="str">
        <f t="shared" si="101"/>
        <v>1+2.66257054386397E-09i</v>
      </c>
      <c r="U133" s="17">
        <f t="shared" si="112"/>
        <v>1</v>
      </c>
      <c r="V133" s="17">
        <f t="shared" si="113"/>
        <v>2.6625705438639701E-9</v>
      </c>
      <c r="W133" s="31" t="str">
        <f t="shared" si="102"/>
        <v>1-0.00143778809368654i</v>
      </c>
      <c r="X133" s="17">
        <f t="shared" si="114"/>
        <v>1.0000010336167671</v>
      </c>
      <c r="Y133" s="17">
        <f t="shared" si="115"/>
        <v>-1.4377871029393361E-3</v>
      </c>
      <c r="Z133" s="31" t="str">
        <f t="shared" si="103"/>
        <v>0.99999201895074+0.0877390132715026i</v>
      </c>
      <c r="AA133" s="17">
        <f t="shared" si="116"/>
        <v>1.0038337374361521</v>
      </c>
      <c r="AB133" s="17">
        <f t="shared" si="117"/>
        <v>8.7515600157810625E-2</v>
      </c>
      <c r="AC133" s="66" t="str">
        <f t="shared" si="118"/>
        <v>-79.6711413207593-1226.88021390104i</v>
      </c>
      <c r="AD133" s="64">
        <f t="shared" si="119"/>
        <v>61.794318697008919</v>
      </c>
      <c r="AE133" s="61">
        <f t="shared" si="120"/>
        <v>-93.715456286652085</v>
      </c>
      <c r="AF133" s="31" t="str">
        <f t="shared" si="104"/>
        <v>-0.332666666666667</v>
      </c>
      <c r="AG133" s="31" t="str">
        <f t="shared" si="121"/>
        <v>887.523514621322i</v>
      </c>
      <c r="AH133" s="31">
        <f t="shared" si="122"/>
        <v>887.52351462132197</v>
      </c>
      <c r="AI133" s="31">
        <f t="shared" si="123"/>
        <v>1.5707963267948966</v>
      </c>
      <c r="AJ133" s="31" t="str">
        <f t="shared" si="105"/>
        <v>0.957973886176735+7.31893337504875i</v>
      </c>
      <c r="AK133" s="31">
        <f t="shared" si="124"/>
        <v>7.3813616436941389</v>
      </c>
      <c r="AL133" s="31">
        <f t="shared" si="125"/>
        <v>1.4406463886399634</v>
      </c>
      <c r="AM133" s="31" t="str">
        <f t="shared" si="106"/>
        <v>1+26628.5810148271i</v>
      </c>
      <c r="AN133" s="31">
        <f t="shared" si="126"/>
        <v>26628.581033603918</v>
      </c>
      <c r="AO133" s="31">
        <f t="shared" si="127"/>
        <v>1.5707587731603649</v>
      </c>
      <c r="AP133" s="31" t="str">
        <f t="shared" si="107"/>
        <v>1+2.87557618737308i</v>
      </c>
      <c r="AQ133" s="31">
        <f t="shared" si="128"/>
        <v>3.0444931284841323</v>
      </c>
      <c r="AR133" s="31">
        <f t="shared" si="129"/>
        <v>1.2361216638460377</v>
      </c>
      <c r="AS133" s="58" t="str">
        <f t="shared" si="130"/>
        <v>-4.03092932794109+0.836273584300494i</v>
      </c>
      <c r="AT133" s="49">
        <f t="shared" si="131"/>
        <v>12.291119145878689</v>
      </c>
      <c r="AU133" s="61">
        <f t="shared" si="132"/>
        <v>168.27944479846931</v>
      </c>
      <c r="AV133" s="58" t="str">
        <f t="shared" si="108"/>
        <v>1347.15625412677+4878.84056516672i</v>
      </c>
      <c r="AW133" s="64">
        <f t="shared" si="133"/>
        <v>74.085437842887615</v>
      </c>
      <c r="AX133" s="61">
        <f t="shared" si="134"/>
        <v>74.563988511817229</v>
      </c>
    </row>
    <row r="134" spans="14:50" x14ac:dyDescent="0.3">
      <c r="N134" s="10">
        <v>16</v>
      </c>
      <c r="O134" s="50">
        <f t="shared" si="135"/>
        <v>144.54397707459285</v>
      </c>
      <c r="P134" s="48" t="str">
        <f t="shared" si="99"/>
        <v>51201.9230769231</v>
      </c>
      <c r="Q134" s="17" t="str">
        <f t="shared" si="100"/>
        <v>1+42.4407254034849i</v>
      </c>
      <c r="R134" s="17">
        <f t="shared" si="110"/>
        <v>42.452504905765075</v>
      </c>
      <c r="S134" s="17">
        <f t="shared" si="111"/>
        <v>1.5472384118001909</v>
      </c>
      <c r="T134" s="17" t="str">
        <f t="shared" si="101"/>
        <v>1+2.72458977898916E-09i</v>
      </c>
      <c r="U134" s="17">
        <f t="shared" si="112"/>
        <v>1</v>
      </c>
      <c r="V134" s="17">
        <f t="shared" si="113"/>
        <v>2.7245897789891599E-9</v>
      </c>
      <c r="W134" s="31" t="str">
        <f t="shared" si="102"/>
        <v>1-0.00147127848065414i</v>
      </c>
      <c r="X134" s="17">
        <f t="shared" si="114"/>
        <v>1.0000010823295982</v>
      </c>
      <c r="Y134" s="17">
        <f t="shared" si="115"/>
        <v>-1.4712774190494466E-3</v>
      </c>
      <c r="Z134" s="31" t="str">
        <f t="shared" si="103"/>
        <v>0.999991642815477+0.0897827174303568i</v>
      </c>
      <c r="AA134" s="17">
        <f t="shared" si="116"/>
        <v>1.004014054707391</v>
      </c>
      <c r="AB134" s="17">
        <f t="shared" si="117"/>
        <v>8.9543377626871465E-2</v>
      </c>
      <c r="AC134" s="66" t="str">
        <f t="shared" si="118"/>
        <v>-80.9728717100899-1198.5461746231i</v>
      </c>
      <c r="AD134" s="64">
        <f t="shared" si="119"/>
        <v>61.592872593867739</v>
      </c>
      <c r="AE134" s="61">
        <f t="shared" si="120"/>
        <v>-93.864986348538238</v>
      </c>
      <c r="AF134" s="31" t="str">
        <f t="shared" si="104"/>
        <v>-0.332666666666667</v>
      </c>
      <c r="AG134" s="31" t="str">
        <f t="shared" si="121"/>
        <v>908.196592996385i</v>
      </c>
      <c r="AH134" s="31">
        <f t="shared" si="122"/>
        <v>908.19659299638499</v>
      </c>
      <c r="AI134" s="31">
        <f t="shared" si="123"/>
        <v>1.5707963267948966</v>
      </c>
      <c r="AJ134" s="31" t="str">
        <f t="shared" si="105"/>
        <v>0.955993256452023+7.48941323365712i</v>
      </c>
      <c r="AK134" s="31">
        <f t="shared" si="124"/>
        <v>7.550181036959323</v>
      </c>
      <c r="AL134" s="31">
        <f t="shared" si="125"/>
        <v>1.4438369446007231</v>
      </c>
      <c r="AM134" s="31" t="str">
        <f t="shared" si="106"/>
        <v>1+27248.8403468529i</v>
      </c>
      <c r="AN134" s="31">
        <f t="shared" si="126"/>
        <v>27248.840365202304</v>
      </c>
      <c r="AO134" s="31">
        <f t="shared" si="127"/>
        <v>1.5707596279854492</v>
      </c>
      <c r="AP134" s="31" t="str">
        <f t="shared" si="107"/>
        <v>1+2.94255696130829i</v>
      </c>
      <c r="AQ134" s="31">
        <f t="shared" si="128"/>
        <v>3.1078354960557157</v>
      </c>
      <c r="AR134" s="31">
        <f t="shared" si="129"/>
        <v>1.2432008081931154</v>
      </c>
      <c r="AS134" s="58" t="str">
        <f t="shared" si="130"/>
        <v>-4.0260053114938+0.818932212767887i</v>
      </c>
      <c r="AT134" s="49">
        <f t="shared" si="131"/>
        <v>12.273562006403427</v>
      </c>
      <c r="AU134" s="61">
        <f t="shared" si="132"/>
        <v>168.5022934791385</v>
      </c>
      <c r="AV134" s="58" t="str">
        <f t="shared" si="108"/>
        <v>1307.52528248031+4759.04197209946i</v>
      </c>
      <c r="AW134" s="64">
        <f t="shared" si="133"/>
        <v>73.866434600271162</v>
      </c>
      <c r="AX134" s="61">
        <f t="shared" si="134"/>
        <v>74.637307130600249</v>
      </c>
    </row>
    <row r="135" spans="14:50" x14ac:dyDescent="0.3">
      <c r="N135" s="10">
        <v>17</v>
      </c>
      <c r="O135" s="50">
        <f t="shared" si="135"/>
        <v>147.91083881682084</v>
      </c>
      <c r="P135" s="48" t="str">
        <f t="shared" si="99"/>
        <v>51201.9230769231</v>
      </c>
      <c r="Q135" s="17" t="str">
        <f t="shared" si="100"/>
        <v>1+43.4292968926979i</v>
      </c>
      <c r="R135" s="17">
        <f t="shared" si="110"/>
        <v>43.440808332650754</v>
      </c>
      <c r="S135" s="17">
        <f t="shared" si="111"/>
        <v>1.5477744637538795</v>
      </c>
      <c r="T135" s="17" t="str">
        <f t="shared" si="101"/>
        <v>1+2.78805362767937E-09i</v>
      </c>
      <c r="U135" s="17">
        <f t="shared" si="112"/>
        <v>1</v>
      </c>
      <c r="V135" s="17">
        <f t="shared" si="113"/>
        <v>2.78805362767937E-9</v>
      </c>
      <c r="W135" s="31" t="str">
        <f t="shared" si="102"/>
        <v>1-0.00150554895894686i</v>
      </c>
      <c r="X135" s="17">
        <f t="shared" si="114"/>
        <v>1.0000011333381917</v>
      </c>
      <c r="Y135" s="17">
        <f t="shared" si="115"/>
        <v>-1.5055478214170061E-3</v>
      </c>
      <c r="Z135" s="31" t="str">
        <f t="shared" si="103"/>
        <v>0.999991248953504+0.0918740255744072i</v>
      </c>
      <c r="AA135" s="17">
        <f t="shared" si="116"/>
        <v>1.0042028353668573</v>
      </c>
      <c r="AB135" s="17">
        <f t="shared" si="117"/>
        <v>9.1617626288463858E-2</v>
      </c>
      <c r="AC135" s="66" t="str">
        <f t="shared" si="118"/>
        <v>-82.2124872598692-1170.84510657475i</v>
      </c>
      <c r="AD135" s="64">
        <f t="shared" si="119"/>
        <v>61.391348477500344</v>
      </c>
      <c r="AE135" s="61">
        <f t="shared" si="120"/>
        <v>-94.016509102835926</v>
      </c>
      <c r="AF135" s="31" t="str">
        <f t="shared" si="104"/>
        <v>-0.332666666666667</v>
      </c>
      <c r="AG135" s="31" t="str">
        <f t="shared" si="121"/>
        <v>929.351209226457i</v>
      </c>
      <c r="AH135" s="31">
        <f t="shared" si="122"/>
        <v>929.35120922645694</v>
      </c>
      <c r="AI135" s="31">
        <f t="shared" si="123"/>
        <v>1.5707963267948966</v>
      </c>
      <c r="AJ135" s="31" t="str">
        <f t="shared" si="105"/>
        <v>0.953919282524158+7.66386407829607i</v>
      </c>
      <c r="AK135" s="31">
        <f t="shared" si="124"/>
        <v>7.7230029527489021</v>
      </c>
      <c r="AL135" s="31">
        <f t="shared" si="125"/>
        <v>1.4469634538720431</v>
      </c>
      <c r="AM135" s="31" t="str">
        <f t="shared" si="106"/>
        <v>1+27883.5473747116i</v>
      </c>
      <c r="AN135" s="31">
        <f t="shared" si="126"/>
        <v>27883.547392643319</v>
      </c>
      <c r="AO135" s="31">
        <f t="shared" si="127"/>
        <v>1.5707604633523391</v>
      </c>
      <c r="AP135" s="31" t="str">
        <f t="shared" si="107"/>
        <v>1+3.01109791789372i</v>
      </c>
      <c r="AQ135" s="31">
        <f t="shared" si="128"/>
        <v>3.1728080104449896</v>
      </c>
      <c r="AR135" s="31">
        <f t="shared" si="129"/>
        <v>1.2501518810840122</v>
      </c>
      <c r="AS135" s="58" t="str">
        <f t="shared" si="130"/>
        <v>-4.02129475305952+0.801966868351587i</v>
      </c>
      <c r="AT135" s="49">
        <f t="shared" si="131"/>
        <v>12.256700705775398</v>
      </c>
      <c r="AU135" s="61">
        <f t="shared" si="132"/>
        <v>168.72147269601663</v>
      </c>
      <c r="AV135" s="58" t="str">
        <f t="shared" si="108"/>
        <v>1269.57962709862+4642.38159276726i</v>
      </c>
      <c r="AW135" s="64">
        <f t="shared" si="133"/>
        <v>73.648049183275731</v>
      </c>
      <c r="AX135" s="61">
        <f t="shared" si="134"/>
        <v>74.704963593180665</v>
      </c>
    </row>
    <row r="136" spans="14:50" x14ac:dyDescent="0.3">
      <c r="N136" s="10">
        <v>18</v>
      </c>
      <c r="O136" s="50">
        <f t="shared" si="135"/>
        <v>151.3561248436209</v>
      </c>
      <c r="P136" s="48" t="str">
        <f t="shared" si="99"/>
        <v>51201.9230769231</v>
      </c>
      <c r="Q136" s="17" t="str">
        <f t="shared" si="100"/>
        <v>1+44.4408951699781i</v>
      </c>
      <c r="R136" s="17">
        <f t="shared" si="110"/>
        <v>44.452144644651092</v>
      </c>
      <c r="S136" s="17">
        <f t="shared" si="111"/>
        <v>1.5482983264626362</v>
      </c>
      <c r="T136" s="17" t="str">
        <f t="shared" si="101"/>
        <v>1+2.85299573930724E-09i</v>
      </c>
      <c r="U136" s="17">
        <f t="shared" si="112"/>
        <v>1</v>
      </c>
      <c r="V136" s="17">
        <f t="shared" si="113"/>
        <v>2.85299573930724E-9</v>
      </c>
      <c r="W136" s="31" t="str">
        <f t="shared" si="102"/>
        <v>1-0.00154061769922591i</v>
      </c>
      <c r="X136" s="17">
        <f t="shared" si="114"/>
        <v>1.0000011867507435</v>
      </c>
      <c r="Y136" s="17">
        <f t="shared" si="115"/>
        <v>-1.5406164803407894E-3</v>
      </c>
      <c r="Z136" s="31" t="str">
        <f t="shared" si="103"/>
        <v>0.999990836529389+0.0940140465429137i</v>
      </c>
      <c r="AA136" s="17">
        <f t="shared" si="116"/>
        <v>1.0044004749551447</v>
      </c>
      <c r="AB136" s="17">
        <f t="shared" si="117"/>
        <v>9.3739374725444718E-2</v>
      </c>
      <c r="AC136" s="66" t="str">
        <f t="shared" si="118"/>
        <v>-83.3926127628241-1143.76253506371i</v>
      </c>
      <c r="AD136" s="64">
        <f t="shared" si="119"/>
        <v>61.189743199135606</v>
      </c>
      <c r="AE136" s="61">
        <f t="shared" si="120"/>
        <v>-94.170100738148022</v>
      </c>
      <c r="AF136" s="31" t="str">
        <f t="shared" si="104"/>
        <v>-0.332666666666667</v>
      </c>
      <c r="AG136" s="31" t="str">
        <f t="shared" si="121"/>
        <v>950.998579769078i</v>
      </c>
      <c r="AH136" s="31">
        <f t="shared" si="122"/>
        <v>950.99857976907799</v>
      </c>
      <c r="AI136" s="31">
        <f t="shared" si="123"/>
        <v>1.5707963267948966</v>
      </c>
      <c r="AJ136" s="31" t="str">
        <f t="shared" si="105"/>
        <v>0.951747565216378+7.84237840511257i</v>
      </c>
      <c r="AK136" s="31">
        <f t="shared" si="124"/>
        <v>7.8999191436919958</v>
      </c>
      <c r="AL136" s="31">
        <f t="shared" si="125"/>
        <v>1.4500273602881624</v>
      </c>
      <c r="AM136" s="31" t="str">
        <f t="shared" si="106"/>
        <v>1+28533.0386284708i</v>
      </c>
      <c r="AN136" s="31">
        <f t="shared" si="126"/>
        <v>28533.038645994344</v>
      </c>
      <c r="AO136" s="31">
        <f t="shared" si="127"/>
        <v>1.5707612797039572</v>
      </c>
      <c r="AP136" s="31" t="str">
        <f t="shared" si="107"/>
        <v>1+3.08123539845181i</v>
      </c>
      <c r="AQ136" s="31">
        <f t="shared" si="128"/>
        <v>3.2394461842531799</v>
      </c>
      <c r="AR136" s="31">
        <f t="shared" si="129"/>
        <v>1.2569758803125679</v>
      </c>
      <c r="AS136" s="58" t="str">
        <f t="shared" si="130"/>
        <v>-4.01678867098266+0.785372309806967i</v>
      </c>
      <c r="AT136" s="49">
        <f t="shared" si="131"/>
        <v>12.240511322310867</v>
      </c>
      <c r="AU136" s="61">
        <f t="shared" si="132"/>
        <v>168.93695691824905</v>
      </c>
      <c r="AV136" s="58" t="str">
        <f t="shared" si="108"/>
        <v>1233.24992622301+4528.75814423194i</v>
      </c>
      <c r="AW136" s="64">
        <f t="shared" si="133"/>
        <v>73.430254521446471</v>
      </c>
      <c r="AX136" s="61">
        <f t="shared" si="134"/>
        <v>74.766856180101072</v>
      </c>
    </row>
    <row r="137" spans="14:50" x14ac:dyDescent="0.3">
      <c r="N137" s="10">
        <v>19</v>
      </c>
      <c r="O137" s="50">
        <f t="shared" si="135"/>
        <v>154.8816618912482</v>
      </c>
      <c r="P137" s="48" t="str">
        <f t="shared" si="99"/>
        <v>51201.9230769231</v>
      </c>
      <c r="Q137" s="17" t="str">
        <f t="shared" si="100"/>
        <v>1+45.4760565981222i</v>
      </c>
      <c r="R137" s="17">
        <f t="shared" si="110"/>
        <v>45.487050066096984</v>
      </c>
      <c r="S137" s="17">
        <f t="shared" si="111"/>
        <v>1.5488102765346254</v>
      </c>
      <c r="T137" s="17" t="str">
        <f t="shared" si="101"/>
        <v>1+2.91945054703994E-09i</v>
      </c>
      <c r="U137" s="17">
        <f t="shared" si="112"/>
        <v>1</v>
      </c>
      <c r="V137" s="17">
        <f t="shared" si="113"/>
        <v>2.91945054703994E-9</v>
      </c>
      <c r="W137" s="31" t="str">
        <f t="shared" si="102"/>
        <v>1-0.00157650329540157i</v>
      </c>
      <c r="X137" s="17">
        <f t="shared" si="114"/>
        <v>1.000001242680548</v>
      </c>
      <c r="Y137" s="17">
        <f t="shared" si="115"/>
        <v>-1.5765019893427201E-3</v>
      </c>
      <c r="Z137" s="31" t="str">
        <f t="shared" si="103"/>
        <v>0.999990404668324+0.0962039150033202i</v>
      </c>
      <c r="AA137" s="17">
        <f t="shared" si="116"/>
        <v>1.0046073873363088</v>
      </c>
      <c r="AB137" s="17">
        <f t="shared" si="117"/>
        <v>9.5909671700805388E-2</v>
      </c>
      <c r="AC137" s="66" t="str">
        <f t="shared" si="118"/>
        <v>-84.515748004894-1117.2843023098i</v>
      </c>
      <c r="AD137" s="64">
        <f t="shared" si="119"/>
        <v>60.98805344593324</v>
      </c>
      <c r="AE137" s="61">
        <f t="shared" si="120"/>
        <v>-94.325838257976528</v>
      </c>
      <c r="AF137" s="31" t="str">
        <f t="shared" si="104"/>
        <v>-0.332666666666667</v>
      </c>
      <c r="AG137" s="31" t="str">
        <f t="shared" si="121"/>
        <v>973.150182346647i</v>
      </c>
      <c r="AH137" s="31">
        <f t="shared" si="122"/>
        <v>973.15018234664694</v>
      </c>
      <c r="AI137" s="31">
        <f t="shared" si="123"/>
        <v>1.5707963267948966</v>
      </c>
      <c r="AJ137" s="31" t="str">
        <f t="shared" si="105"/>
        <v>0.949473498025106+8.02505086476561i</v>
      </c>
      <c r="AK137" s="31">
        <f t="shared" si="124"/>
        <v>8.081023530811386</v>
      </c>
      <c r="AL137" s="31">
        <f t="shared" si="125"/>
        <v>1.453030088299978</v>
      </c>
      <c r="AM137" s="31" t="str">
        <f t="shared" si="106"/>
        <v>1+29197.6584769903i</v>
      </c>
      <c r="AN137" s="31">
        <f t="shared" si="126"/>
        <v>29197.658494114956</v>
      </c>
      <c r="AO137" s="31">
        <f t="shared" si="127"/>
        <v>1.5707620774731437</v>
      </c>
      <c r="AP137" s="31" t="str">
        <f t="shared" si="107"/>
        <v>1+3.15300659080314i</v>
      </c>
      <c r="AQ137" s="31">
        <f t="shared" si="128"/>
        <v>3.307786353688527</v>
      </c>
      <c r="AR137" s="31">
        <f t="shared" si="129"/>
        <v>1.2636738810018273</v>
      </c>
      <c r="AS137" s="58" t="str">
        <f t="shared" si="130"/>
        <v>-4.01247843130802+0.769143255549447i</v>
      </c>
      <c r="AT137" s="49">
        <f t="shared" si="131"/>
        <v>12.224970452411741</v>
      </c>
      <c r="AU137" s="61">
        <f t="shared" si="132"/>
        <v>169.14872615562405</v>
      </c>
      <c r="AV137" s="58" t="str">
        <f t="shared" si="108"/>
        <v>1198.46930162835+4418.07444709142i</v>
      </c>
      <c r="AW137" s="64">
        <f t="shared" si="133"/>
        <v>73.213023898344971</v>
      </c>
      <c r="AX137" s="61">
        <f t="shared" si="134"/>
        <v>74.822887897647547</v>
      </c>
    </row>
    <row r="138" spans="14:50" x14ac:dyDescent="0.3">
      <c r="N138" s="10">
        <v>20</v>
      </c>
      <c r="O138" s="50">
        <f t="shared" si="135"/>
        <v>158.48931924611153</v>
      </c>
      <c r="P138" s="48" t="str">
        <f t="shared" si="99"/>
        <v>51201.9230769231</v>
      </c>
      <c r="Q138" s="17" t="str">
        <f t="shared" si="100"/>
        <v>1+46.5353300334214i</v>
      </c>
      <c r="R138" s="17">
        <f t="shared" si="110"/>
        <v>46.546073317944362</v>
      </c>
      <c r="S138" s="17">
        <f t="shared" si="111"/>
        <v>1.5493105843385093</v>
      </c>
      <c r="T138" s="17" t="str">
        <f t="shared" si="101"/>
        <v>1+2.98745328609619E-09i</v>
      </c>
      <c r="U138" s="17">
        <f t="shared" si="112"/>
        <v>1</v>
      </c>
      <c r="V138" s="17">
        <f t="shared" si="113"/>
        <v>2.9874532860961902E-9</v>
      </c>
      <c r="W138" s="31" t="str">
        <f t="shared" si="102"/>
        <v>1-0.00161322477449194i</v>
      </c>
      <c r="X138" s="17">
        <f t="shared" si="114"/>
        <v>1.0000013012462399</v>
      </c>
      <c r="Y138" s="17">
        <f t="shared" si="115"/>
        <v>-1.6132233750247669E-3</v>
      </c>
      <c r="Z138" s="31" t="str">
        <f t="shared" si="103"/>
        <v>0.999989952454274+0.098444792052871i</v>
      </c>
      <c r="AA138" s="17">
        <f t="shared" si="116"/>
        <v>1.0048240055312343</v>
      </c>
      <c r="AB138" s="17">
        <f t="shared" si="117"/>
        <v>9.8129586366389188E-2</v>
      </c>
      <c r="AC138" s="66" t="str">
        <f t="shared" si="118"/>
        <v>-85.5842730370907-1091.39656088859i</v>
      </c>
      <c r="AD138" s="64">
        <f t="shared" si="119"/>
        <v>60.786275734716988</v>
      </c>
      <c r="AE138" s="61">
        <f t="shared" si="120"/>
        <v>-94.483799501334886</v>
      </c>
      <c r="AF138" s="31" t="str">
        <f t="shared" si="104"/>
        <v>-0.332666666666667</v>
      </c>
      <c r="AG138" s="31" t="str">
        <f t="shared" si="121"/>
        <v>995.817762032063i</v>
      </c>
      <c r="AH138" s="31">
        <f t="shared" si="122"/>
        <v>995.817762032063</v>
      </c>
      <c r="AI138" s="31">
        <f t="shared" si="123"/>
        <v>1.5707963267948966</v>
      </c>
      <c r="AJ138" s="31" t="str">
        <f t="shared" si="105"/>
        <v>0.947092257348938+8.21197831261126i</v>
      </c>
      <c r="AK138" s="31">
        <f t="shared" si="124"/>
        <v>8.2664122538576539</v>
      </c>
      <c r="AL138" s="31">
        <f t="shared" si="125"/>
        <v>1.4559730428575197</v>
      </c>
      <c r="AM138" s="31" t="str">
        <f t="shared" si="106"/>
        <v>1+29877.7593105109i</v>
      </c>
      <c r="AN138" s="31">
        <f t="shared" si="126"/>
        <v>29877.759327245756</v>
      </c>
      <c r="AO138" s="31">
        <f t="shared" si="127"/>
        <v>1.5707628570828867</v>
      </c>
      <c r="AP138" s="31" t="str">
        <f t="shared" si="107"/>
        <v>1+3.22644954898388i</v>
      </c>
      <c r="AQ138" s="31">
        <f t="shared" si="128"/>
        <v>3.3778657007255748</v>
      </c>
      <c r="AR138" s="31">
        <f t="shared" si="129"/>
        <v>1.2702470297282866</v>
      </c>
      <c r="AS138" s="58" t="str">
        <f t="shared" si="130"/>
        <v>-4.00835573667716+0.753274395232286i</v>
      </c>
      <c r="AT138" s="49">
        <f t="shared" si="131"/>
        <v>12.210055225321311</v>
      </c>
      <c r="AU138" s="61">
        <f t="shared" si="132"/>
        <v>169.35676562866391</v>
      </c>
      <c r="AV138" s="58" t="str">
        <f t="shared" si="108"/>
        <v>1165.17329615952+4310.23722431409i</v>
      </c>
      <c r="AW138" s="64">
        <f t="shared" si="133"/>
        <v>72.996330960038293</v>
      </c>
      <c r="AX138" s="61">
        <f t="shared" si="134"/>
        <v>74.872966127328965</v>
      </c>
    </row>
    <row r="139" spans="14:50" x14ac:dyDescent="0.3">
      <c r="N139" s="10">
        <v>21</v>
      </c>
      <c r="O139" s="50">
        <f t="shared" si="135"/>
        <v>162.18100973589304</v>
      </c>
      <c r="P139" s="48" t="str">
        <f t="shared" si="99"/>
        <v>51201.9230769231</v>
      </c>
      <c r="Q139" s="17" t="str">
        <f t="shared" si="100"/>
        <v>1+47.6192771166721i</v>
      </c>
      <c r="R139" s="17">
        <f t="shared" si="110"/>
        <v>47.629775908715033</v>
      </c>
      <c r="S139" s="17">
        <f t="shared" si="111"/>
        <v>1.5497995141416854</v>
      </c>
      <c r="T139" s="17" t="str">
        <f t="shared" si="101"/>
        <v>1+3.05704001242833E-09i</v>
      </c>
      <c r="U139" s="17">
        <f t="shared" si="112"/>
        <v>1</v>
      </c>
      <c r="V139" s="17">
        <f t="shared" si="113"/>
        <v>3.05704001242833E-9</v>
      </c>
      <c r="W139" s="31" t="str">
        <f t="shared" si="102"/>
        <v>1-0.0016508016067113i</v>
      </c>
      <c r="X139" s="17">
        <f t="shared" si="114"/>
        <v>1.0000013625720441</v>
      </c>
      <c r="Y139" s="17">
        <f t="shared" si="115"/>
        <v>-1.6508001071553172E-3</v>
      </c>
      <c r="Z139" s="31" t="str">
        <f t="shared" si="103"/>
        <v>0.999989478928032+0.100737865834239i</v>
      </c>
      <c r="AA139" s="17">
        <f t="shared" si="116"/>
        <v>1.0050507825874244</v>
      </c>
      <c r="AB139" s="17">
        <f t="shared" si="117"/>
        <v>0.10040020845884197</v>
      </c>
      <c r="AC139" s="66" t="str">
        <f t="shared" si="118"/>
        <v>-86.600453202878-1066.08576729091i</v>
      </c>
      <c r="AD139" s="64">
        <f t="shared" si="119"/>
        <v>60.584406405418669</v>
      </c>
      <c r="AE139" s="61">
        <f t="shared" si="120"/>
        <v>-94.644063162473671</v>
      </c>
      <c r="AF139" s="31" t="str">
        <f t="shared" si="104"/>
        <v>-0.332666666666667</v>
      </c>
      <c r="AG139" s="31" t="str">
        <f t="shared" si="121"/>
        <v>1019.01333747611i</v>
      </c>
      <c r="AH139" s="31">
        <f t="shared" si="122"/>
        <v>1019.01333747611</v>
      </c>
      <c r="AI139" s="31">
        <f t="shared" si="123"/>
        <v>1.5707963267948966</v>
      </c>
      <c r="AJ139" s="31" t="str">
        <f t="shared" si="105"/>
        <v>0.944598792257143+8.40325986005663i</v>
      </c>
      <c r="AK139" s="31">
        <f t="shared" si="124"/>
        <v>8.4561837228133019</v>
      </c>
      <c r="AL139" s="31">
        <f t="shared" si="125"/>
        <v>1.458857609335158</v>
      </c>
      <c r="AM139" s="31" t="str">
        <f t="shared" si="106"/>
        <v>1+30573.7017274968i</v>
      </c>
      <c r="AN139" s="31">
        <f t="shared" si="126"/>
        <v>30573.701743850725</v>
      </c>
      <c r="AO139" s="31">
        <f t="shared" si="127"/>
        <v>1.5707636189465453</v>
      </c>
      <c r="AP139" s="31" t="str">
        <f t="shared" si="107"/>
        <v>1+3.3016032134226i</v>
      </c>
      <c r="AQ139" s="31">
        <f t="shared" si="128"/>
        <v>3.4497222756161752</v>
      </c>
      <c r="AR139" s="31">
        <f t="shared" si="129"/>
        <v>1.2766965388376452</v>
      </c>
      <c r="AS139" s="58" t="str">
        <f t="shared" si="130"/>
        <v>-4.0044126153494+0.737760400497706i</v>
      </c>
      <c r="AT139" s="49">
        <f t="shared" si="131"/>
        <v>12.195743315034397</v>
      </c>
      <c r="AU139" s="61">
        <f t="shared" si="132"/>
        <v>169.56106544724005</v>
      </c>
      <c r="AV139" s="58" t="str">
        <f t="shared" si="108"/>
        <v>1133.29980994203+4205.15691054593i</v>
      </c>
      <c r="AW139" s="64">
        <f t="shared" si="133"/>
        <v>72.780149720453068</v>
      </c>
      <c r="AX139" s="61">
        <f t="shared" si="134"/>
        <v>74.91700228476634</v>
      </c>
    </row>
    <row r="140" spans="14:50" x14ac:dyDescent="0.3">
      <c r="N140" s="10">
        <v>22</v>
      </c>
      <c r="O140" s="50">
        <f t="shared" si="135"/>
        <v>165.95869074375622</v>
      </c>
      <c r="P140" s="48" t="str">
        <f t="shared" si="99"/>
        <v>51201.9230769231</v>
      </c>
      <c r="Q140" s="17" t="str">
        <f t="shared" si="100"/>
        <v>1+48.728472570966i</v>
      </c>
      <c r="R140" s="17">
        <f t="shared" si="110"/>
        <v>48.738732432218484</v>
      </c>
      <c r="S140" s="17">
        <f t="shared" si="111"/>
        <v>1.5502773242456325</v>
      </c>
      <c r="T140" s="17" t="str">
        <f t="shared" si="101"/>
        <v>1+3.12824762183979E-09i</v>
      </c>
      <c r="U140" s="17">
        <f t="shared" si="112"/>
        <v>1</v>
      </c>
      <c r="V140" s="17">
        <f t="shared" si="113"/>
        <v>3.1282476218397899E-9</v>
      </c>
      <c r="W140" s="31" t="str">
        <f t="shared" si="102"/>
        <v>1-0.00168925371579349i</v>
      </c>
      <c r="X140" s="17">
        <f t="shared" si="114"/>
        <v>1.0000014267880402</v>
      </c>
      <c r="Y140" s="17">
        <f t="shared" si="115"/>
        <v>-1.6892521089904289E-3</v>
      </c>
      <c r="Z140" s="31" t="str">
        <f t="shared" si="103"/>
        <v>0.999988983085187+0.103084352165495i</v>
      </c>
      <c r="AA140" s="17">
        <f t="shared" si="116"/>
        <v>1.005288192486675</v>
      </c>
      <c r="AB140" s="17">
        <f t="shared" si="117"/>
        <v>0.10272264848136495</v>
      </c>
      <c r="AC140" s="66" t="str">
        <f t="shared" si="118"/>
        <v>-87.5664439315133-1041.33867559877i</v>
      </c>
      <c r="AD140" s="64">
        <f t="shared" si="119"/>
        <v>60.382441614224248</v>
      </c>
      <c r="AE140" s="61">
        <f t="shared" si="120"/>
        <v>-94.806708809640483</v>
      </c>
      <c r="AF140" s="31" t="str">
        <f t="shared" si="104"/>
        <v>-0.332666666666667</v>
      </c>
      <c r="AG140" s="31" t="str">
        <f t="shared" si="121"/>
        <v>1042.74920727993i</v>
      </c>
      <c r="AH140" s="31">
        <f t="shared" si="122"/>
        <v>1042.74920727993</v>
      </c>
      <c r="AI140" s="31">
        <f t="shared" si="123"/>
        <v>1.5707963267948966</v>
      </c>
      <c r="AJ140" s="31" t="str">
        <f t="shared" si="105"/>
        <v>0.941987813775956+8.5989969271101i</v>
      </c>
      <c r="AK140" s="31">
        <f t="shared" si="124"/>
        <v>8.6504386705965004</v>
      </c>
      <c r="AL140" s="31">
        <f t="shared" si="125"/>
        <v>1.4616851534965098</v>
      </c>
      <c r="AM140" s="31" t="str">
        <f t="shared" si="106"/>
        <v>1+31285.8547258295i</v>
      </c>
      <c r="AN140" s="31">
        <f t="shared" si="126"/>
        <v>31285.854741811163</v>
      </c>
      <c r="AO140" s="31">
        <f t="shared" si="127"/>
        <v>1.5707643634680697</v>
      </c>
      <c r="AP140" s="31" t="str">
        <f t="shared" si="107"/>
        <v>1+3.37850743158697i</v>
      </c>
      <c r="AQ140" s="31">
        <f t="shared" si="128"/>
        <v>3.52339501976267</v>
      </c>
      <c r="AR140" s="31">
        <f t="shared" si="129"/>
        <v>1.2830236809597864</v>
      </c>
      <c r="AS140" s="58" t="str">
        <f t="shared" si="130"/>
        <v>-4.00064141036967+0.72259593494617i</v>
      </c>
      <c r="AT140" s="49">
        <f t="shared" si="131"/>
        <v>12.182012949561152</v>
      </c>
      <c r="AU140" s="61">
        <f t="shared" si="132"/>
        <v>169.76162029832687</v>
      </c>
      <c r="AV140" s="58" t="str">
        <f t="shared" si="108"/>
        <v>1102.78903564113+4102.74747139734i</v>
      </c>
      <c r="AW140" s="64">
        <f t="shared" si="133"/>
        <v>72.564454563785389</v>
      </c>
      <c r="AX140" s="61">
        <f t="shared" si="134"/>
        <v>74.954911488686292</v>
      </c>
    </row>
    <row r="141" spans="14:50" x14ac:dyDescent="0.3">
      <c r="N141" s="10">
        <v>23</v>
      </c>
      <c r="O141" s="50">
        <f t="shared" si="135"/>
        <v>169.82436524617444</v>
      </c>
      <c r="P141" s="48" t="str">
        <f t="shared" si="99"/>
        <v>51201.9230769231</v>
      </c>
      <c r="Q141" s="17" t="str">
        <f t="shared" si="100"/>
        <v>1+49.8635045064143i</v>
      </c>
      <c r="R141" s="17">
        <f t="shared" si="110"/>
        <v>49.873530872209152</v>
      </c>
      <c r="S141" s="17">
        <f t="shared" si="111"/>
        <v>1.55074426711841</v>
      </c>
      <c r="T141" s="17" t="str">
        <f t="shared" si="101"/>
        <v>1+3.20111386954758E-09i</v>
      </c>
      <c r="U141" s="17">
        <f t="shared" si="112"/>
        <v>1</v>
      </c>
      <c r="V141" s="17">
        <f t="shared" si="113"/>
        <v>3.2011138695475802E-9</v>
      </c>
      <c r="W141" s="31" t="str">
        <f t="shared" si="102"/>
        <v>1-0.00172860148955569i</v>
      </c>
      <c r="X141" s="17">
        <f t="shared" si="114"/>
        <v>1.0000014940304387</v>
      </c>
      <c r="Y141" s="17">
        <f t="shared" si="115"/>
        <v>-1.7285997678353293E-3</v>
      </c>
      <c r="Z141" s="31" t="str">
        <f t="shared" si="103"/>
        <v>0.999988463873988+0.105485495184753i</v>
      </c>
      <c r="AA141" s="17">
        <f t="shared" si="116"/>
        <v>1.0055367310921222</v>
      </c>
      <c r="AB141" s="17">
        <f t="shared" si="117"/>
        <v>0.1050980378697397</v>
      </c>
      <c r="AC141" s="66" t="str">
        <f t="shared" si="118"/>
        <v>-88.4842953073956-1017.14233127863i</v>
      </c>
      <c r="AD141" s="64">
        <f t="shared" si="119"/>
        <v>60.180377326417741</v>
      </c>
      <c r="AE141" s="61">
        <f t="shared" si="120"/>
        <v>-94.971816902789001</v>
      </c>
      <c r="AF141" s="31" t="str">
        <f t="shared" si="104"/>
        <v>-0.332666666666667</v>
      </c>
      <c r="AG141" s="31" t="str">
        <f t="shared" si="121"/>
        <v>1067.03795651586i</v>
      </c>
      <c r="AH141" s="31">
        <f t="shared" si="122"/>
        <v>1067.0379565158601</v>
      </c>
      <c r="AI141" s="31">
        <f t="shared" si="123"/>
        <v>1.5707963267948966</v>
      </c>
      <c r="AJ141" s="31" t="str">
        <f t="shared" si="105"/>
        <v>0.939253783669958+8.7992932961555i</v>
      </c>
      <c r="AK141" s="31">
        <f t="shared" si="124"/>
        <v>8.8492802069945462</v>
      </c>
      <c r="AL141" s="31">
        <f t="shared" si="125"/>
        <v>1.4644570214961485</v>
      </c>
      <c r="AM141" s="31" t="str">
        <f t="shared" si="106"/>
        <v>1+32014.595898455i</v>
      </c>
      <c r="AN141" s="31">
        <f t="shared" si="126"/>
        <v>32014.595914072874</v>
      </c>
      <c r="AO141" s="31">
        <f t="shared" si="127"/>
        <v>1.5707650910422153</v>
      </c>
      <c r="AP141" s="31" t="str">
        <f t="shared" si="107"/>
        <v>1+3.45720297911139i</v>
      </c>
      <c r="AQ141" s="31">
        <f t="shared" si="128"/>
        <v>3.5989237889647887</v>
      </c>
      <c r="AR141" s="31">
        <f t="shared" si="129"/>
        <v>1.2892297837289151</v>
      </c>
      <c r="AS141" s="58" t="str">
        <f t="shared" si="130"/>
        <v>-3.99703476890414+0.707775663366906i</v>
      </c>
      <c r="AT141" s="49">
        <f t="shared" si="131"/>
        <v>12.168842917742669</v>
      </c>
      <c r="AU141" s="61">
        <f t="shared" si="132"/>
        <v>169.95842914340361</v>
      </c>
      <c r="AV141" s="58" t="str">
        <f t="shared" si="108"/>
        <v>1073.58339310494+4002.92623223615i</v>
      </c>
      <c r="AW141" s="64">
        <f t="shared" si="133"/>
        <v>72.349220244160406</v>
      </c>
      <c r="AX141" s="61">
        <f t="shared" si="134"/>
        <v>74.986612240614534</v>
      </c>
    </row>
    <row r="142" spans="14:50" x14ac:dyDescent="0.3">
      <c r="N142" s="10">
        <v>24</v>
      </c>
      <c r="O142" s="50">
        <f t="shared" si="135"/>
        <v>173.78008287493768</v>
      </c>
      <c r="P142" s="48" t="str">
        <f t="shared" si="99"/>
        <v>51201.9230769231</v>
      </c>
      <c r="Q142" s="17" t="str">
        <f t="shared" si="100"/>
        <v>1+51.0249747319737i</v>
      </c>
      <c r="R142" s="17">
        <f t="shared" si="110"/>
        <v>51.03477291414702</v>
      </c>
      <c r="S142" s="17">
        <f t="shared" si="111"/>
        <v>1.551200589524361</v>
      </c>
      <c r="T142" s="17" t="str">
        <f t="shared" si="101"/>
        <v>1+3.27567739020078E-09i</v>
      </c>
      <c r="U142" s="17">
        <f t="shared" si="112"/>
        <v>1</v>
      </c>
      <c r="V142" s="17">
        <f t="shared" si="113"/>
        <v>3.2756773902007801E-9</v>
      </c>
      <c r="W142" s="31" t="str">
        <f t="shared" si="102"/>
        <v>1-0.00176886579070842i</v>
      </c>
      <c r="X142" s="17">
        <f t="shared" si="114"/>
        <v>1.0000015644418689</v>
      </c>
      <c r="Y142" s="17">
        <f t="shared" si="115"/>
        <v>-1.7688639458519713E-3</v>
      </c>
      <c r="Z142" s="31" t="str">
        <f t="shared" si="103"/>
        <v>0.999987920193118+0.107942568009823i</v>
      </c>
      <c r="AA142" s="17">
        <f t="shared" si="116"/>
        <v>1.0057969171362144</v>
      </c>
      <c r="AB142" s="17">
        <f t="shared" si="117"/>
        <v>0.10752752914097559</v>
      </c>
      <c r="AC142" s="66" t="str">
        <f t="shared" si="118"/>
        <v>-89.3559564250213-993.48406509197i</v>
      </c>
      <c r="AD142" s="64">
        <f t="shared" si="119"/>
        <v>59.978209308911879</v>
      </c>
      <c r="AE142" s="61">
        <f t="shared" si="120"/>
        <v>-95.139468810146639</v>
      </c>
      <c r="AF142" s="31" t="str">
        <f t="shared" si="104"/>
        <v>-0.332666666666667</v>
      </c>
      <c r="AG142" s="31" t="str">
        <f t="shared" si="121"/>
        <v>1091.89246340026i</v>
      </c>
      <c r="AH142" s="31">
        <f t="shared" si="122"/>
        <v>1091.8924634002601</v>
      </c>
      <c r="AI142" s="31">
        <f t="shared" si="123"/>
        <v>1.5707963267948966</v>
      </c>
      <c r="AJ142" s="31" t="str">
        <f t="shared" si="105"/>
        <v>0.936390902694737+9.00425516697895i</v>
      </c>
      <c r="AK142" s="31">
        <f t="shared" si="124"/>
        <v>9.0528138738580388</v>
      </c>
      <c r="AL142" s="31">
        <f t="shared" si="125"/>
        <v>1.467174539915407</v>
      </c>
      <c r="AM142" s="31" t="str">
        <f t="shared" si="106"/>
        <v>1+32760.3116335893i</v>
      </c>
      <c r="AN142" s="31">
        <f t="shared" si="126"/>
        <v>32760.311648851664</v>
      </c>
      <c r="AO142" s="31">
        <f t="shared" si="127"/>
        <v>1.5707658020547515</v>
      </c>
      <c r="AP142" s="31" t="str">
        <f t="shared" si="107"/>
        <v>1+3.53773158141684i</v>
      </c>
      <c r="AQ142" s="31">
        <f t="shared" si="128"/>
        <v>3.6763493770524716</v>
      </c>
      <c r="AR142" s="31">
        <f t="shared" si="129"/>
        <v>1.2953162247130834</v>
      </c>
      <c r="AS142" s="58" t="str">
        <f t="shared" si="130"/>
        <v>-3.99358563176014+0.693294260271598i</v>
      </c>
      <c r="AT142" s="49">
        <f t="shared" si="131"/>
        <v>12.156212573807679</v>
      </c>
      <c r="AU142" s="61">
        <f t="shared" si="132"/>
        <v>170.15149492589686</v>
      </c>
      <c r="AV142" s="58" t="str">
        <f t="shared" si="108"/>
        <v>1045.62746369071+3905.6137160234i</v>
      </c>
      <c r="AW142" s="64">
        <f t="shared" si="133"/>
        <v>72.134421882719565</v>
      </c>
      <c r="AX142" s="61">
        <f t="shared" si="134"/>
        <v>75.012026115750174</v>
      </c>
    </row>
    <row r="143" spans="14:50" x14ac:dyDescent="0.3">
      <c r="N143" s="10">
        <v>25</v>
      </c>
      <c r="O143" s="50">
        <f t="shared" si="135"/>
        <v>177.82794100389242</v>
      </c>
      <c r="P143" s="48" t="str">
        <f t="shared" si="99"/>
        <v>51201.9230769231</v>
      </c>
      <c r="Q143" s="17" t="str">
        <f t="shared" si="100"/>
        <v>1+52.2134990745314i</v>
      </c>
      <c r="R143" s="17">
        <f t="shared" si="110"/>
        <v>52.223074264218596</v>
      </c>
      <c r="S143" s="17">
        <f t="shared" si="111"/>
        <v>1.5516465326510691</v>
      </c>
      <c r="T143" s="17" t="str">
        <f t="shared" si="101"/>
        <v>1+3.35197771836498E-09i</v>
      </c>
      <c r="U143" s="17">
        <f t="shared" si="112"/>
        <v>1</v>
      </c>
      <c r="V143" s="17">
        <f t="shared" si="113"/>
        <v>3.3519777183649799E-9</v>
      </c>
      <c r="W143" s="31" t="str">
        <f t="shared" si="102"/>
        <v>1-0.00181006796791709i</v>
      </c>
      <c r="X143" s="17">
        <f t="shared" si="114"/>
        <v>1.0000016381716825</v>
      </c>
      <c r="Y143" s="17">
        <f t="shared" si="115"/>
        <v>-1.8100659911179646E-3</v>
      </c>
      <c r="Z143" s="31" t="str">
        <f t="shared" si="103"/>
        <v>0.999987350889359+0.110456873413241i</v>
      </c>
      <c r="AA143" s="17">
        <f t="shared" si="116"/>
        <v>1.0060692932511888</v>
      </c>
      <c r="AB143" s="17">
        <f t="shared" si="117"/>
        <v>0.11001229602285209</v>
      </c>
      <c r="AC143" s="66" t="str">
        <f t="shared" si="118"/>
        <v>-90.1832795388213-970.35148712377i</v>
      </c>
      <c r="AD143" s="64">
        <f t="shared" si="119"/>
        <v>59.775933122460707</v>
      </c>
      <c r="AE143" s="61">
        <f t="shared" si="120"/>
        <v>-95.309746823544657</v>
      </c>
      <c r="AF143" s="31" t="str">
        <f t="shared" si="104"/>
        <v>-0.332666666666667</v>
      </c>
      <c r="AG143" s="31" t="str">
        <f t="shared" si="121"/>
        <v>1117.32590612166i</v>
      </c>
      <c r="AH143" s="31">
        <f t="shared" si="122"/>
        <v>1117.32590612166</v>
      </c>
      <c r="AI143" s="31">
        <f t="shared" si="123"/>
        <v>1.5707963267948966</v>
      </c>
      <c r="AJ143" s="31" t="str">
        <f t="shared" si="105"/>
        <v>0.933393098295911+9.21399121307733i</v>
      </c>
      <c r="AK143" s="31">
        <f t="shared" si="124"/>
        <v>9.2611477015871362</v>
      </c>
      <c r="AL143" s="31">
        <f t="shared" si="125"/>
        <v>1.4698390158297039</v>
      </c>
      <c r="AM143" s="31" t="str">
        <f t="shared" si="106"/>
        <v>1+33523.3973195857i</v>
      </c>
      <c r="AN143" s="31">
        <f t="shared" si="126"/>
        <v>33523.39733450066</v>
      </c>
      <c r="AO143" s="31">
        <f t="shared" si="127"/>
        <v>1.5707664968826665</v>
      </c>
      <c r="AP143" s="31" t="str">
        <f t="shared" si="107"/>
        <v>1+3.62013593583418i</v>
      </c>
      <c r="AQ143" s="31">
        <f t="shared" si="128"/>
        <v>3.7557135399172834</v>
      </c>
      <c r="AR143" s="31">
        <f t="shared" si="129"/>
        <v>1.3012844265557895</v>
      </c>
      <c r="AS143" s="58" t="str">
        <f t="shared" si="130"/>
        <v>-3.99028722310523+0.679146417771037i</v>
      </c>
      <c r="AT143" s="49">
        <f t="shared" si="131"/>
        <v>12.144101839854857</v>
      </c>
      <c r="AU143" s="61">
        <f t="shared" si="132"/>
        <v>170.34082428896966</v>
      </c>
      <c r="AV143" s="58" t="str">
        <f t="shared" si="108"/>
        <v>1018.86792454039+3810.7334897495i</v>
      </c>
      <c r="AW143" s="64">
        <f t="shared" si="133"/>
        <v>71.920034962315555</v>
      </c>
      <c r="AX143" s="61">
        <f t="shared" si="134"/>
        <v>75.031077465425</v>
      </c>
    </row>
    <row r="144" spans="14:50" x14ac:dyDescent="0.3">
      <c r="N144" s="10">
        <v>26</v>
      </c>
      <c r="O144" s="50">
        <f t="shared" si="135"/>
        <v>181.9700858609983</v>
      </c>
      <c r="P144" s="48" t="str">
        <f t="shared" si="99"/>
        <v>51201.9230769231</v>
      </c>
      <c r="Q144" s="17" t="str">
        <f t="shared" si="100"/>
        <v>1+53.4297077054253i</v>
      </c>
      <c r="R144" s="17">
        <f t="shared" si="110"/>
        <v>53.43906497579448</v>
      </c>
      <c r="S144" s="17">
        <f t="shared" si="111"/>
        <v>1.5520823322336146</v>
      </c>
      <c r="T144" s="17" t="str">
        <f t="shared" si="101"/>
        <v>1+3.43005530948409E-09i</v>
      </c>
      <c r="U144" s="17">
        <f t="shared" si="112"/>
        <v>1</v>
      </c>
      <c r="V144" s="17">
        <f t="shared" si="113"/>
        <v>3.43005530948409E-9</v>
      </c>
      <c r="W144" s="31" t="str">
        <f t="shared" si="102"/>
        <v>1-0.00185222986712141i</v>
      </c>
      <c r="X144" s="17">
        <f t="shared" si="114"/>
        <v>1.000001715376269</v>
      </c>
      <c r="Y144" s="17">
        <f t="shared" si="115"/>
        <v>-1.8522277489431808E-3</v>
      </c>
      <c r="Z144" s="31" t="str">
        <f t="shared" si="103"/>
        <v>0.999986754755141+0.113029744513011i</v>
      </c>
      <c r="AA144" s="17">
        <f t="shared" si="116"/>
        <v>1.0063544270436708</v>
      </c>
      <c r="AB144" s="17">
        <f t="shared" si="117"/>
        <v>0.11255353356246847</v>
      </c>
      <c r="AC144" s="66" t="str">
        <f t="shared" si="118"/>
        <v>-90.9680240167281-947.732480929007i</v>
      </c>
      <c r="AD144" s="64">
        <f t="shared" si="119"/>
        <v>59.573544113546603</v>
      </c>
      <c r="AE144" s="61">
        <f t="shared" si="120"/>
        <v>-95.482734172405046</v>
      </c>
      <c r="AF144" s="31" t="str">
        <f t="shared" si="104"/>
        <v>-0.332666666666667</v>
      </c>
      <c r="AG144" s="31" t="str">
        <f t="shared" si="121"/>
        <v>1143.35176982803i</v>
      </c>
      <c r="AH144" s="31">
        <f t="shared" si="122"/>
        <v>1143.35176982803</v>
      </c>
      <c r="AI144" s="31">
        <f t="shared" si="123"/>
        <v>1.5707963267948966</v>
      </c>
      <c r="AJ144" s="31" t="str">
        <f t="shared" si="105"/>
        <v>0.930254011728429+9.42861263927846i</v>
      </c>
      <c r="AK144" s="31">
        <f t="shared" si="124"/>
        <v>9.4743922669424236</v>
      </c>
      <c r="AL144" s="31">
        <f t="shared" si="125"/>
        <v>1.4724517369049828</v>
      </c>
      <c r="AM144" s="31" t="str">
        <f t="shared" si="106"/>
        <v>1+34304.2575545752i</v>
      </c>
      <c r="AN144" s="31">
        <f t="shared" si="126"/>
        <v>34304.257569150643</v>
      </c>
      <c r="AO144" s="31">
        <f t="shared" si="127"/>
        <v>1.5707671758943669</v>
      </c>
      <c r="AP144" s="31" t="str">
        <f t="shared" si="107"/>
        <v>1+3.70445973424282i</v>
      </c>
      <c r="AQ144" s="31">
        <f t="shared" si="128"/>
        <v>3.8370590199560888</v>
      </c>
      <c r="AR144" s="31">
        <f t="shared" si="129"/>
        <v>1.3071358523309777</v>
      </c>
      <c r="AS144" s="58" t="str">
        <f t="shared" si="130"/>
        <v>-3.98713304039734+0.665326852833312i</v>
      </c>
      <c r="AT144" s="49">
        <f t="shared" si="131"/>
        <v>12.132491206437111</v>
      </c>
      <c r="AU144" s="61">
        <f t="shared" si="132"/>
        <v>170.52642730386825</v>
      </c>
      <c r="AV144" s="58" t="str">
        <f t="shared" si="108"/>
        <v>993.253483041159+3718.21201904227i</v>
      </c>
      <c r="AW144" s="64">
        <f t="shared" si="133"/>
        <v>71.706035319983712</v>
      </c>
      <c r="AX144" s="61">
        <f t="shared" si="134"/>
        <v>75.043693131463201</v>
      </c>
    </row>
    <row r="145" spans="14:50" x14ac:dyDescent="0.3">
      <c r="N145" s="10">
        <v>27</v>
      </c>
      <c r="O145" s="50">
        <f t="shared" si="135"/>
        <v>186.20871366628685</v>
      </c>
      <c r="P145" s="48" t="str">
        <f t="shared" si="99"/>
        <v>51201.9230769231</v>
      </c>
      <c r="Q145" s="17" t="str">
        <f t="shared" si="100"/>
        <v>1+54.6742454745707i</v>
      </c>
      <c r="R145" s="17">
        <f t="shared" si="110"/>
        <v>54.683389783494718</v>
      </c>
      <c r="S145" s="17">
        <f t="shared" si="111"/>
        <v>1.5525082186761845</v>
      </c>
      <c r="T145" s="17" t="str">
        <f t="shared" si="101"/>
        <v>1+3.50995156133046E-09i</v>
      </c>
      <c r="U145" s="17">
        <f t="shared" si="112"/>
        <v>1</v>
      </c>
      <c r="V145" s="17">
        <f t="shared" si="113"/>
        <v>3.5099515613304598E-9</v>
      </c>
      <c r="W145" s="31" t="str">
        <f t="shared" si="102"/>
        <v>1-0.00189537384311845i</v>
      </c>
      <c r="X145" s="17">
        <f t="shared" si="114"/>
        <v>1.0000017962193894</v>
      </c>
      <c r="Y145" s="17">
        <f t="shared" si="115"/>
        <v>-1.8953715734498057E-3</v>
      </c>
      <c r="Z145" s="31" t="str">
        <f t="shared" si="103"/>
        <v>0.999986130525982+0.115662545479448i</v>
      </c>
      <c r="AA145" s="17">
        <f t="shared" si="116"/>
        <v>1.0066529122150851</v>
      </c>
      <c r="AB145" s="17">
        <f t="shared" si="117"/>
        <v>0.11515245821183369</v>
      </c>
      <c r="AC145" s="66" t="str">
        <f t="shared" si="118"/>
        <v>-91.7118601060195-925.615197797102i</v>
      </c>
      <c r="AD145" s="64">
        <f t="shared" si="119"/>
        <v>59.371037405933322</v>
      </c>
      <c r="AE145" s="61">
        <f t="shared" si="120"/>
        <v>-95.658515036275844</v>
      </c>
      <c r="AF145" s="31" t="str">
        <f t="shared" si="104"/>
        <v>-0.332666666666667</v>
      </c>
      <c r="AG145" s="31" t="str">
        <f t="shared" si="121"/>
        <v>1169.98385377682i</v>
      </c>
      <c r="AH145" s="31">
        <f t="shared" si="122"/>
        <v>1169.9838537768201</v>
      </c>
      <c r="AI145" s="31">
        <f t="shared" si="123"/>
        <v>1.5707963267948966</v>
      </c>
      <c r="AJ145" s="31" t="str">
        <f t="shared" si="105"/>
        <v>0.926966984568815+9.64823324070341i</v>
      </c>
      <c r="AK145" s="31">
        <f t="shared" si="124"/>
        <v>9.692660752213234</v>
      </c>
      <c r="AL145" s="31">
        <f t="shared" si="125"/>
        <v>1.4750139715209902</v>
      </c>
      <c r="AM145" s="31" t="str">
        <f t="shared" si="106"/>
        <v>1+35103.3063609909i</v>
      </c>
      <c r="AN145" s="31">
        <f t="shared" si="126"/>
        <v>35103.30637523457</v>
      </c>
      <c r="AO145" s="31">
        <f t="shared" si="127"/>
        <v>1.5707678394498743</v>
      </c>
      <c r="AP145" s="31" t="str">
        <f t="shared" si="107"/>
        <v>1+3.7907476862369i</v>
      </c>
      <c r="AQ145" s="31">
        <f t="shared" si="128"/>
        <v>3.9204295709412271</v>
      </c>
      <c r="AR145" s="31">
        <f t="shared" si="129"/>
        <v>1.312872001111512</v>
      </c>
      <c r="AS145" s="58" t="str">
        <f t="shared" si="130"/>
        <v>-3.98411684453662+0.651830313960319i</v>
      </c>
      <c r="AT145" s="49">
        <f t="shared" si="131"/>
        <v>12.121361731418403</v>
      </c>
      <c r="AU145" s="61">
        <f t="shared" si="132"/>
        <v>170.70831720896248</v>
      </c>
      <c r="AV145" s="58" t="str">
        <f t="shared" si="108"/>
        <v>968.734811678706+3627.97853053574i</v>
      </c>
      <c r="AW145" s="64">
        <f t="shared" si="133"/>
        <v>71.49239913735174</v>
      </c>
      <c r="AX145" s="61">
        <f t="shared" si="134"/>
        <v>75.049802172686668</v>
      </c>
    </row>
    <row r="146" spans="14:50" x14ac:dyDescent="0.3">
      <c r="N146" s="10">
        <v>28</v>
      </c>
      <c r="O146" s="50">
        <f t="shared" si="135"/>
        <v>190.54607179632498</v>
      </c>
      <c r="P146" s="48" t="str">
        <f t="shared" si="99"/>
        <v>51201.9230769231</v>
      </c>
      <c r="Q146" s="17" t="str">
        <f t="shared" si="100"/>
        <v>1+55.9477722523663i</v>
      </c>
      <c r="R146" s="17">
        <f t="shared" si="110"/>
        <v>55.95670844503497</v>
      </c>
      <c r="S146" s="17">
        <f t="shared" si="111"/>
        <v>1.5529244171710777</v>
      </c>
      <c r="T146" s="17" t="str">
        <f t="shared" si="101"/>
        <v>1+3.59170883595438E-09i</v>
      </c>
      <c r="U146" s="17">
        <f t="shared" si="112"/>
        <v>1</v>
      </c>
      <c r="V146" s="17">
        <f t="shared" si="113"/>
        <v>3.59170883595438E-9</v>
      </c>
      <c r="W146" s="31" t="str">
        <f t="shared" si="102"/>
        <v>1-0.00193952277141536i</v>
      </c>
      <c r="X146" s="17">
        <f t="shared" si="114"/>
        <v>1.0000018808725215</v>
      </c>
      <c r="Y146" s="17">
        <f t="shared" si="115"/>
        <v>-1.939520339421838E-3</v>
      </c>
      <c r="Z146" s="31" t="str">
        <f t="shared" si="103"/>
        <v>0.999985476877809+0.118356672258474i</v>
      </c>
      <c r="AA146" s="17">
        <f t="shared" si="116"/>
        <v>1.0069653697295846</v>
      </c>
      <c r="AB146" s="17">
        <f t="shared" si="117"/>
        <v>0.11781030788835897</v>
      </c>
      <c r="AC146" s="66" t="str">
        <f t="shared" si="118"/>
        <v>-92.4163725196271-903.988051134508i</v>
      </c>
      <c r="AD146" s="64">
        <f t="shared" si="119"/>
        <v>59.168407891879902</v>
      </c>
      <c r="AE146" s="61">
        <f t="shared" si="120"/>
        <v>-95.837174555794604</v>
      </c>
      <c r="AF146" s="31" t="str">
        <f t="shared" si="104"/>
        <v>-0.332666666666667</v>
      </c>
      <c r="AG146" s="31" t="str">
        <f t="shared" si="121"/>
        <v>1197.23627865146i</v>
      </c>
      <c r="AH146" s="31">
        <f t="shared" si="122"/>
        <v>1197.23627865146</v>
      </c>
      <c r="AI146" s="31">
        <f t="shared" si="123"/>
        <v>1.5707963267948966</v>
      </c>
      <c r="AJ146" s="31" t="str">
        <f t="shared" si="105"/>
        <v>0.923525044591763+9.87296946310203i</v>
      </c>
      <c r="AK146" s="31">
        <f t="shared" si="124"/>
        <v>9.9160690057771106</v>
      </c>
      <c r="AL146" s="31">
        <f t="shared" si="125"/>
        <v>1.4775269689192561</v>
      </c>
      <c r="AM146" s="31" t="str">
        <f t="shared" si="106"/>
        <v>1+35920.9674050867i</v>
      </c>
      <c r="AN146" s="31">
        <f t="shared" si="126"/>
        <v>35920.967419006149</v>
      </c>
      <c r="AO146" s="31">
        <f t="shared" si="127"/>
        <v>1.5707684879010142</v>
      </c>
      <c r="AP146" s="31" t="str">
        <f t="shared" si="107"/>
        <v>1+3.87904554283073i</v>
      </c>
      <c r="AQ146" s="31">
        <f t="shared" si="128"/>
        <v>4.0058699833313307</v>
      </c>
      <c r="AR146" s="31">
        <f t="shared" si="129"/>
        <v>1.3184944037500377</v>
      </c>
      <c r="AS146" s="58" t="str">
        <f t="shared" si="130"/>
        <v>-3.98123265024646+0.638651587317871i</v>
      </c>
      <c r="AT146" s="49">
        <f t="shared" si="131"/>
        <v>12.110695037263257</v>
      </c>
      <c r="AU146" s="61">
        <f t="shared" si="132"/>
        <v>170.88651015953877</v>
      </c>
      <c r="AV146" s="58" t="str">
        <f t="shared" si="108"/>
        <v>945.264483465921+3539.96488160555i</v>
      </c>
      <c r="AW146" s="64">
        <f t="shared" si="133"/>
        <v>71.279102929143164</v>
      </c>
      <c r="AX146" s="61">
        <f t="shared" si="134"/>
        <v>75.049335603744183</v>
      </c>
    </row>
    <row r="147" spans="14:50" x14ac:dyDescent="0.3">
      <c r="N147" s="10">
        <v>29</v>
      </c>
      <c r="O147" s="50">
        <f t="shared" si="135"/>
        <v>194.98445997580458</v>
      </c>
      <c r="P147" s="48" t="str">
        <f t="shared" ref="P147:P210" si="136">COMPLEX(Adc,0)</f>
        <v>51201.9230769231</v>
      </c>
      <c r="Q147" s="17" t="str">
        <f t="shared" ref="Q147:Q210" si="137">IMSUM(COMPLEX(1,0),IMDIV(COMPLEX(0,2*PI()*O147),COMPLEX(wp_lf,0)))</f>
        <v>1+57.2509632795658i</v>
      </c>
      <c r="R147" s="17">
        <f t="shared" si="110"/>
        <v>57.259696091039388</v>
      </c>
      <c r="S147" s="17">
        <f t="shared" si="111"/>
        <v>1.5533311478151588</v>
      </c>
      <c r="T147" s="17" t="str">
        <f t="shared" ref="T147:T210" si="138">IMSUM(COMPLEX(1,0),IMDIV(COMPLEX(0,2*PI()*O147),COMPLEX(wz_esr,0)))</f>
        <v>1+3.67537048214496E-09i</v>
      </c>
      <c r="U147" s="17">
        <f t="shared" si="112"/>
        <v>1</v>
      </c>
      <c r="V147" s="17">
        <f t="shared" si="113"/>
        <v>3.6753704821449599E-9</v>
      </c>
      <c r="W147" s="31" t="str">
        <f t="shared" ref="W147:W210" si="139">IMSUB(COMPLEX(1,0),IMDIV(COMPLEX(0,2*PI()*O147),COMPLEX(wz_rhp,0)))</f>
        <v>1-0.00198470006035828i</v>
      </c>
      <c r="X147" s="17">
        <f t="shared" si="114"/>
        <v>1.0000019695152254</v>
      </c>
      <c r="Y147" s="17">
        <f t="shared" si="115"/>
        <v>-1.984697454430548E-3</v>
      </c>
      <c r="Z147" s="31" t="str">
        <f t="shared" ref="Z147:Z210" si="140">IMSUM(COMPLEX(1,0),IMDIV(COMPLEX(0,2*PI()*O147),COMPLEX(Q*(wsl/2),0)),IMDIV(IMPOWER(COMPLEX(0,2*PI()*O147),2),IMPOWER(COMPLEX(wsl/2,0),2)))</f>
        <v>0.999984792424147+0.121113553311766i</v>
      </c>
      <c r="AA147" s="17">
        <f t="shared" si="116"/>
        <v>1.0072924490312465</v>
      </c>
      <c r="AB147" s="17">
        <f t="shared" si="117"/>
        <v>0.12052834200801783</v>
      </c>
      <c r="AC147" s="66" t="str">
        <f t="shared" si="118"/>
        <v>-93.0830638508019-882.839710965203i</v>
      </c>
      <c r="AD147" s="64">
        <f t="shared" si="119"/>
        <v>58.965650223007714</v>
      </c>
      <c r="AE147" s="61">
        <f t="shared" si="120"/>
        <v>-96.018798841955203</v>
      </c>
      <c r="AF147" s="31" t="str">
        <f t="shared" ref="AF147:AF210" si="141">COMPLEX(Adc_ea_iso,0)</f>
        <v>-0.332666666666667</v>
      </c>
      <c r="AG147" s="31" t="str">
        <f t="shared" si="121"/>
        <v>1225.12349404832i</v>
      </c>
      <c r="AH147" s="31">
        <f t="shared" si="122"/>
        <v>1225.12349404832</v>
      </c>
      <c r="AI147" s="31">
        <f t="shared" si="123"/>
        <v>1.5707963267948966</v>
      </c>
      <c r="AJ147" s="31" t="str">
        <f t="shared" ref="AJ147:AJ210" si="142">IMSUM(IMPRODUCT(COMPLEX(wpA_ea_iso,0),IMPOWER(COMPLEX(0,2*PI()*O147),2)),COMPLEX(0,wpB_ea_iso*2*PI()*O147),COMPLEX(1,0))</f>
        <v>0.919920890981117+10.1029404645942i</v>
      </c>
      <c r="AK147" s="31">
        <f t="shared" si="124"/>
        <v>10.144735604085419</v>
      </c>
      <c r="AL147" s="31">
        <f t="shared" si="125"/>
        <v>1.4799919593737763</v>
      </c>
      <c r="AM147" s="31" t="str">
        <f t="shared" ref="AM147:AM210" si="143">IMSUM(COMPLEX(1,0),IMDIV(COMPLEX(0,2*PI()*O147),COMPLEX(wz1_ea_iso,0)))</f>
        <v>1+36757.6742215704i</v>
      </c>
      <c r="AN147" s="31">
        <f t="shared" si="126"/>
        <v>36757.674235172999</v>
      </c>
      <c r="AO147" s="31">
        <f t="shared" si="127"/>
        <v>1.5707691215916042</v>
      </c>
      <c r="AP147" s="31" t="str">
        <f t="shared" ref="AP147:AP210" si="144">IMSUM(COMPLEX(1,0),IMDIV(COMPLEX(0,2*PI()*O147),COMPLEX(wz2_ea_iso,0)))</f>
        <v>1+3.96940012071656i</v>
      </c>
      <c r="AQ147" s="31">
        <f t="shared" si="128"/>
        <v>4.0934261100384655</v>
      </c>
      <c r="AR147" s="31">
        <f t="shared" si="129"/>
        <v>1.3240046188702315</v>
      </c>
      <c r="AS147" s="58" t="str">
        <f t="shared" si="130"/>
        <v>-3.97847471669008+0.625785502352811i</v>
      </c>
      <c r="AT147" s="49">
        <f t="shared" si="131"/>
        <v>12.100473306912196</v>
      </c>
      <c r="AU147" s="61">
        <f t="shared" si="132"/>
        <v>171.06102498834736</v>
      </c>
      <c r="AV147" s="58" t="str">
        <f t="shared" ref="AV147:AV210" si="145">IMPRODUCT(AC147,AS147)</f>
        <v>922.796908105834+3454.10543709263i</v>
      </c>
      <c r="AW147" s="64">
        <f t="shared" si="133"/>
        <v>71.066123529919921</v>
      </c>
      <c r="AX147" s="61">
        <f t="shared" si="134"/>
        <v>75.042226146392181</v>
      </c>
    </row>
    <row r="148" spans="14:50" x14ac:dyDescent="0.3">
      <c r="N148" s="10">
        <v>30</v>
      </c>
      <c r="O148" s="50">
        <f t="shared" si="135"/>
        <v>199.52623149688802</v>
      </c>
      <c r="P148" s="48" t="str">
        <f t="shared" si="136"/>
        <v>51201.9230769231</v>
      </c>
      <c r="Q148" s="17" t="str">
        <f t="shared" si="137"/>
        <v>1+58.5845095253025i</v>
      </c>
      <c r="R148" s="17">
        <f t="shared" ref="R148:R211" si="146">IMABS(Q148)</f>
        <v>58.593043583007862</v>
      </c>
      <c r="S148" s="17">
        <f t="shared" ref="S148:S211" si="147">IMARGUMENT(Q148)</f>
        <v>1.5537286257238077</v>
      </c>
      <c r="T148" s="17" t="str">
        <f t="shared" si="138"/>
        <v>1+3.76098085841448E-09i</v>
      </c>
      <c r="U148" s="17">
        <f t="shared" ref="U148:U211" si="148">IMABS(T148)</f>
        <v>1</v>
      </c>
      <c r="V148" s="17">
        <f t="shared" ref="V148:V211" si="149">IMARGUMENT(T148)</f>
        <v>3.7609808584144801E-9</v>
      </c>
      <c r="W148" s="31" t="str">
        <f t="shared" si="139"/>
        <v>1-0.00203092966354382i</v>
      </c>
      <c r="X148" s="17">
        <f t="shared" ref="X148:X211" si="150">IMABS(W148)</f>
        <v>1.0000020623355226</v>
      </c>
      <c r="Y148" s="17">
        <f t="shared" ref="Y148:Y211" si="151">IMARGUMENT(W148)</f>
        <v>-2.0309268712422586E-3</v>
      </c>
      <c r="Z148" s="31" t="str">
        <f t="shared" si="140"/>
        <v>0.999984075713178+0.123934650374152i</v>
      </c>
      <c r="AA148" s="17">
        <f t="shared" ref="AA148:AA211" si="152">IMABS(Z148)</f>
        <v>1.0076348293123369</v>
      </c>
      <c r="AB148" s="17">
        <f t="shared" ref="AB148:AB211" si="153">IMARGUMENT(Z148)</f>
        <v>0.12330784148878485</v>
      </c>
      <c r="AC148" s="66" t="str">
        <f t="shared" ref="AC148:AC211" si="154">(IMDIV(IMPRODUCT(P148,T148,W148),IMPRODUCT(Q148,Z148)))</f>
        <v>-93.7133578237384-862.159098548939i</v>
      </c>
      <c r="AD148" s="64">
        <f t="shared" ref="AD148:AD211" si="155">20*LOG(IMABS(AC148))</f>
        <v>58.762758800814211</v>
      </c>
      <c r="AE148" s="61">
        <f t="shared" ref="AE148:AE211" si="156">(180/PI())*IMARGUMENT(AC148)</f>
        <v>-96.203474983544751</v>
      </c>
      <c r="AF148" s="31" t="str">
        <f t="shared" si="141"/>
        <v>-0.332666666666667</v>
      </c>
      <c r="AG148" s="31" t="str">
        <f t="shared" ref="AG148:AG211" si="157">COMPLEX(0,1*2*PI()*O148)</f>
        <v>1253.66028613816i</v>
      </c>
      <c r="AH148" s="31">
        <f t="shared" ref="AH148:AH211" si="158">IMABS(AG148)</f>
        <v>1253.66028613816</v>
      </c>
      <c r="AI148" s="31">
        <f t="shared" ref="AI148:AI211" si="159">IMARGUMENT(AG148)</f>
        <v>1.5707963267948966</v>
      </c>
      <c r="AJ148" s="31" t="str">
        <f t="shared" si="142"/>
        <v>0.916146878843847+10.3382681788489i</v>
      </c>
      <c r="AK148" s="31">
        <f t="shared" ref="AK148:AK211" si="160">IMABS(AJ148)</f>
        <v>10.37878191511003</v>
      </c>
      <c r="AL148" s="31">
        <f t="shared" ref="AL148:AL211" si="161">IMARGUMENT(AJ148)</f>
        <v>1.4824101543825172</v>
      </c>
      <c r="AM148" s="31" t="str">
        <f t="shared" si="143"/>
        <v>1+37613.8704434719i</v>
      </c>
      <c r="AN148" s="31">
        <f t="shared" ref="AN148:AN211" si="162">IMABS(AM148)</f>
        <v>37613.87045676486</v>
      </c>
      <c r="AO148" s="31">
        <f t="shared" ref="AO148:AO211" si="163">IMARGUMENT(AM148)</f>
        <v>1.5707697408576353</v>
      </c>
      <c r="AP148" s="31" t="str">
        <f t="shared" si="144"/>
        <v>1+4.06185932708764i</v>
      </c>
      <c r="AQ148" s="31">
        <f t="shared" ref="AQ148:AQ211" si="164">IMABS(AP148)</f>
        <v>4.1831448926673396</v>
      </c>
      <c r="AR148" s="31">
        <f t="shared" ref="AR148:AR211" si="165">IMARGUMENT(AP148)</f>
        <v>1.329404229065547</v>
      </c>
      <c r="AS148" s="58" t="str">
        <f t="shared" ref="AS148:AS211" si="166">IMDIV(IMPRODUCT(AF148,AM148,AP148),IMPRODUCT(AG148,AJ148))</f>
        <v>-3.97583753832841+0.613226936929408i</v>
      </c>
      <c r="AT148" s="49">
        <f t="shared" ref="AT148:AT211" si="167">20*LOG(IMABS(AS148))</f>
        <v>12.090679278390336</v>
      </c>
      <c r="AU148" s="61">
        <f t="shared" ref="AU148:AU211" si="168">(180/PI())*IMARGUMENT(AS148)</f>
        <v>171.23188297684428</v>
      </c>
      <c r="AV148" s="58" t="str">
        <f t="shared" si="145"/>
        <v>901.288269027407+3370.33695265463i</v>
      </c>
      <c r="AW148" s="64">
        <f t="shared" ref="AW148:AW211" si="169">20*LOG(IMABS(AV148))</f>
        <v>70.853438079204537</v>
      </c>
      <c r="AX148" s="61">
        <f t="shared" ref="AX148:AX211" si="170">(180/PI())*IMARGUMENT(AV148)</f>
        <v>75.02840799329951</v>
      </c>
    </row>
    <row r="149" spans="14:50" x14ac:dyDescent="0.3">
      <c r="N149" s="10">
        <v>31</v>
      </c>
      <c r="O149" s="50">
        <f t="shared" si="135"/>
        <v>204.17379446695315</v>
      </c>
      <c r="P149" s="48" t="str">
        <f t="shared" si="136"/>
        <v>51201.9230769231</v>
      </c>
      <c r="Q149" s="17" t="str">
        <f t="shared" si="137"/>
        <v>1+59.949118053447i</v>
      </c>
      <c r="R149" s="17">
        <f t="shared" si="146"/>
        <v>59.957457879617657</v>
      </c>
      <c r="S149" s="17">
        <f t="shared" si="147"/>
        <v>1.554117061142408</v>
      </c>
      <c r="T149" s="17" t="str">
        <f t="shared" si="138"/>
        <v>1+3.84858535651758E-09i</v>
      </c>
      <c r="U149" s="17">
        <f t="shared" si="148"/>
        <v>1</v>
      </c>
      <c r="V149" s="17">
        <f t="shared" si="149"/>
        <v>3.8485853565175798E-9</v>
      </c>
      <c r="W149" s="31" t="str">
        <f t="shared" si="139"/>
        <v>1-0.00207823609251949i</v>
      </c>
      <c r="X149" s="17">
        <f t="shared" si="150"/>
        <v>1.0000021595302964</v>
      </c>
      <c r="Y149" s="17">
        <f t="shared" si="151"/>
        <v>-2.0782331005148101E-3</v>
      </c>
      <c r="Z149" s="31" t="str">
        <f t="shared" si="140"/>
        <v>0.999983325224661+0.126821459228634i</v>
      </c>
      <c r="AA149" s="17">
        <f t="shared" si="152"/>
        <v>1.0079932208344708</v>
      </c>
      <c r="AB149" s="17">
        <f t="shared" si="153"/>
        <v>0.12615010872179286</v>
      </c>
      <c r="AC149" s="66" t="str">
        <f t="shared" si="154"/>
        <v>-94.3086023874616-841.935381117158i</v>
      </c>
      <c r="AD149" s="64">
        <f t="shared" si="155"/>
        <v>58.559727766828715</v>
      </c>
      <c r="AE149" s="61">
        <f t="shared" si="156"/>
        <v>-96.391291052606277</v>
      </c>
      <c r="AF149" s="31" t="str">
        <f t="shared" si="141"/>
        <v>-0.332666666666667</v>
      </c>
      <c r="AG149" s="31" t="str">
        <f t="shared" si="157"/>
        <v>1282.86178550586i</v>
      </c>
      <c r="AH149" s="31">
        <f t="shared" si="158"/>
        <v>1282.8617855058601</v>
      </c>
      <c r="AI149" s="31">
        <f t="shared" si="159"/>
        <v>1.5707963267948966</v>
      </c>
      <c r="AJ149" s="31" t="str">
        <f t="shared" si="142"/>
        <v>0.912195002994222+10.5790773797352i</v>
      </c>
      <c r="AK149" s="31">
        <f t="shared" si="160"/>
        <v>10.618332163287821</v>
      </c>
      <c r="AL149" s="31">
        <f t="shared" si="161"/>
        <v>1.48478274687798</v>
      </c>
      <c r="AM149" s="31" t="str">
        <f t="shared" si="143"/>
        <v>1+38490.0100373609i</v>
      </c>
      <c r="AN149" s="31">
        <f t="shared" si="162"/>
        <v>38490.01005035128</v>
      </c>
      <c r="AO149" s="31">
        <f t="shared" si="163"/>
        <v>1.5707703460274507</v>
      </c>
      <c r="AP149" s="31" t="str">
        <f t="shared" si="144"/>
        <v>1+4.15647218503899i</v>
      </c>
      <c r="AQ149" s="31">
        <f t="shared" si="164"/>
        <v>4.275074388242011</v>
      </c>
      <c r="AR149" s="31">
        <f t="shared" si="165"/>
        <v>1.3346948373017526</v>
      </c>
      <c r="AS149" s="58" t="str">
        <f t="shared" si="166"/>
        <v>-3.9733158360211+0.600970822015377i</v>
      </c>
      <c r="AT149" s="49">
        <f t="shared" si="167"/>
        <v>12.081296238282558</v>
      </c>
      <c r="AU149" s="61">
        <f t="shared" si="168"/>
        <v>171.39910763701786</v>
      </c>
      <c r="AV149" s="58" t="str">
        <f t="shared" si="145"/>
        <v>880.696461412927+3288.59846439935i</v>
      </c>
      <c r="AW149" s="64">
        <f t="shared" si="169"/>
        <v>70.641024005111262</v>
      </c>
      <c r="AX149" s="61">
        <f t="shared" si="170"/>
        <v>75.007816584411586</v>
      </c>
    </row>
    <row r="150" spans="14:50" x14ac:dyDescent="0.3">
      <c r="N150" s="10">
        <v>32</v>
      </c>
      <c r="O150" s="50">
        <f t="shared" si="135"/>
        <v>208.92961308540396</v>
      </c>
      <c r="P150" s="48" t="str">
        <f t="shared" si="136"/>
        <v>51201.9230769231</v>
      </c>
      <c r="Q150" s="17" t="str">
        <f t="shared" si="137"/>
        <v>1+61.3455123975043i</v>
      </c>
      <c r="R150" s="17">
        <f t="shared" si="146"/>
        <v>61.353662411565566</v>
      </c>
      <c r="S150" s="17">
        <f t="shared" si="147"/>
        <v>1.5544966595554279</v>
      </c>
      <c r="T150" s="17" t="str">
        <f t="shared" si="138"/>
        <v>1+3.93823042551879E-09i</v>
      </c>
      <c r="U150" s="17">
        <f t="shared" si="148"/>
        <v>1</v>
      </c>
      <c r="V150" s="17">
        <f t="shared" si="149"/>
        <v>3.93823042551879E-9</v>
      </c>
      <c r="W150" s="31" t="str">
        <f t="shared" si="139"/>
        <v>1-0.00212664442978015i</v>
      </c>
      <c r="X150" s="17">
        <f t="shared" si="150"/>
        <v>1.0000022613057085</v>
      </c>
      <c r="Y150" s="17">
        <f t="shared" si="151"/>
        <v>-2.1266412237897652E-3</v>
      </c>
      <c r="Z150" s="31" t="str">
        <f t="shared" si="140"/>
        <v>0.99998253936671+0.129775510499482i</v>
      </c>
      <c r="AA150" s="17">
        <f t="shared" si="152"/>
        <v>1.008368366304544</v>
      </c>
      <c r="AB150" s="17">
        <f t="shared" si="153"/>
        <v>0.12905646750754934</v>
      </c>
      <c r="AC150" s="66" t="str">
        <f t="shared" si="154"/>
        <v>-94.8700726600482-822.15796672613i</v>
      </c>
      <c r="AD150" s="64">
        <f t="shared" si="155"/>
        <v>58.356550992403029</v>
      </c>
      <c r="AE150" s="61">
        <f t="shared" si="156"/>
        <v>-96.582336107778318</v>
      </c>
      <c r="AF150" s="31" t="str">
        <f t="shared" si="141"/>
        <v>-0.332666666666667</v>
      </c>
      <c r="AG150" s="31" t="str">
        <f t="shared" si="157"/>
        <v>1312.74347517293i</v>
      </c>
      <c r="AH150" s="31">
        <f t="shared" si="158"/>
        <v>1312.7434751729299</v>
      </c>
      <c r="AI150" s="31">
        <f t="shared" si="159"/>
        <v>1.5707963267948966</v>
      </c>
      <c r="AJ150" s="31" t="str">
        <f t="shared" si="142"/>
        <v>0.908056880973725+10.8254957474789i</v>
      </c>
      <c r="AK150" s="31">
        <f t="shared" si="160"/>
        <v>10.863513495999694</v>
      </c>
      <c r="AL150" s="31">
        <f t="shared" si="161"/>
        <v>1.4871109114551815</v>
      </c>
      <c r="AM150" s="31" t="str">
        <f t="shared" si="143"/>
        <v>1+39386.5575440475i</v>
      </c>
      <c r="AN150" s="31">
        <f t="shared" si="162"/>
        <v>39386.557556742191</v>
      </c>
      <c r="AO150" s="31">
        <f t="shared" si="163"/>
        <v>1.5707709374219192</v>
      </c>
      <c r="AP150" s="31" t="str">
        <f t="shared" si="144"/>
        <v>1+4.25328885956029i</v>
      </c>
      <c r="AQ150" s="31">
        <f t="shared" si="164"/>
        <v>4.3692637964375267</v>
      </c>
      <c r="AR150" s="31">
        <f t="shared" si="165"/>
        <v>1.3398780635190264</v>
      </c>
      <c r="AS150" s="58" t="str">
        <f t="shared" si="166"/>
        <v>-3.97090454837444+0.589012145946637i</v>
      </c>
      <c r="AT150" s="49">
        <f t="shared" si="167"/>
        <v>12.072308014207433</v>
      </c>
      <c r="AU150" s="61">
        <f t="shared" si="168"/>
        <v>171.56272450365083</v>
      </c>
      <c r="AV150" s="58" t="str">
        <f t="shared" si="145"/>
        <v>860.98103131888+3208.83118447146i</v>
      </c>
      <c r="AW150" s="64">
        <f t="shared" si="169"/>
        <v>70.428859006610452</v>
      </c>
      <c r="AX150" s="61">
        <f t="shared" si="170"/>
        <v>74.980388395872495</v>
      </c>
    </row>
    <row r="151" spans="14:50" x14ac:dyDescent="0.3">
      <c r="N151" s="10">
        <v>33</v>
      </c>
      <c r="O151" s="50">
        <f t="shared" si="135"/>
        <v>213.79620895022339</v>
      </c>
      <c r="P151" s="48" t="str">
        <f t="shared" si="136"/>
        <v>51201.9230769231</v>
      </c>
      <c r="Q151" s="17" t="str">
        <f t="shared" si="137"/>
        <v>1+62.7744329442381i</v>
      </c>
      <c r="R151" s="17">
        <f t="shared" si="146"/>
        <v>62.782397465138637</v>
      </c>
      <c r="S151" s="17">
        <f t="shared" si="147"/>
        <v>1.5548676217931336</v>
      </c>
      <c r="T151" s="17" t="str">
        <f t="shared" si="138"/>
        <v>1+4.02996359642022E-09i</v>
      </c>
      <c r="U151" s="17">
        <f t="shared" si="148"/>
        <v>1</v>
      </c>
      <c r="V151" s="17">
        <f t="shared" si="149"/>
        <v>4.0299635964202199E-9</v>
      </c>
      <c r="W151" s="31" t="str">
        <f t="shared" si="139"/>
        <v>1-0.00217618034206692i</v>
      </c>
      <c r="X151" s="17">
        <f t="shared" si="150"/>
        <v>1.0000023678776373</v>
      </c>
      <c r="Y151" s="17">
        <f t="shared" si="151"/>
        <v>-2.17617690678677E-3</v>
      </c>
      <c r="Z151" s="31" t="str">
        <f t="shared" si="140"/>
        <v>0.999981716472415+0.132798370463777i</v>
      </c>
      <c r="AA151" s="17">
        <f t="shared" si="152"/>
        <v>1.0087610423073208</v>
      </c>
      <c r="AB151" s="17">
        <f t="shared" si="153"/>
        <v>0.13202826295432035</v>
      </c>
      <c r="AC151" s="66" t="str">
        <f t="shared" si="154"/>
        <v>-95.3989737299867-802.816499227206i</v>
      </c>
      <c r="AD151" s="64">
        <f t="shared" si="155"/>
        <v>58.153222068133843</v>
      </c>
      <c r="AE151" s="61">
        <f t="shared" si="156"/>
        <v>-96.776700195348852</v>
      </c>
      <c r="AF151" s="31" t="str">
        <f t="shared" si="141"/>
        <v>-0.332666666666667</v>
      </c>
      <c r="AG151" s="31" t="str">
        <f t="shared" si="157"/>
        <v>1343.32119880674i</v>
      </c>
      <c r="AH151" s="31">
        <f t="shared" si="158"/>
        <v>1343.3211988067401</v>
      </c>
      <c r="AI151" s="31">
        <f t="shared" si="159"/>
        <v>1.5707963267948966</v>
      </c>
      <c r="AJ151" s="31" t="str">
        <f t="shared" si="142"/>
        <v>0.903723735270746+11.0776539363602i</v>
      </c>
      <c r="AK151" s="31">
        <f t="shared" si="160"/>
        <v>11.114456051622517</v>
      </c>
      <c r="AL151" s="31">
        <f t="shared" si="161"/>
        <v>1.4893958046155087</v>
      </c>
      <c r="AM151" s="31" t="str">
        <f t="shared" si="143"/>
        <v>1+40303.9883248864i</v>
      </c>
      <c r="AN151" s="31">
        <f t="shared" si="162"/>
        <v>40303.988337292118</v>
      </c>
      <c r="AO151" s="31">
        <f t="shared" si="163"/>
        <v>1.570771515354606</v>
      </c>
      <c r="AP151" s="31" t="str">
        <f t="shared" si="144"/>
        <v>1+4.35236068413384i</v>
      </c>
      <c r="AQ151" s="31">
        <f t="shared" si="164"/>
        <v>4.4657634873327074</v>
      </c>
      <c r="AR151" s="31">
        <f t="shared" si="165"/>
        <v>1.3449555414287118</v>
      </c>
      <c r="AS151" s="58" t="str">
        <f t="shared" si="166"/>
        <v>-3.96859882333536+0.577345958298252i</v>
      </c>
      <c r="AT151" s="49">
        <f t="shared" si="167"/>
        <v>12.063698966406397</v>
      </c>
      <c r="AU151" s="61">
        <f t="shared" si="168"/>
        <v>171.72276093682544</v>
      </c>
      <c r="AV151" s="58" t="str">
        <f t="shared" si="145"/>
        <v>842.103115976205+3130.97840227849i</v>
      </c>
      <c r="AW151" s="64">
        <f t="shared" si="169"/>
        <v>70.216921034540235</v>
      </c>
      <c r="AX151" s="61">
        <f t="shared" si="170"/>
        <v>74.946060741476558</v>
      </c>
    </row>
    <row r="152" spans="14:50" x14ac:dyDescent="0.3">
      <c r="N152" s="10">
        <v>34</v>
      </c>
      <c r="O152" s="50">
        <f t="shared" si="135"/>
        <v>218.77616239495524</v>
      </c>
      <c r="P152" s="48" t="str">
        <f t="shared" si="136"/>
        <v>51201.9230769231</v>
      </c>
      <c r="Q152" s="17" t="str">
        <f t="shared" si="137"/>
        <v>1+64.236637326237i</v>
      </c>
      <c r="R152" s="17">
        <f t="shared" si="146"/>
        <v>64.244420574727769</v>
      </c>
      <c r="S152" s="17">
        <f t="shared" si="147"/>
        <v>1.5552301441359861</v>
      </c>
      <c r="T152" s="17" t="str">
        <f t="shared" si="138"/>
        <v>1+4.12383350736336E-09i</v>
      </c>
      <c r="U152" s="17">
        <f t="shared" si="148"/>
        <v>1</v>
      </c>
      <c r="V152" s="17">
        <f t="shared" si="149"/>
        <v>4.1238335073633601E-9</v>
      </c>
      <c r="W152" s="31" t="str">
        <f t="shared" si="139"/>
        <v>1-0.00222687009397621i</v>
      </c>
      <c r="X152" s="17">
        <f t="shared" si="150"/>
        <v>1.0000024794721338</v>
      </c>
      <c r="Y152" s="17">
        <f t="shared" si="151"/>
        <v>-2.2268664130077032E-3</v>
      </c>
      <c r="Z152" s="31" t="str">
        <f t="shared" si="140"/>
        <v>0.999980854796307+0.135891641881886i</v>
      </c>
      <c r="AA152" s="17">
        <f t="shared" si="152"/>
        <v>1.0091720607966255</v>
      </c>
      <c r="AB152" s="17">
        <f t="shared" si="153"/>
        <v>0.13506686133571766</v>
      </c>
      <c r="AC152" s="66" t="str">
        <f t="shared" si="154"/>
        <v>-95.8964433212863-783.900853353654i</v>
      </c>
      <c r="AD152" s="64">
        <f t="shared" si="155"/>
        <v>57.949734292910676</v>
      </c>
      <c r="AE152" s="61">
        <f t="shared" si="156"/>
        <v>-96.974474347856557</v>
      </c>
      <c r="AF152" s="31" t="str">
        <f t="shared" si="141"/>
        <v>-0.332666666666667</v>
      </c>
      <c r="AG152" s="31" t="str">
        <f t="shared" si="157"/>
        <v>1374.61116912112i</v>
      </c>
      <c r="AH152" s="31">
        <f t="shared" si="158"/>
        <v>1374.6111691211199</v>
      </c>
      <c r="AI152" s="31">
        <f t="shared" si="159"/>
        <v>1.5707963267948966</v>
      </c>
      <c r="AJ152" s="31" t="str">
        <f t="shared" si="142"/>
        <v>0.899186374702292+11.3356856439887i</v>
      </c>
      <c r="AK152" s="31">
        <f t="shared" si="160"/>
        <v>11.371293029193371</v>
      </c>
      <c r="AL152" s="31">
        <f t="shared" si="161"/>
        <v>1.4916385650250177</v>
      </c>
      <c r="AM152" s="31" t="str">
        <f t="shared" si="143"/>
        <v>1+41242.7888138216i</v>
      </c>
      <c r="AN152" s="31">
        <f t="shared" si="162"/>
        <v>41242.788825944925</v>
      </c>
      <c r="AO152" s="31">
        <f t="shared" si="163"/>
        <v>1.5707720801319389</v>
      </c>
      <c r="AP152" s="31" t="str">
        <f t="shared" si="144"/>
        <v>1+4.45374018795243i</v>
      </c>
      <c r="AQ152" s="31">
        <f t="shared" si="164"/>
        <v>4.5646250297020625</v>
      </c>
      <c r="AR152" s="31">
        <f t="shared" si="165"/>
        <v>1.3499289154994729</v>
      </c>
      <c r="AS152" s="58" t="str">
        <f t="shared" si="166"/>
        <v>-3.96639401003314+0.565967373387746i</v>
      </c>
      <c r="AT152" s="49">
        <f t="shared" si="167"/>
        <v>12.055453978564101</v>
      </c>
      <c r="AU152" s="61">
        <f t="shared" si="168"/>
        <v>171.87924593445342</v>
      </c>
      <c r="AV152" s="58" t="str">
        <f t="shared" si="145"/>
        <v>824.025385342013+3054.98539105803i</v>
      </c>
      <c r="AW152" s="64">
        <f t="shared" si="169"/>
        <v>70.005188271474793</v>
      </c>
      <c r="AX152" s="61">
        <f t="shared" si="170"/>
        <v>74.90477158659688</v>
      </c>
    </row>
    <row r="153" spans="14:50" x14ac:dyDescent="0.3">
      <c r="N153" s="10">
        <v>35</v>
      </c>
      <c r="O153" s="50">
        <f t="shared" si="135"/>
        <v>223.87211385683412</v>
      </c>
      <c r="P153" s="48" t="str">
        <f t="shared" si="136"/>
        <v>51201.9230769231</v>
      </c>
      <c r="Q153" s="17" t="str">
        <f t="shared" si="137"/>
        <v>1+65.7329008236188i</v>
      </c>
      <c r="R153" s="17">
        <f t="shared" si="146"/>
        <v>65.740506924480783</v>
      </c>
      <c r="S153" s="17">
        <f t="shared" si="147"/>
        <v>1.5555844184167624</v>
      </c>
      <c r="T153" s="17" t="str">
        <f t="shared" si="138"/>
        <v>1+4.2198899294175E-09i</v>
      </c>
      <c r="U153" s="17">
        <f t="shared" si="148"/>
        <v>1</v>
      </c>
      <c r="V153" s="17">
        <f t="shared" si="149"/>
        <v>4.2198899294175001E-9</v>
      </c>
      <c r="W153" s="31" t="str">
        <f t="shared" si="139"/>
        <v>1-0.00227874056188545i</v>
      </c>
      <c r="X153" s="17">
        <f t="shared" si="150"/>
        <v>1.0000025963259038</v>
      </c>
      <c r="Y153" s="17">
        <f t="shared" si="151"/>
        <v>-2.2787366176571858E-3</v>
      </c>
      <c r="Z153" s="31" t="str">
        <f t="shared" si="140"/>
        <v>0.999979952510655+0.13905696484726i</v>
      </c>
      <c r="AA153" s="17">
        <f t="shared" si="152"/>
        <v>1.009602270647082</v>
      </c>
      <c r="AB153" s="17">
        <f t="shared" si="153"/>
        <v>0.13817364990425415</v>
      </c>
      <c r="AC153" s="66" t="str">
        <f t="shared" si="154"/>
        <v>-96.3635543286959-765.401129923914i</v>
      </c>
      <c r="AD153" s="64">
        <f t="shared" si="155"/>
        <v>57.746080662587957</v>
      </c>
      <c r="AE153" s="61">
        <f t="shared" si="156"/>
        <v>-97.17575058005697</v>
      </c>
      <c r="AF153" s="31" t="str">
        <f t="shared" si="141"/>
        <v>-0.332666666666667</v>
      </c>
      <c r="AG153" s="31" t="str">
        <f t="shared" si="157"/>
        <v>1406.6299764725i</v>
      </c>
      <c r="AH153" s="31">
        <f t="shared" si="158"/>
        <v>1406.6299764724999</v>
      </c>
      <c r="AI153" s="31">
        <f t="shared" si="159"/>
        <v>1.5707963267948966</v>
      </c>
      <c r="AJ153" s="31" t="str">
        <f t="shared" si="142"/>
        <v>0.894435174918263+11.5997276821912i</v>
      </c>
      <c r="AK153" s="31">
        <f t="shared" si="160"/>
        <v>11.634160759724951</v>
      </c>
      <c r="AL153" s="31">
        <f t="shared" si="161"/>
        <v>1.4938403137858236</v>
      </c>
      <c r="AM153" s="31" t="str">
        <f t="shared" si="143"/>
        <v>1+42203.4567752988i</v>
      </c>
      <c r="AN153" s="31">
        <f t="shared" si="162"/>
        <v>42203.45678714617</v>
      </c>
      <c r="AO153" s="31">
        <f t="shared" si="163"/>
        <v>1.5707726320533701</v>
      </c>
      <c r="AP153" s="31" t="str">
        <f t="shared" si="144"/>
        <v>1+4.5574811237709i</v>
      </c>
      <c r="AQ153" s="31">
        <f t="shared" si="164"/>
        <v>4.6659012198639687</v>
      </c>
      <c r="AR153" s="31">
        <f t="shared" si="165"/>
        <v>1.3547998381271396</v>
      </c>
      <c r="AS153" s="58" t="str">
        <f t="shared" si="166"/>
        <v>-3.96428565086667+0.554871573435536i</v>
      </c>
      <c r="AT153" s="49">
        <f t="shared" si="167"/>
        <v>12.047558447961887</v>
      </c>
      <c r="AU153" s="61">
        <f t="shared" si="168"/>
        <v>172.03220995457977</v>
      </c>
      <c r="AV153" s="58" t="str">
        <f t="shared" si="145"/>
        <v>806.711984961979+2980.7993195023i</v>
      </c>
      <c r="AW153" s="64">
        <f t="shared" si="169"/>
        <v>69.793639110549833</v>
      </c>
      <c r="AX153" s="61">
        <f t="shared" si="170"/>
        <v>74.856459374522785</v>
      </c>
    </row>
    <row r="154" spans="14:50" x14ac:dyDescent="0.3">
      <c r="N154" s="10">
        <v>36</v>
      </c>
      <c r="O154" s="50">
        <f t="shared" si="135"/>
        <v>229.08676527677744</v>
      </c>
      <c r="P154" s="48" t="str">
        <f t="shared" si="136"/>
        <v>51201.9230769231</v>
      </c>
      <c r="Q154" s="17" t="str">
        <f t="shared" si="137"/>
        <v>1+67.2640167750948i</v>
      </c>
      <c r="R154" s="17">
        <f t="shared" si="146"/>
        <v>67.27144975931644</v>
      </c>
      <c r="S154" s="17">
        <f t="shared" si="147"/>
        <v>1.5559306321204511</v>
      </c>
      <c r="T154" s="17" t="str">
        <f t="shared" si="138"/>
        <v>1+4.31818379296905E-09i</v>
      </c>
      <c r="U154" s="17">
        <f t="shared" si="148"/>
        <v>1</v>
      </c>
      <c r="V154" s="17">
        <f t="shared" si="149"/>
        <v>4.31818379296905E-9</v>
      </c>
      <c r="W154" s="31" t="str">
        <f t="shared" si="139"/>
        <v>1-0.00233181924820329i</v>
      </c>
      <c r="X154" s="17">
        <f t="shared" si="150"/>
        <v>1.0000027186868075</v>
      </c>
      <c r="Y154" s="17">
        <f t="shared" si="151"/>
        <v>-2.3318150218871814E-3</v>
      </c>
      <c r="Z154" s="31" t="str">
        <f t="shared" si="140"/>
        <v>0.99997900770159+0.142296017656033i</v>
      </c>
      <c r="AA154" s="17">
        <f t="shared" si="152"/>
        <v>1.0100525592683889</v>
      </c>
      <c r="AB154" s="17">
        <f t="shared" si="153"/>
        <v>0.14135003665753099</v>
      </c>
      <c r="AC154" s="66" t="str">
        <f t="shared" si="154"/>
        <v>-96.8013172292369-747.307651160755i</v>
      </c>
      <c r="AD154" s="64">
        <f t="shared" si="155"/>
        <v>57.542253858277135</v>
      </c>
      <c r="AE154" s="61">
        <f t="shared" si="156"/>
        <v>-97.380621882065782</v>
      </c>
      <c r="AF154" s="31" t="str">
        <f t="shared" si="141"/>
        <v>-0.332666666666667</v>
      </c>
      <c r="AG154" s="31" t="str">
        <f t="shared" si="157"/>
        <v>1439.39459765635i</v>
      </c>
      <c r="AH154" s="31">
        <f t="shared" si="158"/>
        <v>1439.39459765635</v>
      </c>
      <c r="AI154" s="31">
        <f t="shared" si="159"/>
        <v>1.5707963267948966</v>
      </c>
      <c r="AJ154" s="31" t="str">
        <f t="shared" si="142"/>
        <v>0.889460057986914+11.8699200495513i</v>
      </c>
      <c r="AK154" s="31">
        <f t="shared" si="160"/>
        <v>11.903198779214518</v>
      </c>
      <c r="AL154" s="31">
        <f t="shared" si="161"/>
        <v>1.4960021547193472</v>
      </c>
      <c r="AM154" s="31" t="str">
        <f t="shared" si="143"/>
        <v>1+43186.501568187i</v>
      </c>
      <c r="AN154" s="31">
        <f t="shared" si="162"/>
        <v>43186.501579764692</v>
      </c>
      <c r="AO154" s="31">
        <f t="shared" si="163"/>
        <v>1.5707731714115358</v>
      </c>
      <c r="AP154" s="31" t="str">
        <f t="shared" si="144"/>
        <v>1+4.66363849640657i</v>
      </c>
      <c r="AQ154" s="31">
        <f t="shared" si="164"/>
        <v>4.7696461111035626</v>
      </c>
      <c r="AR154" s="31">
        <f t="shared" si="165"/>
        <v>1.3595699669822916</v>
      </c>
      <c r="AS154" s="58" t="str">
        <f t="shared" si="166"/>
        <v>-3.96226947383609+0.544053811405927i</v>
      </c>
      <c r="AT154" s="49">
        <f t="shared" si="167"/>
        <v>12.039998275062462</v>
      </c>
      <c r="AU154" s="61">
        <f t="shared" si="168"/>
        <v>172.18168474719064</v>
      </c>
      <c r="AV154" s="58" t="str">
        <f t="shared" si="145"/>
        <v>790.128480191349+2908.36916817073i</v>
      </c>
      <c r="AW154" s="64">
        <f t="shared" si="169"/>
        <v>69.582252133339608</v>
      </c>
      <c r="AX154" s="61">
        <f t="shared" si="170"/>
        <v>74.801062865124862</v>
      </c>
    </row>
    <row r="155" spans="14:50" x14ac:dyDescent="0.3">
      <c r="N155" s="10">
        <v>37</v>
      </c>
      <c r="O155" s="50">
        <f t="shared" si="135"/>
        <v>234.42288153199232</v>
      </c>
      <c r="P155" s="48" t="str">
        <f t="shared" si="136"/>
        <v>51201.9230769231</v>
      </c>
      <c r="Q155" s="17" t="str">
        <f t="shared" si="137"/>
        <v>1+68.8307969986093i</v>
      </c>
      <c r="R155" s="17">
        <f t="shared" si="146"/>
        <v>68.838060805514885</v>
      </c>
      <c r="S155" s="17">
        <f t="shared" si="147"/>
        <v>1.5562689684819615</v>
      </c>
      <c r="T155" s="17" t="str">
        <f t="shared" si="138"/>
        <v>1+4.41876721472553E-09i</v>
      </c>
      <c r="U155" s="17">
        <f t="shared" si="148"/>
        <v>1</v>
      </c>
      <c r="V155" s="17">
        <f t="shared" si="149"/>
        <v>4.4187672147255296E-9</v>
      </c>
      <c r="W155" s="31" t="str">
        <f t="shared" si="139"/>
        <v>1-0.00238613429595179i</v>
      </c>
      <c r="X155" s="17">
        <f t="shared" si="150"/>
        <v>1.0000028468143871</v>
      </c>
      <c r="Y155" s="17">
        <f t="shared" si="151"/>
        <v>-2.3861297673731857E-3</v>
      </c>
      <c r="Z155" s="31" t="str">
        <f t="shared" si="140"/>
        <v>0.999978018365046+0.145610517696876i</v>
      </c>
      <c r="AA155" s="17">
        <f t="shared" si="152"/>
        <v>1.0105238542841215</v>
      </c>
      <c r="AB155" s="17">
        <f t="shared" si="153"/>
        <v>0.14459745005350538</v>
      </c>
      <c r="AC155" s="66" t="str">
        <f t="shared" si="154"/>
        <v>-97.2106823760576-729.61095612597i</v>
      </c>
      <c r="AD155" s="64">
        <f t="shared" si="155"/>
        <v>57.338246234257682</v>
      </c>
      <c r="AE155" s="61">
        <f t="shared" si="156"/>
        <v>-97.589182209478395</v>
      </c>
      <c r="AF155" s="31" t="str">
        <f t="shared" si="141"/>
        <v>-0.332666666666667</v>
      </c>
      <c r="AG155" s="31" t="str">
        <f t="shared" si="157"/>
        <v>1472.92240490851i</v>
      </c>
      <c r="AH155" s="31">
        <f t="shared" si="158"/>
        <v>1472.9224049085101</v>
      </c>
      <c r="AI155" s="31">
        <f t="shared" si="159"/>
        <v>1.5707963267948966</v>
      </c>
      <c r="AJ155" s="31" t="str">
        <f t="shared" si="142"/>
        <v>0.884250471018208+12.1464060056387i</v>
      </c>
      <c r="AK155" s="31">
        <f t="shared" si="160"/>
        <v>12.178549903387999</v>
      </c>
      <c r="AL155" s="31">
        <f t="shared" si="161"/>
        <v>1.4981251746602495</v>
      </c>
      <c r="AM155" s="31" t="str">
        <f t="shared" si="143"/>
        <v>1+44192.4444158473i</v>
      </c>
      <c r="AN155" s="31">
        <f t="shared" si="162"/>
        <v>44192.444427161448</v>
      </c>
      <c r="AO155" s="31">
        <f t="shared" si="163"/>
        <v>1.5707736984924108</v>
      </c>
      <c r="AP155" s="31" t="str">
        <f t="shared" si="144"/>
        <v>1+4.77226859190357i</v>
      </c>
      <c r="AQ155" s="31">
        <f t="shared" si="164"/>
        <v>4.8759150436886491</v>
      </c>
      <c r="AR155" s="31">
        <f t="shared" si="165"/>
        <v>1.3642409625293763</v>
      </c>
      <c r="AS155" s="58" t="str">
        <f t="shared" si="166"/>
        <v>-3.96034138511607+0.533509413550804i</v>
      </c>
      <c r="AT155" s="49">
        <f t="shared" si="167"/>
        <v>12.032759852614818</v>
      </c>
      <c r="AU155" s="61">
        <f t="shared" si="168"/>
        <v>172.32770319523675</v>
      </c>
      <c r="AV155" s="58" t="str">
        <f t="shared" si="145"/>
        <v>774.241801812282+2837.64565043446i</v>
      </c>
      <c r="AW155" s="64">
        <f t="shared" si="169"/>
        <v>69.371006086872498</v>
      </c>
      <c r="AX155" s="61">
        <f t="shared" si="170"/>
        <v>74.738520985758342</v>
      </c>
    </row>
    <row r="156" spans="14:50" x14ac:dyDescent="0.3">
      <c r="N156" s="10">
        <v>38</v>
      </c>
      <c r="O156" s="50">
        <f t="shared" si="135"/>
        <v>239.88329190194912</v>
      </c>
      <c r="P156" s="48" t="str">
        <f t="shared" si="136"/>
        <v>51201.9230769231</v>
      </c>
      <c r="Q156" s="17" t="str">
        <f t="shared" si="137"/>
        <v>1+70.4340722217763i</v>
      </c>
      <c r="R156" s="17">
        <f t="shared" si="146"/>
        <v>70.44117070110633</v>
      </c>
      <c r="S156" s="17">
        <f t="shared" si="147"/>
        <v>1.5565996065816947</v>
      </c>
      <c r="T156" s="17" t="str">
        <f t="shared" si="138"/>
        <v>1+4.5216935253486E-09i</v>
      </c>
      <c r="U156" s="17">
        <f t="shared" si="148"/>
        <v>1</v>
      </c>
      <c r="V156" s="17">
        <f t="shared" si="149"/>
        <v>4.5216935253485998E-9</v>
      </c>
      <c r="W156" s="31" t="str">
        <f t="shared" si="139"/>
        <v>1-0.00244171450368824i</v>
      </c>
      <c r="X156" s="17">
        <f t="shared" si="150"/>
        <v>1.0000029809804156</v>
      </c>
      <c r="Y156" s="17">
        <f t="shared" si="151"/>
        <v>-2.4417096512296217E-3</v>
      </c>
      <c r="Z156" s="31" t="str">
        <f t="shared" si="140"/>
        <v>0.999976982402507+0.149002222361586i</v>
      </c>
      <c r="AA156" s="17">
        <f t="shared" si="152"/>
        <v>1.0110171252770723</v>
      </c>
      <c r="AB156" s="17">
        <f t="shared" si="153"/>
        <v>0.14791733867111556</v>
      </c>
      <c r="AC156" s="66" t="str">
        <f t="shared" si="154"/>
        <v>-97.5925421804764-712.30179627024i</v>
      </c>
      <c r="AD156" s="64">
        <f t="shared" si="155"/>
        <v>57.134049805506791</v>
      </c>
      <c r="AE156" s="61">
        <f t="shared" si="156"/>
        <v>-97.801526470255467</v>
      </c>
      <c r="AF156" s="31" t="str">
        <f t="shared" si="141"/>
        <v>-0.332666666666667</v>
      </c>
      <c r="AG156" s="31" t="str">
        <f t="shared" si="157"/>
        <v>1507.2311751162i</v>
      </c>
      <c r="AH156" s="31">
        <f t="shared" si="158"/>
        <v>1507.2311751161999</v>
      </c>
      <c r="AI156" s="31">
        <f t="shared" si="159"/>
        <v>1.5707963267948966</v>
      </c>
      <c r="AJ156" s="31" t="str">
        <f t="shared" si="142"/>
        <v>0.87879536377972+12.429332146967i</v>
      </c>
      <c r="AK156" s="31">
        <f t="shared" si="160"/>
        <v>12.460360304221867</v>
      </c>
      <c r="AL156" s="31">
        <f t="shared" si="161"/>
        <v>1.500210443759975</v>
      </c>
      <c r="AM156" s="31" t="str">
        <f t="shared" si="143"/>
        <v>1+45221.8186824934i</v>
      </c>
      <c r="AN156" s="31">
        <f t="shared" si="162"/>
        <v>45221.818693550013</v>
      </c>
      <c r="AO156" s="31">
        <f t="shared" si="163"/>
        <v>1.5707742135754603</v>
      </c>
      <c r="AP156" s="31" t="str">
        <f t="shared" si="144"/>
        <v>1+4.88342900737649i</v>
      </c>
      <c r="AQ156" s="31">
        <f t="shared" si="164"/>
        <v>4.9847646754973436</v>
      </c>
      <c r="AR156" s="31">
        <f t="shared" si="165"/>
        <v>1.3688144857109876</v>
      </c>
      <c r="AS156" s="58" t="str">
        <f t="shared" si="166"/>
        <v>-3.95849746186814+0.523233781676958i</v>
      </c>
      <c r="AT156" s="49">
        <f t="shared" si="167"/>
        <v>12.025830054362807</v>
      </c>
      <c r="AU156" s="61">
        <f t="shared" si="168"/>
        <v>172.47029916456984</v>
      </c>
      <c r="AV156" s="58" t="str">
        <f t="shared" si="145"/>
        <v>759.020193076443+2768.5811377113i</v>
      </c>
      <c r="AW156" s="64">
        <f t="shared" si="169"/>
        <v>69.159879859869591</v>
      </c>
      <c r="AX156" s="61">
        <f t="shared" si="170"/>
        <v>74.668772694314356</v>
      </c>
    </row>
    <row r="157" spans="14:50" x14ac:dyDescent="0.3">
      <c r="N157" s="10">
        <v>39</v>
      </c>
      <c r="O157" s="50">
        <f t="shared" si="135"/>
        <v>245.4708915685033</v>
      </c>
      <c r="P157" s="48" t="str">
        <f t="shared" si="136"/>
        <v>51201.9230769231</v>
      </c>
      <c r="Q157" s="17" t="str">
        <f t="shared" si="137"/>
        <v>1+72.07469252234i</v>
      </c>
      <c r="R157" s="17">
        <f t="shared" si="146"/>
        <v>72.081629436284615</v>
      </c>
      <c r="S157" s="17">
        <f t="shared" si="147"/>
        <v>1.5569227214390142</v>
      </c>
      <c r="T157" s="17" t="str">
        <f t="shared" si="138"/>
        <v>1+4.62701729773047E-09i</v>
      </c>
      <c r="U157" s="17">
        <f t="shared" si="148"/>
        <v>1</v>
      </c>
      <c r="V157" s="17">
        <f t="shared" si="149"/>
        <v>4.6270172977304699E-9</v>
      </c>
      <c r="W157" s="31" t="str">
        <f t="shared" si="139"/>
        <v>1-0.00249858934077445i</v>
      </c>
      <c r="X157" s="17">
        <f t="shared" si="150"/>
        <v>1.0000031214694751</v>
      </c>
      <c r="Y157" s="17">
        <f t="shared" si="151"/>
        <v>-2.498584141272239E-3</v>
      </c>
      <c r="Z157" s="31" t="str">
        <f t="shared" si="140"/>
        <v>0.999975897616557+0.15247292997687i</v>
      </c>
      <c r="AA157" s="17">
        <f t="shared" si="152"/>
        <v>1.0115333856031499</v>
      </c>
      <c r="AB157" s="17">
        <f t="shared" si="153"/>
        <v>0.15131117081231735</v>
      </c>
      <c r="AC157" s="66" t="str">
        <f t="shared" si="154"/>
        <v>-97.9477331879036-695.371131097707i</v>
      </c>
      <c r="AD157" s="64">
        <f t="shared" si="155"/>
        <v>56.92965623484853</v>
      </c>
      <c r="AE157" s="61">
        <f t="shared" si="156"/>
        <v>-98.017750508151352</v>
      </c>
      <c r="AF157" s="31" t="str">
        <f t="shared" si="141"/>
        <v>-0.332666666666667</v>
      </c>
      <c r="AG157" s="31" t="str">
        <f t="shared" si="157"/>
        <v>1542.33909924349i</v>
      </c>
      <c r="AH157" s="31">
        <f t="shared" si="158"/>
        <v>1542.33909924349</v>
      </c>
      <c r="AI157" s="31">
        <f t="shared" si="159"/>
        <v>1.5707963267948966</v>
      </c>
      <c r="AJ157" s="31" t="str">
        <f t="shared" si="142"/>
        <v>0.873083165257621+12.7188484847212i</v>
      </c>
      <c r="AK157" s="31">
        <f t="shared" si="160"/>
        <v>12.748779588288089</v>
      </c>
      <c r="AL157" s="31">
        <f t="shared" si="161"/>
        <v>1.5022590157989026</v>
      </c>
      <c r="AM157" s="31" t="str">
        <f t="shared" si="143"/>
        <v>1+46275.1701559863i</v>
      </c>
      <c r="AN157" s="31">
        <f t="shared" si="162"/>
        <v>46275.170166791228</v>
      </c>
      <c r="AO157" s="31">
        <f t="shared" si="163"/>
        <v>1.570774716933788</v>
      </c>
      <c r="AP157" s="31" t="str">
        <f t="shared" si="144"/>
        <v>1+4.99717868154891i</v>
      </c>
      <c r="AQ157" s="31">
        <f t="shared" si="164"/>
        <v>5.0962530132762156</v>
      </c>
      <c r="AR157" s="31">
        <f t="shared" si="165"/>
        <v>1.3732921957908233</v>
      </c>
      <c r="AS157" s="58" t="str">
        <f t="shared" si="166"/>
        <v>-3.95673394528769+0.513222395156873i</v>
      </c>
      <c r="AT157" s="49">
        <f t="shared" si="167"/>
        <v>12.019196223431576</v>
      </c>
      <c r="AU157" s="61">
        <f t="shared" si="168"/>
        <v>172.60950736247636</v>
      </c>
      <c r="AV157" s="58" t="str">
        <f t="shared" si="145"/>
        <v>744.433158193469+2701.12958876051i</v>
      </c>
      <c r="AW157" s="64">
        <f t="shared" si="169"/>
        <v>68.948852458280101</v>
      </c>
      <c r="AX157" s="61">
        <f t="shared" si="170"/>
        <v>74.591756854324984</v>
      </c>
    </row>
    <row r="158" spans="14:50" x14ac:dyDescent="0.3">
      <c r="N158" s="10">
        <v>40</v>
      </c>
      <c r="O158" s="50">
        <f t="shared" si="135"/>
        <v>251.18864315095806</v>
      </c>
      <c r="P158" s="48" t="str">
        <f t="shared" si="136"/>
        <v>51201.9230769231</v>
      </c>
      <c r="Q158" s="17" t="str">
        <f t="shared" si="137"/>
        <v>1+73.7535277789009i</v>
      </c>
      <c r="R158" s="17">
        <f t="shared" si="146"/>
        <v>73.760306804087435</v>
      </c>
      <c r="S158" s="17">
        <f t="shared" si="147"/>
        <v>1.5572384841036657</v>
      </c>
      <c r="T158" s="17" t="str">
        <f t="shared" si="138"/>
        <v>1+4.73479437592944E-09i</v>
      </c>
      <c r="U158" s="17">
        <f t="shared" si="148"/>
        <v>1</v>
      </c>
      <c r="V158" s="17">
        <f t="shared" si="149"/>
        <v>4.7347943759294401E-9</v>
      </c>
      <c r="W158" s="31" t="str">
        <f t="shared" si="139"/>
        <v>1-0.0025567889630019i</v>
      </c>
      <c r="X158" s="17">
        <f t="shared" si="150"/>
        <v>1.0000032685795588</v>
      </c>
      <c r="Y158" s="17">
        <f t="shared" si="151"/>
        <v>-2.5567833916358869E-3</v>
      </c>
      <c r="Z158" s="31" t="str">
        <f t="shared" si="140"/>
        <v>0.999974761706221+0.156024480757845i</v>
      </c>
      <c r="AA158" s="17">
        <f t="shared" si="152"/>
        <v>1.012073694275851</v>
      </c>
      <c r="AB158" s="17">
        <f t="shared" si="153"/>
        <v>0.15478043404144201</v>
      </c>
      <c r="AC158" s="66" t="str">
        <f t="shared" si="154"/>
        <v>-98.2770380532419-678.810123944789i</v>
      </c>
      <c r="AD158" s="64">
        <f t="shared" si="155"/>
        <v>56.725056819723847</v>
      </c>
      <c r="AE158" s="61">
        <f t="shared" si="156"/>
        <v>-98.237951082453989</v>
      </c>
      <c r="AF158" s="31" t="str">
        <f t="shared" si="141"/>
        <v>-0.332666666666667</v>
      </c>
      <c r="AG158" s="31" t="str">
        <f t="shared" si="157"/>
        <v>1578.26479197648i</v>
      </c>
      <c r="AH158" s="31">
        <f t="shared" si="158"/>
        <v>1578.26479197648</v>
      </c>
      <c r="AI158" s="31">
        <f t="shared" si="159"/>
        <v>1.5707963267948966</v>
      </c>
      <c r="AJ158" s="31" t="str">
        <f t="shared" si="142"/>
        <v>0.867101759112996+13.0151085242959i</v>
      </c>
      <c r="AK158" s="31">
        <f t="shared" si="160"/>
        <v>13.04396087696742</v>
      </c>
      <c r="AL158" s="31">
        <f t="shared" si="161"/>
        <v>1.5042719285061792</v>
      </c>
      <c r="AM158" s="31" t="str">
        <f t="shared" si="143"/>
        <v>1+47353.0573372205i</v>
      </c>
      <c r="AN158" s="31">
        <f t="shared" si="162"/>
        <v>47353.057347779482</v>
      </c>
      <c r="AO158" s="31">
        <f t="shared" si="163"/>
        <v>1.5707752088342815</v>
      </c>
      <c r="AP158" s="31" t="str">
        <f t="shared" si="144"/>
        <v>1+5.11357792600379i</v>
      </c>
      <c r="AQ158" s="31">
        <f t="shared" si="164"/>
        <v>5.2104394445491087</v>
      </c>
      <c r="AR158" s="31">
        <f t="shared" si="165"/>
        <v>1.377675748348812</v>
      </c>
      <c r="AS158" s="58" t="str">
        <f t="shared" si="166"/>
        <v>-3.95504723388246+0.503470812701507i</v>
      </c>
      <c r="AT158" s="49">
        <f t="shared" si="167"/>
        <v>12.012846160463011</v>
      </c>
      <c r="AU158" s="61">
        <f t="shared" si="168"/>
        <v>172.74536320448988</v>
      </c>
      <c r="AV158" s="58" t="str">
        <f t="shared" si="145"/>
        <v>730.451412279129+2635.24648282068i</v>
      </c>
      <c r="AW158" s="64">
        <f t="shared" si="169"/>
        <v>68.737902980186846</v>
      </c>
      <c r="AX158" s="61">
        <f t="shared" si="170"/>
        <v>74.507412122035859</v>
      </c>
    </row>
    <row r="159" spans="14:50" x14ac:dyDescent="0.3">
      <c r="N159" s="10">
        <v>41</v>
      </c>
      <c r="O159" s="50">
        <f t="shared" si="135"/>
        <v>257.03957827688663</v>
      </c>
      <c r="P159" s="48" t="str">
        <f t="shared" si="136"/>
        <v>51201.9230769231</v>
      </c>
      <c r="Q159" s="17" t="str">
        <f t="shared" si="137"/>
        <v>1+75.4714681321331i</v>
      </c>
      <c r="R159" s="17">
        <f t="shared" si="146"/>
        <v>75.478092861568655</v>
      </c>
      <c r="S159" s="17">
        <f t="shared" si="147"/>
        <v>1.5575470617451816</v>
      </c>
      <c r="T159" s="17" t="str">
        <f t="shared" si="138"/>
        <v>1+4.84508190477891E-09i</v>
      </c>
      <c r="U159" s="17">
        <f t="shared" si="148"/>
        <v>1</v>
      </c>
      <c r="V159" s="17">
        <f t="shared" si="149"/>
        <v>4.8450819047789096E-9</v>
      </c>
      <c r="W159" s="31" t="str">
        <f t="shared" si="139"/>
        <v>1-0.00261634422858061i</v>
      </c>
      <c r="X159" s="17">
        <f t="shared" si="150"/>
        <v>1.0000034226227041</v>
      </c>
      <c r="Y159" s="17">
        <f t="shared" si="151"/>
        <v>-2.6163382587554738E-3</v>
      </c>
      <c r="Z159" s="31" t="str">
        <f t="shared" si="140"/>
        <v>0.99997357226208+0.159658757783746i</v>
      </c>
      <c r="AA159" s="17">
        <f t="shared" si="152"/>
        <v>1.0126391579233118</v>
      </c>
      <c r="AB159" s="17">
        <f t="shared" si="153"/>
        <v>0.15832663465754926</v>
      </c>
      <c r="AC159" s="66" t="str">
        <f t="shared" si="154"/>
        <v>-98.5811874212388-662.610137872898i</v>
      </c>
      <c r="AD159" s="64">
        <f t="shared" si="155"/>
        <v>56.520242478586908</v>
      </c>
      <c r="AE159" s="61">
        <f t="shared" si="156"/>
        <v>-98.462225843790989</v>
      </c>
      <c r="AF159" s="31" t="str">
        <f t="shared" si="141"/>
        <v>-0.332666666666667</v>
      </c>
      <c r="AG159" s="31" t="str">
        <f t="shared" si="157"/>
        <v>1615.02730159297i</v>
      </c>
      <c r="AH159" s="31">
        <f t="shared" si="158"/>
        <v>1615.0273015929699</v>
      </c>
      <c r="AI159" s="31">
        <f t="shared" si="159"/>
        <v>1.5707963267948966</v>
      </c>
      <c r="AJ159" s="31" t="str">
        <f t="shared" si="142"/>
        <v>0.860838457981473+13.3182693466855i</v>
      </c>
      <c r="AK159" s="31">
        <f t="shared" si="160"/>
        <v>13.34606088857692</v>
      </c>
      <c r="AL159" s="31">
        <f t="shared" si="161"/>
        <v>1.5062502038863681</v>
      </c>
      <c r="AM159" s="31" t="str">
        <f t="shared" si="143"/>
        <v>1+48456.0517362463i</v>
      </c>
      <c r="AN159" s="31">
        <f t="shared" si="162"/>
        <v>48456.051746564932</v>
      </c>
      <c r="AO159" s="31">
        <f t="shared" si="163"/>
        <v>1.5707756895377527</v>
      </c>
      <c r="AP159" s="31" t="str">
        <f t="shared" si="144"/>
        <v>1+5.23268845716122i</v>
      </c>
      <c r="AQ159" s="31">
        <f t="shared" si="164"/>
        <v>5.3273847701952484</v>
      </c>
      <c r="AR159" s="31">
        <f t="shared" si="165"/>
        <v>1.3819667934218134</v>
      </c>
      <c r="AS159" s="58" t="str">
        <f t="shared" si="166"/>
        <v>-3.9534338769776+0.493974673912735i</v>
      </c>
      <c r="AT159" s="49">
        <f t="shared" si="167"/>
        <v>12.006768111562492</v>
      </c>
      <c r="AU159" s="61">
        <f t="shared" si="168"/>
        <v>172.87790268915387</v>
      </c>
      <c r="AV159" s="58" t="str">
        <f t="shared" si="145"/>
        <v>717.046832770841+2570.88875638518i</v>
      </c>
      <c r="AW159" s="64">
        <f t="shared" si="169"/>
        <v>68.527010590149402</v>
      </c>
      <c r="AX159" s="61">
        <f t="shared" si="170"/>
        <v>74.415676845362881</v>
      </c>
    </row>
    <row r="160" spans="14:50" x14ac:dyDescent="0.3">
      <c r="N160" s="10">
        <v>42</v>
      </c>
      <c r="O160" s="50">
        <f t="shared" si="135"/>
        <v>263.02679918953817</v>
      </c>
      <c r="P160" s="48" t="str">
        <f t="shared" si="136"/>
        <v>51201.9230769231</v>
      </c>
      <c r="Q160" s="17" t="str">
        <f t="shared" si="137"/>
        <v>1+77.2294244567519i</v>
      </c>
      <c r="R160" s="17">
        <f t="shared" si="146"/>
        <v>77.235898401722167</v>
      </c>
      <c r="S160" s="17">
        <f t="shared" si="147"/>
        <v>1.5578486177403144</v>
      </c>
      <c r="T160" s="17" t="str">
        <f t="shared" si="138"/>
        <v>1+4.95793836018654E-09i</v>
      </c>
      <c r="U160" s="17">
        <f t="shared" si="148"/>
        <v>1</v>
      </c>
      <c r="V160" s="17">
        <f t="shared" si="149"/>
        <v>4.9579383601865396E-9</v>
      </c>
      <c r="W160" s="31" t="str">
        <f t="shared" si="139"/>
        <v>1-0.00267728671450073i</v>
      </c>
      <c r="X160" s="17">
        <f t="shared" si="150"/>
        <v>1.0000035839256536</v>
      </c>
      <c r="Y160" s="17">
        <f t="shared" si="151"/>
        <v>-2.6772803177190856E-3</v>
      </c>
      <c r="Z160" s="31" t="str">
        <f t="shared" si="140"/>
        <v>0.999972326761163+0.163377687996357i</v>
      </c>
      <c r="AA160" s="17">
        <f t="shared" si="152"/>
        <v>1.0132309328199416</v>
      </c>
      <c r="AB160" s="17">
        <f t="shared" si="153"/>
        <v>0.1619512970952556</v>
      </c>
      <c r="AC160" s="66" t="str">
        <f t="shared" si="154"/>
        <v>-98.8608617171522-646.762731674474i</v>
      </c>
      <c r="AD160" s="64">
        <f t="shared" si="155"/>
        <v>56.315203736931558</v>
      </c>
      <c r="AE160" s="61">
        <f t="shared" si="156"/>
        <v>-98.690673305746387</v>
      </c>
      <c r="AF160" s="31" t="str">
        <f t="shared" si="141"/>
        <v>-0.332666666666667</v>
      </c>
      <c r="AG160" s="31" t="str">
        <f t="shared" si="157"/>
        <v>1652.64612006218i</v>
      </c>
      <c r="AH160" s="31">
        <f t="shared" si="158"/>
        <v>1652.64612006218</v>
      </c>
      <c r="AI160" s="31">
        <f t="shared" si="159"/>
        <v>1.5707963267948966</v>
      </c>
      <c r="AJ160" s="31" t="str">
        <f t="shared" si="142"/>
        <v>0.854279976561616+13.6284916917708i</v>
      </c>
      <c r="AK160" s="31">
        <f t="shared" si="160"/>
        <v>13.655240022460967</v>
      </c>
      <c r="AL160" s="31">
        <f t="shared" si="161"/>
        <v>1.5081948485521262</v>
      </c>
      <c r="AM160" s="31" t="str">
        <f t="shared" si="143"/>
        <v>1+49584.7381752945i</v>
      </c>
      <c r="AN160" s="31">
        <f t="shared" si="162"/>
        <v>49584.73818537825</v>
      </c>
      <c r="AO160" s="31">
        <f t="shared" si="163"/>
        <v>1.570776159299077</v>
      </c>
      <c r="AP160" s="31" t="str">
        <f t="shared" si="144"/>
        <v>1+5.35457342900146i</v>
      </c>
      <c r="AQ160" s="31">
        <f t="shared" si="164"/>
        <v>5.4471512377176072</v>
      </c>
      <c r="AR160" s="31">
        <f t="shared" si="165"/>
        <v>1.3861669737833979</v>
      </c>
      <c r="AS160" s="58" t="str">
        <f t="shared" si="166"/>
        <v>-3.95189056844267+0.484729700631926i</v>
      </c>
      <c r="AT160" s="49">
        <f t="shared" si="167"/>
        <v>12.000950756114735</v>
      </c>
      <c r="AU160" s="61">
        <f t="shared" si="168"/>
        <v>173.00716228040713</v>
      </c>
      <c r="AV160" s="58" t="str">
        <f t="shared" si="145"/>
        <v>704.192412312583+2508.0147434202i</v>
      </c>
      <c r="AW160" s="64">
        <f t="shared" si="169"/>
        <v>68.316154493046284</v>
      </c>
      <c r="AX160" s="61">
        <f t="shared" si="170"/>
        <v>74.316488974660714</v>
      </c>
    </row>
    <row r="161" spans="14:50" x14ac:dyDescent="0.3">
      <c r="N161" s="10">
        <v>43</v>
      </c>
      <c r="O161" s="50">
        <f t="shared" si="135"/>
        <v>269.15348039269179</v>
      </c>
      <c r="P161" s="48" t="str">
        <f t="shared" si="136"/>
        <v>51201.9230769231</v>
      </c>
      <c r="Q161" s="17" t="str">
        <f t="shared" si="137"/>
        <v>1+79.0283288444703i</v>
      </c>
      <c r="R161" s="17">
        <f t="shared" si="146"/>
        <v>79.03465543639534</v>
      </c>
      <c r="S161" s="17">
        <f t="shared" si="147"/>
        <v>1.5581433117585399</v>
      </c>
      <c r="T161" s="17" t="str">
        <f t="shared" si="138"/>
        <v>1+5.07342358013884E-09i</v>
      </c>
      <c r="U161" s="17">
        <f t="shared" si="148"/>
        <v>1</v>
      </c>
      <c r="V161" s="17">
        <f t="shared" si="149"/>
        <v>5.0734235801388396E-9</v>
      </c>
      <c r="W161" s="31" t="str">
        <f t="shared" si="139"/>
        <v>1-0.00273964873327497i</v>
      </c>
      <c r="X161" s="17">
        <f t="shared" si="150"/>
        <v>1.000003752830549</v>
      </c>
      <c r="Y161" s="17">
        <f t="shared" si="151"/>
        <v>-2.7396418790013363E-3</v>
      </c>
      <c r="Z161" s="31" t="str">
        <f t="shared" si="140"/>
        <v>0.999971022561597+0.167183243221704i</v>
      </c>
      <c r="AA161" s="17">
        <f t="shared" si="152"/>
        <v>1.0138502269946057</v>
      </c>
      <c r="AB161" s="17">
        <f t="shared" si="153"/>
        <v>0.16565596324933485</v>
      </c>
      <c r="AC161" s="66" t="str">
        <f t="shared" si="154"/>
        <v>-99.1166928530439-631.259655991992i</v>
      </c>
      <c r="AD161" s="64">
        <f t="shared" si="155"/>
        <v>56.109930712957087</v>
      </c>
      <c r="AE161" s="61">
        <f t="shared" si="156"/>
        <v>-98.923392812020651</v>
      </c>
      <c r="AF161" s="31" t="str">
        <f t="shared" si="141"/>
        <v>-0.332666666666667</v>
      </c>
      <c r="AG161" s="31" t="str">
        <f t="shared" si="157"/>
        <v>1691.14119337961i</v>
      </c>
      <c r="AH161" s="31">
        <f t="shared" si="158"/>
        <v>1691.1411933796101</v>
      </c>
      <c r="AI161" s="31">
        <f t="shared" si="159"/>
        <v>1.5707963267948966</v>
      </c>
      <c r="AJ161" s="31" t="str">
        <f t="shared" si="142"/>
        <v>0.847412403435022+13.9459400435456i</v>
      </c>
      <c r="AK161" s="31">
        <f t="shared" si="160"/>
        <v>13.971662445094504</v>
      </c>
      <c r="AL161" s="31">
        <f t="shared" si="161"/>
        <v>1.5101068540621716</v>
      </c>
      <c r="AM161" s="31" t="str">
        <f t="shared" si="143"/>
        <v>1+50739.7150988549i</v>
      </c>
      <c r="AN161" s="31">
        <f t="shared" si="162"/>
        <v>50739.715108709112</v>
      </c>
      <c r="AO161" s="31">
        <f t="shared" si="163"/>
        <v>1.5707766183673282</v>
      </c>
      <c r="AP161" s="31" t="str">
        <f t="shared" si="144"/>
        <v>1+5.47929746654994i</v>
      </c>
      <c r="AQ161" s="31">
        <f t="shared" si="164"/>
        <v>5.569802575221189</v>
      </c>
      <c r="AR161" s="31">
        <f t="shared" si="165"/>
        <v>1.3902779233562075</v>
      </c>
      <c r="AS161" s="58" t="str">
        <f t="shared" si="166"/>
        <v>-3.95041414063551+0.475731698100262i</v>
      </c>
      <c r="AT161" s="49">
        <f t="shared" si="167"/>
        <v>11.995383194520791</v>
      </c>
      <c r="AU161" s="61">
        <f t="shared" si="168"/>
        <v>173.13317879726216</v>
      </c>
      <c r="AV161" s="58" t="str">
        <f t="shared" si="145"/>
        <v>691.862213106949+2446.58411884241i</v>
      </c>
      <c r="AW161" s="64">
        <f t="shared" si="169"/>
        <v>68.105313907477864</v>
      </c>
      <c r="AX161" s="61">
        <f t="shared" si="170"/>
        <v>74.209785985241467</v>
      </c>
    </row>
    <row r="162" spans="14:50" x14ac:dyDescent="0.3">
      <c r="N162" s="10">
        <v>44</v>
      </c>
      <c r="O162" s="50">
        <f t="shared" si="135"/>
        <v>275.42287033381683</v>
      </c>
      <c r="P162" s="48" t="str">
        <f t="shared" si="136"/>
        <v>51201.9230769231</v>
      </c>
      <c r="Q162" s="17" t="str">
        <f t="shared" si="137"/>
        <v>1+80.8691350982056i</v>
      </c>
      <c r="R162" s="17">
        <f t="shared" si="146"/>
        <v>80.875317690453798</v>
      </c>
      <c r="S162" s="17">
        <f t="shared" si="147"/>
        <v>1.5584312998456691</v>
      </c>
      <c r="T162" s="17" t="str">
        <f t="shared" si="138"/>
        <v>1+5.19159879642801E-09i</v>
      </c>
      <c r="U162" s="17">
        <f t="shared" si="148"/>
        <v>1</v>
      </c>
      <c r="V162" s="17">
        <f t="shared" si="149"/>
        <v>5.1915987964280097E-9</v>
      </c>
      <c r="W162" s="31" t="str">
        <f t="shared" si="139"/>
        <v>1-0.00280346335007112i</v>
      </c>
      <c r="X162" s="17">
        <f t="shared" si="150"/>
        <v>1.0000039296956564</v>
      </c>
      <c r="Y162" s="17">
        <f t="shared" si="151"/>
        <v>-2.8034560055861567E-3</v>
      </c>
      <c r="Z162" s="31" t="str">
        <f t="shared" si="140"/>
        <v>0.999969656896999+0.171077441215539i</v>
      </c>
      <c r="AA162" s="17">
        <f t="shared" si="152"/>
        <v>1.0144983024172873</v>
      </c>
      <c r="AB162" s="17">
        <f t="shared" si="153"/>
        <v>0.1694421917181633</v>
      </c>
      <c r="AC162" s="66" t="str">
        <f t="shared" si="154"/>
        <v>-99.349265854917-616.092849549384i</v>
      </c>
      <c r="AD162" s="64">
        <f t="shared" si="155"/>
        <v>55.904413102882117</v>
      </c>
      <c r="AE162" s="61">
        <f t="shared" si="156"/>
        <v>-99.16048449885507</v>
      </c>
      <c r="AF162" s="31" t="str">
        <f t="shared" si="141"/>
        <v>-0.332666666666667</v>
      </c>
      <c r="AG162" s="31" t="str">
        <f t="shared" si="157"/>
        <v>1730.53293214267i</v>
      </c>
      <c r="AH162" s="31">
        <f t="shared" si="158"/>
        <v>1730.53293214267</v>
      </c>
      <c r="AI162" s="31">
        <f t="shared" si="159"/>
        <v>1.5707963267948966</v>
      </c>
      <c r="AJ162" s="31" t="str">
        <f t="shared" si="142"/>
        <v>0.840221171558337+14.2707827173277i</v>
      </c>
      <c r="AK162" s="31">
        <f t="shared" si="160"/>
        <v>14.295496178248372</v>
      </c>
      <c r="AL162" s="31">
        <f t="shared" si="161"/>
        <v>1.5119871972638639</v>
      </c>
      <c r="AM162" s="31" t="str">
        <f t="shared" si="143"/>
        <v>1+51921.5948909803i</v>
      </c>
      <c r="AN162" s="31">
        <f t="shared" si="162"/>
        <v>51921.594900610202</v>
      </c>
      <c r="AO162" s="31">
        <f t="shared" si="163"/>
        <v>1.57077706698591</v>
      </c>
      <c r="AP162" s="31" t="str">
        <f t="shared" si="144"/>
        <v>1+5.60692670014225i</v>
      </c>
      <c r="AQ162" s="31">
        <f t="shared" si="164"/>
        <v>5.6954040261221213</v>
      </c>
      <c r="AR162" s="31">
        <f t="shared" si="165"/>
        <v>1.3943012657505127</v>
      </c>
      <c r="AS162" s="58" t="str">
        <f t="shared" si="166"/>
        <v>-3.94900155855791+0.466976555945397i</v>
      </c>
      <c r="AT162" s="49">
        <f t="shared" si="167"/>
        <v>11.990054935903556</v>
      </c>
      <c r="AU162" s="61">
        <f t="shared" si="168"/>
        <v>173.25598931045022</v>
      </c>
      <c r="AV162" s="58" t="str">
        <f t="shared" si="145"/>
        <v>680.031322727808+2386.55784508227i</v>
      </c>
      <c r="AW162" s="64">
        <f t="shared" si="169"/>
        <v>67.894468038785675</v>
      </c>
      <c r="AX162" s="61">
        <f t="shared" si="170"/>
        <v>74.095504811595148</v>
      </c>
    </row>
    <row r="163" spans="14:50" x14ac:dyDescent="0.3">
      <c r="N163" s="10">
        <v>45</v>
      </c>
      <c r="O163" s="50">
        <f t="shared" si="135"/>
        <v>281.83829312644554</v>
      </c>
      <c r="P163" s="48" t="str">
        <f t="shared" si="136"/>
        <v>51201.9230769231</v>
      </c>
      <c r="Q163" s="17" t="str">
        <f t="shared" si="137"/>
        <v>1+82.7528192377993i</v>
      </c>
      <c r="R163" s="17">
        <f t="shared" si="146"/>
        <v>82.758861107460177</v>
      </c>
      <c r="S163" s="17">
        <f t="shared" si="147"/>
        <v>1.5587127345056091</v>
      </c>
      <c r="T163" s="17" t="str">
        <f t="shared" si="138"/>
        <v>1+5.31252666711798E-09i</v>
      </c>
      <c r="U163" s="17">
        <f t="shared" si="148"/>
        <v>1</v>
      </c>
      <c r="V163" s="17">
        <f t="shared" si="149"/>
        <v>5.3125266671179798E-9</v>
      </c>
      <c r="W163" s="31" t="str">
        <f t="shared" si="139"/>
        <v>1-0.00286876440024371i</v>
      </c>
      <c r="X163" s="17">
        <f t="shared" si="150"/>
        <v>1.0000041148961258</v>
      </c>
      <c r="Y163" s="17">
        <f t="shared" si="151"/>
        <v>-2.8687565304880338E-3</v>
      </c>
      <c r="Z163" s="31" t="str">
        <f t="shared" si="140"/>
        <v>0.999968226870611+0.175062346733184i</v>
      </c>
      <c r="AA163" s="17">
        <f t="shared" si="152"/>
        <v>1.0151764772661369</v>
      </c>
      <c r="AB163" s="17">
        <f t="shared" si="153"/>
        <v>0.17331155696090714</v>
      </c>
      <c r="AC163" s="66" t="str">
        <f t="shared" si="154"/>
        <v>-99.5591204158899-601.254435495415i</v>
      </c>
      <c r="AD163" s="64">
        <f t="shared" si="155"/>
        <v>55.698640165919315</v>
      </c>
      <c r="AE163" s="61">
        <f t="shared" si="156"/>
        <v>-99.402049252430331</v>
      </c>
      <c r="AF163" s="31" t="str">
        <f t="shared" si="141"/>
        <v>-0.332666666666667</v>
      </c>
      <c r="AG163" s="31" t="str">
        <f t="shared" si="157"/>
        <v>1770.84222237266i</v>
      </c>
      <c r="AH163" s="31">
        <f t="shared" si="158"/>
        <v>1770.84222237266</v>
      </c>
      <c r="AI163" s="31">
        <f t="shared" si="159"/>
        <v>1.5707963267948966</v>
      </c>
      <c r="AJ163" s="31" t="str">
        <f t="shared" si="142"/>
        <v>0.832691027364608+14.6031919490028i</v>
      </c>
      <c r="AK163" s="31">
        <f t="shared" si="160"/>
        <v>14.626913189271129</v>
      </c>
      <c r="AL163" s="31">
        <f t="shared" si="161"/>
        <v>1.513836840639784</v>
      </c>
      <c r="AM163" s="31" t="str">
        <f t="shared" si="143"/>
        <v>1+53131.0041999804i</v>
      </c>
      <c r="AN163" s="31">
        <f t="shared" si="162"/>
        <v>53131.004209391103</v>
      </c>
      <c r="AO163" s="31">
        <f t="shared" si="163"/>
        <v>1.5707775053926865</v>
      </c>
      <c r="AP163" s="31" t="str">
        <f t="shared" si="144"/>
        <v>1+5.73752880048742i</v>
      </c>
      <c r="AQ163" s="31">
        <f t="shared" si="164"/>
        <v>5.8240223846086483</v>
      </c>
      <c r="AR163" s="31">
        <f t="shared" si="165"/>
        <v>1.3982386129226982</v>
      </c>
      <c r="AS163" s="58" t="str">
        <f t="shared" si="166"/>
        <v>-3.94764991421723+0.458460249008219i</v>
      </c>
      <c r="AT163" s="49">
        <f t="shared" si="167"/>
        <v>11.984955885823203</v>
      </c>
      <c r="AU163" s="61">
        <f t="shared" si="168"/>
        <v>173.37563104570759</v>
      </c>
      <c r="AV163" s="58" t="str">
        <f t="shared" si="145"/>
        <v>668.675811383855+2327.8981215693i</v>
      </c>
      <c r="AW163" s="64">
        <f t="shared" si="169"/>
        <v>67.683596051742526</v>
      </c>
      <c r="AX163" s="61">
        <f t="shared" si="170"/>
        <v>73.973581793277305</v>
      </c>
    </row>
    <row r="164" spans="14:50" x14ac:dyDescent="0.3">
      <c r="N164" s="10">
        <v>46</v>
      </c>
      <c r="O164" s="50">
        <f t="shared" si="135"/>
        <v>288.40315031266073</v>
      </c>
      <c r="P164" s="48" t="str">
        <f t="shared" si="136"/>
        <v>51201.9230769231</v>
      </c>
      <c r="Q164" s="17" t="str">
        <f t="shared" si="137"/>
        <v>1+84.6803800175161i</v>
      </c>
      <c r="R164" s="17">
        <f t="shared" si="146"/>
        <v>84.686284367133155</v>
      </c>
      <c r="S164" s="17">
        <f t="shared" si="147"/>
        <v>1.5589877647803099</v>
      </c>
      <c r="T164" s="17" t="str">
        <f t="shared" si="138"/>
        <v>1+5.43627130976647E-09i</v>
      </c>
      <c r="U164" s="17">
        <f t="shared" si="148"/>
        <v>1</v>
      </c>
      <c r="V164" s="17">
        <f t="shared" si="149"/>
        <v>5.4362713097664697E-9</v>
      </c>
      <c r="W164" s="31" t="str">
        <f t="shared" si="139"/>
        <v>1-0.00293558650727389i</v>
      </c>
      <c r="X164" s="17">
        <f t="shared" si="150"/>
        <v>1.0000043088247879</v>
      </c>
      <c r="Y164" s="17">
        <f t="shared" si="151"/>
        <v>-2.9355780746807181E-3</v>
      </c>
      <c r="Z164" s="31" t="str">
        <f t="shared" si="140"/>
        <v>0.999966729449156+0.179140072624291i</v>
      </c>
      <c r="AA164" s="17">
        <f t="shared" si="152"/>
        <v>1.0158861282767266</v>
      </c>
      <c r="AB164" s="17">
        <f t="shared" si="153"/>
        <v>0.17726564836313349</v>
      </c>
      <c r="AC164" s="66" t="str">
        <f t="shared" si="154"/>
        <v>-99.7467523805499-586.736717858446i</v>
      </c>
      <c r="AD164" s="64">
        <f t="shared" si="155"/>
        <v>55.49260070892516</v>
      </c>
      <c r="AE164" s="61">
        <f t="shared" si="156"/>
        <v>-99.64818866093826</v>
      </c>
      <c r="AF164" s="31" t="str">
        <f t="shared" si="141"/>
        <v>-0.332666666666667</v>
      </c>
      <c r="AG164" s="31" t="str">
        <f t="shared" si="157"/>
        <v>1812.09043658882i</v>
      </c>
      <c r="AH164" s="31">
        <f t="shared" si="158"/>
        <v>1812.09043658882</v>
      </c>
      <c r="AI164" s="31">
        <f t="shared" si="159"/>
        <v>1.5707963267948966</v>
      </c>
      <c r="AJ164" s="31" t="str">
        <f t="shared" si="142"/>
        <v>0.824805998408414+14.9433439863453i</v>
      </c>
      <c r="AK164" s="31">
        <f t="shared" si="160"/>
        <v>14.966089483537532</v>
      </c>
      <c r="AL164" s="31">
        <f t="shared" si="161"/>
        <v>1.5156567326577302</v>
      </c>
      <c r="AM164" s="31" t="str">
        <f t="shared" si="143"/>
        <v>1+54368.5842706792i</v>
      </c>
      <c r="AN164" s="31">
        <f t="shared" si="162"/>
        <v>54368.5842798757</v>
      </c>
      <c r="AO164" s="31">
        <f t="shared" si="163"/>
        <v>1.570777933820106</v>
      </c>
      <c r="AP164" s="31" t="str">
        <f t="shared" si="144"/>
        <v>1+5.87117301454778i</v>
      </c>
      <c r="AQ164" s="31">
        <f t="shared" si="164"/>
        <v>5.9557260318750442</v>
      </c>
      <c r="AR164" s="31">
        <f t="shared" si="165"/>
        <v>1.402091563947514</v>
      </c>
      <c r="AS164" s="58" t="str">
        <f t="shared" si="166"/>
        <v>-3.94635642118926+0.450178838022641i</v>
      </c>
      <c r="AT164" s="49">
        <f t="shared" si="167"/>
        <v>11.980076334042117</v>
      </c>
      <c r="AU164" s="61">
        <f t="shared" si="168"/>
        <v>173.49214129338532</v>
      </c>
      <c r="AV164" s="58" t="str">
        <f t="shared" si="145"/>
        <v>657.772690620492+2270.56833698498i</v>
      </c>
      <c r="AW164" s="64">
        <f t="shared" si="169"/>
        <v>67.472677042967277</v>
      </c>
      <c r="AX164" s="61">
        <f t="shared" si="170"/>
        <v>73.843952632447042</v>
      </c>
    </row>
    <row r="165" spans="14:50" x14ac:dyDescent="0.3">
      <c r="N165" s="10">
        <v>47</v>
      </c>
      <c r="O165" s="50">
        <f t="shared" si="135"/>
        <v>295.12092266663871</v>
      </c>
      <c r="P165" s="48" t="str">
        <f t="shared" si="136"/>
        <v>51201.9230769231</v>
      </c>
      <c r="Q165" s="17" t="str">
        <f t="shared" si="137"/>
        <v>1+86.6528394555953i</v>
      </c>
      <c r="R165" s="17">
        <f t="shared" si="146"/>
        <v>86.658609414859484</v>
      </c>
      <c r="S165" s="17">
        <f t="shared" si="147"/>
        <v>1.559256536327938</v>
      </c>
      <c r="T165" s="17" t="str">
        <f t="shared" si="138"/>
        <v>1+5.56289833542093E-09i</v>
      </c>
      <c r="U165" s="17">
        <f t="shared" si="148"/>
        <v>1</v>
      </c>
      <c r="V165" s="17">
        <f t="shared" si="149"/>
        <v>5.5628983354209299E-9</v>
      </c>
      <c r="W165" s="31" t="str">
        <f t="shared" si="139"/>
        <v>1-0.0030039651011273i</v>
      </c>
      <c r="X165" s="17">
        <f t="shared" si="150"/>
        <v>1.0000045118929859</v>
      </c>
      <c r="Y165" s="17">
        <f t="shared" si="151"/>
        <v>-3.0039560654431248E-3</v>
      </c>
      <c r="Z165" s="31" t="str">
        <f t="shared" si="140"/>
        <v>0.999965161456402+0.183312780953102i</v>
      </c>
      <c r="AA165" s="17">
        <f t="shared" si="152"/>
        <v>1.016628693175285</v>
      </c>
      <c r="AB165" s="17">
        <f t="shared" si="153"/>
        <v>0.18130606920534706</v>
      </c>
      <c r="AC165" s="66" t="str">
        <f t="shared" si="154"/>
        <v>-99.9126151656174-572.532178112111i</v>
      </c>
      <c r="AD165" s="64">
        <f t="shared" si="155"/>
        <v>55.286283070743622</v>
      </c>
      <c r="AE165" s="61">
        <f t="shared" si="156"/>
        <v>-99.899004961013219</v>
      </c>
      <c r="AF165" s="31" t="str">
        <f t="shared" si="141"/>
        <v>-0.332666666666667</v>
      </c>
      <c r="AG165" s="31" t="str">
        <f t="shared" si="157"/>
        <v>1854.29944514031i</v>
      </c>
      <c r="AH165" s="31">
        <f t="shared" si="158"/>
        <v>1854.2994451403099</v>
      </c>
      <c r="AI165" s="31">
        <f t="shared" si="159"/>
        <v>1.5707963267948966</v>
      </c>
      <c r="AJ165" s="31" t="str">
        <f t="shared" si="142"/>
        <v>0.816549359486176+15.2914191824679i</v>
      </c>
      <c r="AK165" s="31">
        <f t="shared" si="160"/>
        <v>15.313205199122244</v>
      </c>
      <c r="AL165" s="31">
        <f t="shared" si="161"/>
        <v>1.5174478081236189</v>
      </c>
      <c r="AM165" s="31" t="str">
        <f t="shared" si="143"/>
        <v>1+55634.9912844116i</v>
      </c>
      <c r="AN165" s="31">
        <f t="shared" si="162"/>
        <v>55634.991293398743</v>
      </c>
      <c r="AO165" s="31">
        <f t="shared" si="163"/>
        <v>1.5707783524953272</v>
      </c>
      <c r="AP165" s="31" t="str">
        <f t="shared" si="144"/>
        <v>1+6.0079302022546i</v>
      </c>
      <c r="AQ165" s="31">
        <f t="shared" si="164"/>
        <v>6.0905849731501975</v>
      </c>
      <c r="AR165" s="31">
        <f t="shared" si="165"/>
        <v>1.4058617038981012</v>
      </c>
      <c r="AS165" s="58" t="str">
        <f t="shared" si="166"/>
        <v>-3.9451184093752+0.442128470160507i</v>
      </c>
      <c r="AT165" s="49">
        <f t="shared" si="167"/>
        <v>11.97540694236989</v>
      </c>
      <c r="AU165" s="61">
        <f t="shared" si="168"/>
        <v>173.60555732406587</v>
      </c>
      <c r="AV165" s="58" t="str">
        <f t="shared" si="145"/>
        <v>647.299873445068+2214.53302413686i</v>
      </c>
      <c r="AW165" s="64">
        <f t="shared" si="169"/>
        <v>67.261690013113508</v>
      </c>
      <c r="AX165" s="61">
        <f t="shared" si="170"/>
        <v>73.706552363052651</v>
      </c>
    </row>
    <row r="166" spans="14:50" x14ac:dyDescent="0.3">
      <c r="N166" s="10">
        <v>48</v>
      </c>
      <c r="O166" s="50">
        <f t="shared" si="135"/>
        <v>301.99517204020168</v>
      </c>
      <c r="P166" s="48" t="str">
        <f t="shared" si="136"/>
        <v>51201.9230769231</v>
      </c>
      <c r="Q166" s="17" t="str">
        <f t="shared" si="137"/>
        <v>1+88.6712433761399i</v>
      </c>
      <c r="R166" s="17">
        <f t="shared" si="146"/>
        <v>88.676882003544947</v>
      </c>
      <c r="S166" s="17">
        <f t="shared" si="147"/>
        <v>1.5595191914993121</v>
      </c>
      <c r="T166" s="17" t="str">
        <f t="shared" si="138"/>
        <v>1+5.69247488340652E-09i</v>
      </c>
      <c r="U166" s="17">
        <f t="shared" si="148"/>
        <v>1</v>
      </c>
      <c r="V166" s="17">
        <f t="shared" si="149"/>
        <v>5.6924748834065201E-9</v>
      </c>
      <c r="W166" s="31" t="str">
        <f t="shared" si="139"/>
        <v>1-0.00307393643703951i</v>
      </c>
      <c r="X166" s="17">
        <f t="shared" si="150"/>
        <v>1.000004724531449</v>
      </c>
      <c r="Y166" s="17">
        <f t="shared" si="151"/>
        <v>-3.0739267551319503E-3</v>
      </c>
      <c r="Z166" s="31" t="str">
        <f t="shared" si="140"/>
        <v>0.999963519566426+0.187582684144806i</v>
      </c>
      <c r="AA166" s="17">
        <f t="shared" si="152"/>
        <v>1.0174056731975913</v>
      </c>
      <c r="AB166" s="17">
        <f t="shared" si="153"/>
        <v>0.18543443552877101</v>
      </c>
      <c r="AC166" s="66" t="str">
        <f t="shared" si="154"/>
        <v>-100.057121122036-558.633471851215i</v>
      </c>
      <c r="AD166" s="64">
        <f t="shared" si="155"/>
        <v>55.079675106263196</v>
      </c>
      <c r="AE166" s="61">
        <f t="shared" si="156"/>
        <v>-100.15460097820088</v>
      </c>
      <c r="AF166" s="31" t="str">
        <f t="shared" si="141"/>
        <v>-0.332666666666667</v>
      </c>
      <c r="AG166" s="31" t="str">
        <f t="shared" si="157"/>
        <v>1897.49162780217i</v>
      </c>
      <c r="AH166" s="31">
        <f t="shared" si="158"/>
        <v>1897.4916278021699</v>
      </c>
      <c r="AI166" s="31">
        <f t="shared" si="159"/>
        <v>1.5707963267948966</v>
      </c>
      <c r="AJ166" s="31" t="str">
        <f t="shared" si="142"/>
        <v>0.807903597159752+15.6476020914469i</v>
      </c>
      <c r="AK166" s="31">
        <f t="shared" si="160"/>
        <v>15.668444703752732</v>
      </c>
      <c r="AL166" s="31">
        <f t="shared" si="161"/>
        <v>1.5192109885368053</v>
      </c>
      <c r="AM166" s="31" t="str">
        <f t="shared" si="143"/>
        <v>1+56930.8967069393i</v>
      </c>
      <c r="AN166" s="31">
        <f t="shared" si="162"/>
        <v>56930.896715721872</v>
      </c>
      <c r="AO166" s="31">
        <f t="shared" si="163"/>
        <v>1.5707787616403366</v>
      </c>
      <c r="AP166" s="31" t="str">
        <f t="shared" si="144"/>
        <v>1+6.14787287407903i</v>
      </c>
      <c r="AQ166" s="31">
        <f t="shared" si="164"/>
        <v>6.2286708755429325</v>
      </c>
      <c r="AR166" s="31">
        <f t="shared" si="165"/>
        <v>1.4095506028279621</v>
      </c>
      <c r="AS166" s="58" t="str">
        <f t="shared" si="166"/>
        <v>-3.94393331994883+0.434305379452984i</v>
      </c>
      <c r="AT166" s="49">
        <f t="shared" si="167"/>
        <v>11.97093873262201</v>
      </c>
      <c r="AU166" s="61">
        <f t="shared" si="168"/>
        <v>173.71591630988377</v>
      </c>
      <c r="AV166" s="58" t="str">
        <f t="shared" si="145"/>
        <v>637.236135858833+2159.75781731682i</v>
      </c>
      <c r="AW166" s="64">
        <f t="shared" si="169"/>
        <v>67.050613838885184</v>
      </c>
      <c r="AX166" s="61">
        <f t="shared" si="170"/>
        <v>73.561315331682877</v>
      </c>
    </row>
    <row r="167" spans="14:50" x14ac:dyDescent="0.3">
      <c r="N167" s="10">
        <v>49</v>
      </c>
      <c r="O167" s="50">
        <f t="shared" si="135"/>
        <v>309.02954325135937</v>
      </c>
      <c r="P167" s="48" t="str">
        <f t="shared" si="136"/>
        <v>51201.9230769231</v>
      </c>
      <c r="Q167" s="17" t="str">
        <f t="shared" si="137"/>
        <v>1+90.7366619636251i</v>
      </c>
      <c r="R167" s="17">
        <f t="shared" si="146"/>
        <v>90.742172248085225</v>
      </c>
      <c r="S167" s="17">
        <f t="shared" si="147"/>
        <v>1.5597758694126376</v>
      </c>
      <c r="T167" s="17" t="str">
        <f t="shared" si="138"/>
        <v>1+5.82506965692409E-09i</v>
      </c>
      <c r="U167" s="17">
        <f t="shared" si="148"/>
        <v>1</v>
      </c>
      <c r="V167" s="17">
        <f t="shared" si="149"/>
        <v>5.8250696569240898E-9</v>
      </c>
      <c r="W167" s="31" t="str">
        <f t="shared" si="139"/>
        <v>1-0.003145537614739i</v>
      </c>
      <c r="X167" s="17">
        <f t="shared" si="150"/>
        <v>1.0000049471912056</v>
      </c>
      <c r="Y167" s="17">
        <f t="shared" si="151"/>
        <v>-3.1455272403909107E-3</v>
      </c>
      <c r="Z167" s="31" t="str">
        <f t="shared" si="140"/>
        <v>0.999961800296559+0.191952046158594i</v>
      </c>
      <c r="AA167" s="17">
        <f t="shared" si="152"/>
        <v>1.0182186356951075</v>
      </c>
      <c r="AB167" s="17">
        <f t="shared" si="153"/>
        <v>0.18965237489250772</v>
      </c>
      <c r="AC167" s="66" t="str">
        <f t="shared" si="154"/>
        <v>-100.18064284364-545.0334255773i</v>
      </c>
      <c r="AD167" s="64">
        <f t="shared" si="155"/>
        <v>54.872764170213017</v>
      </c>
      <c r="AE167" s="61">
        <f t="shared" si="156"/>
        <v>-100.41508006113217</v>
      </c>
      <c r="AF167" s="31" t="str">
        <f t="shared" si="141"/>
        <v>-0.332666666666667</v>
      </c>
      <c r="AG167" s="31" t="str">
        <f t="shared" si="157"/>
        <v>1941.68988564136i</v>
      </c>
      <c r="AH167" s="31">
        <f t="shared" si="158"/>
        <v>1941.68988564136</v>
      </c>
      <c r="AI167" s="31">
        <f t="shared" si="159"/>
        <v>1.5707963267948966</v>
      </c>
      <c r="AJ167" s="31" t="str">
        <f t="shared" si="142"/>
        <v>0.79885037260809+16.0120815661752i</v>
      </c>
      <c r="AK167" s="31">
        <f t="shared" si="160"/>
        <v>16.03199669410095</v>
      </c>
      <c r="AL167" s="31">
        <f t="shared" si="161"/>
        <v>1.5209471824473866</v>
      </c>
      <c r="AM167" s="31" t="str">
        <f t="shared" si="143"/>
        <v>1+58256.9876444704i</v>
      </c>
      <c r="AN167" s="31">
        <f t="shared" si="162"/>
        <v>58256.98765305306</v>
      </c>
      <c r="AO167" s="31">
        <f t="shared" si="163"/>
        <v>1.5707791614720688</v>
      </c>
      <c r="AP167" s="31" t="str">
        <f t="shared" si="144"/>
        <v>1+6.29107522947801i</v>
      </c>
      <c r="AQ167" s="31">
        <f t="shared" si="164"/>
        <v>6.3700571067261089</v>
      </c>
      <c r="AR167" s="31">
        <f t="shared" si="165"/>
        <v>1.4131598148492071</v>
      </c>
      <c r="AS167" s="58" t="str">
        <f t="shared" si="166"/>
        <v>-3.94279870048628+0.426705887099095i</v>
      </c>
      <c r="AT167" s="49">
        <f t="shared" si="167"/>
        <v>11.966663074714585</v>
      </c>
      <c r="AU167" s="61">
        <f t="shared" si="168"/>
        <v>173.82325525124713</v>
      </c>
      <c r="AV167" s="58" t="str">
        <f t="shared" si="145"/>
        <v>627.561079777404+2106.20941201301i</v>
      </c>
      <c r="AW167" s="64">
        <f t="shared" si="169"/>
        <v>66.839427244927606</v>
      </c>
      <c r="AX167" s="61">
        <f t="shared" si="170"/>
        <v>73.408175190114974</v>
      </c>
    </row>
    <row r="168" spans="14:50" x14ac:dyDescent="0.3">
      <c r="N168" s="10">
        <v>50</v>
      </c>
      <c r="O168" s="50">
        <f t="shared" si="135"/>
        <v>316.22776601683825</v>
      </c>
      <c r="P168" s="48" t="str">
        <f t="shared" si="136"/>
        <v>51201.9230769231</v>
      </c>
      <c r="Q168" s="17" t="str">
        <f t="shared" si="137"/>
        <v>1+92.8501903303251i</v>
      </c>
      <c r="R168" s="17">
        <f t="shared" si="146"/>
        <v>92.855575192756177</v>
      </c>
      <c r="S168" s="17">
        <f t="shared" si="147"/>
        <v>1.5600267060265771</v>
      </c>
      <c r="T168" s="17" t="str">
        <f t="shared" si="138"/>
        <v>1+5.96075295947767E-09i</v>
      </c>
      <c r="U168" s="17">
        <f t="shared" si="148"/>
        <v>1</v>
      </c>
      <c r="V168" s="17">
        <f t="shared" si="149"/>
        <v>5.9607529594776703E-9</v>
      </c>
      <c r="W168" s="31" t="str">
        <f t="shared" si="139"/>
        <v>1-0.00321880659811794i</v>
      </c>
      <c r="X168" s="17">
        <f t="shared" si="150"/>
        <v>1.00000518034454</v>
      </c>
      <c r="Y168" s="17">
        <f t="shared" si="151"/>
        <v>-3.2187954818067932E-3</v>
      </c>
      <c r="Z168" s="31" t="str">
        <f t="shared" si="140"/>
        <v>0.99996+0.196423183688041i</v>
      </c>
      <c r="AA168" s="17">
        <f t="shared" si="152"/>
        <v>1.0190692168298214</v>
      </c>
      <c r="AB168" s="17">
        <f t="shared" si="153"/>
        <v>0.19396152501606556</v>
      </c>
      <c r="AC168" s="66" t="str">
        <f t="shared" si="154"/>
        <v>-100.28351442752-531.725033593097i</v>
      </c>
      <c r="AD168" s="64">
        <f t="shared" si="155"/>
        <v>54.66553710072462</v>
      </c>
      <c r="AE168" s="61">
        <f t="shared" si="156"/>
        <v>-100.68054600905791</v>
      </c>
      <c r="AF168" s="31" t="str">
        <f t="shared" si="141"/>
        <v>-0.332666666666667</v>
      </c>
      <c r="AG168" s="31" t="str">
        <f t="shared" si="157"/>
        <v>1986.91765315922i</v>
      </c>
      <c r="AH168" s="31">
        <f t="shared" si="158"/>
        <v>1986.91765315922</v>
      </c>
      <c r="AI168" s="31">
        <f t="shared" si="159"/>
        <v>1.5707963267948966</v>
      </c>
      <c r="AJ168" s="31" t="str">
        <f t="shared" si="142"/>
        <v>0.789370482728131+16.385050858495i</v>
      </c>
      <c r="AK168" s="31">
        <f t="shared" si="160"/>
        <v>16.404054297473845</v>
      </c>
      <c r="AL168" s="31">
        <f t="shared" si="161"/>
        <v>1.5226572858150977</v>
      </c>
      <c r="AM168" s="31" t="str">
        <f t="shared" si="143"/>
        <v>1+59613.9672079729i</v>
      </c>
      <c r="AN168" s="31">
        <f t="shared" si="162"/>
        <v>59613.967216360194</v>
      </c>
      <c r="AO168" s="31">
        <f t="shared" si="163"/>
        <v>1.5707795522025194</v>
      </c>
      <c r="AP168" s="31" t="str">
        <f t="shared" si="144"/>
        <v>1+6.43761319623587i</v>
      </c>
      <c r="AQ168" s="31">
        <f t="shared" si="164"/>
        <v>6.5148187744825421</v>
      </c>
      <c r="AR168" s="31">
        <f t="shared" si="165"/>
        <v>1.4166908773016145</v>
      </c>
      <c r="AS168" s="58" t="str">
        <f t="shared" si="166"/>
        <v>-3.94171220027386+0.419326401671332i</v>
      </c>
      <c r="AT168" s="49">
        <f t="shared" si="167"/>
        <v>11.962571674920724</v>
      </c>
      <c r="AU168" s="61">
        <f t="shared" si="168"/>
        <v>173.92761090867202</v>
      </c>
      <c r="AV168" s="58" t="str">
        <f t="shared" si="145"/>
        <v>618.255097320457+2053.85552685309i</v>
      </c>
      <c r="AW168" s="64">
        <f t="shared" si="169"/>
        <v>66.628108775645345</v>
      </c>
      <c r="AX168" s="61">
        <f t="shared" si="170"/>
        <v>73.247064899614088</v>
      </c>
    </row>
    <row r="169" spans="14:50" x14ac:dyDescent="0.3">
      <c r="N169" s="10">
        <v>51</v>
      </c>
      <c r="O169" s="50">
        <f t="shared" si="135"/>
        <v>323.59365692962825</v>
      </c>
      <c r="P169" s="48" t="str">
        <f t="shared" si="136"/>
        <v>51201.9230769231</v>
      </c>
      <c r="Q169" s="17" t="str">
        <f t="shared" si="137"/>
        <v>1+95.0129490969559i</v>
      </c>
      <c r="R169" s="17">
        <f t="shared" si="146"/>
        <v>95.018211391820728</v>
      </c>
      <c r="S169" s="17">
        <f t="shared" si="147"/>
        <v>1.5602718342116919</v>
      </c>
      <c r="T169" s="17" t="str">
        <f t="shared" si="138"/>
        <v>1+6.09959673215026E-09i</v>
      </c>
      <c r="U169" s="17">
        <f t="shared" si="148"/>
        <v>1</v>
      </c>
      <c r="V169" s="17">
        <f t="shared" si="149"/>
        <v>6.0995967321502602E-9</v>
      </c>
      <c r="W169" s="31" t="str">
        <f t="shared" si="139"/>
        <v>1-0.00329378223536113i</v>
      </c>
      <c r="X169" s="17">
        <f t="shared" si="150"/>
        <v>1.0000054244859944</v>
      </c>
      <c r="Y169" s="17">
        <f t="shared" si="151"/>
        <v>-3.2937703240226227E-3</v>
      </c>
      <c r="Z169" s="31" t="str">
        <f t="shared" si="140"/>
        <v>0.999958114858078+0.200998467389448i</v>
      </c>
      <c r="AA169" s="17">
        <f t="shared" si="152"/>
        <v>1.0199591243591226</v>
      </c>
      <c r="AB169" s="17">
        <f t="shared" si="153"/>
        <v>0.19836353230108209</v>
      </c>
      <c r="AC169" s="66" t="str">
        <f t="shared" si="154"/>
        <v>-100.366032691306-518.701455005168i</v>
      </c>
      <c r="AD169" s="64">
        <f t="shared" si="155"/>
        <v>54.457980202692866</v>
      </c>
      <c r="AE169" s="61">
        <f t="shared" si="156"/>
        <v>-100.95110299239545</v>
      </c>
      <c r="AF169" s="31" t="str">
        <f t="shared" si="141"/>
        <v>-0.332666666666667</v>
      </c>
      <c r="AG169" s="31" t="str">
        <f t="shared" si="157"/>
        <v>2033.19891071675i</v>
      </c>
      <c r="AH169" s="31">
        <f t="shared" si="158"/>
        <v>2033.1989107167501</v>
      </c>
      <c r="AI169" s="31">
        <f t="shared" si="159"/>
        <v>1.5707963267948966</v>
      </c>
      <c r="AJ169" s="31" t="str">
        <f t="shared" si="142"/>
        <v>0.779443819402446+16.7667077216616i</v>
      </c>
      <c r="AK169" s="31">
        <f t="shared" si="160"/>
        <v>16.784815175962809</v>
      </c>
      <c r="AL169" s="31">
        <f t="shared" si="161"/>
        <v>1.5243421823694296</v>
      </c>
      <c r="AM169" s="31" t="str">
        <f t="shared" si="143"/>
        <v>1+61002.5548859733i</v>
      </c>
      <c r="AN169" s="31">
        <f t="shared" si="162"/>
        <v>61002.554894169676</v>
      </c>
      <c r="AO169" s="31">
        <f t="shared" si="163"/>
        <v>1.5707799340388591</v>
      </c>
      <c r="AP169" s="31" t="str">
        <f t="shared" si="144"/>
        <v>1+6.58756447072227i</v>
      </c>
      <c r="AQ169" s="31">
        <f t="shared" si="164"/>
        <v>6.6630327671355758</v>
      </c>
      <c r="AR169" s="31">
        <f t="shared" si="165"/>
        <v>1.420145310007215</v>
      </c>
      <c r="AS169" s="58" t="str">
        <f t="shared" si="166"/>
        <v>-3.94067156578767+0.412163419227721i</v>
      </c>
      <c r="AT169" s="49">
        <f t="shared" si="167"/>
        <v>11.958656564307343</v>
      </c>
      <c r="AU169" s="61">
        <f t="shared" si="168"/>
        <v>174.02901973944623</v>
      </c>
      <c r="AV169" s="58" t="str">
        <f t="shared" si="145"/>
        <v>609.299336450869+2002.66486766319i</v>
      </c>
      <c r="AW169" s="64">
        <f t="shared" si="169"/>
        <v>66.416636767000213</v>
      </c>
      <c r="AX169" s="61">
        <f t="shared" si="170"/>
        <v>73.077916747050793</v>
      </c>
    </row>
    <row r="170" spans="14:50" x14ac:dyDescent="0.3">
      <c r="N170" s="10">
        <v>52</v>
      </c>
      <c r="O170" s="50">
        <f t="shared" si="135"/>
        <v>331.13112148259137</v>
      </c>
      <c r="P170" s="48" t="str">
        <f t="shared" si="136"/>
        <v>51201.9230769231</v>
      </c>
      <c r="Q170" s="17" t="str">
        <f t="shared" si="137"/>
        <v>1+97.2260849868433i</v>
      </c>
      <c r="R170" s="17">
        <f t="shared" si="146"/>
        <v>97.231227503661984</v>
      </c>
      <c r="S170" s="17">
        <f t="shared" si="147"/>
        <v>1.5605113838202893</v>
      </c>
      <c r="T170" s="17" t="str">
        <f t="shared" si="138"/>
        <v>1+6.24167459174797E-09i</v>
      </c>
      <c r="U170" s="17">
        <f t="shared" si="148"/>
        <v>1</v>
      </c>
      <c r="V170" s="17">
        <f t="shared" si="149"/>
        <v>6.2416745917479703E-9</v>
      </c>
      <c r="W170" s="31" t="str">
        <f t="shared" si="139"/>
        <v>1-0.0033705042795439i</v>
      </c>
      <c r="X170" s="17">
        <f t="shared" si="150"/>
        <v>1.0000056801334172</v>
      </c>
      <c r="Y170" s="17">
        <f t="shared" si="151"/>
        <v>-3.3704915163186538E-3</v>
      </c>
      <c r="Z170" s="31" t="str">
        <f t="shared" si="140"/>
        <v>0.999956140872154+0.205680323138794i</v>
      </c>
      <c r="AA170" s="17">
        <f t="shared" si="152"/>
        <v>1.0208901405119015</v>
      </c>
      <c r="AB170" s="17">
        <f t="shared" si="153"/>
        <v>0.20286005022594489</v>
      </c>
      <c r="AC170" s="66" t="str">
        <f t="shared" si="154"/>
        <v>-100.428458352589-505.956010833803i</v>
      </c>
      <c r="AD170" s="64">
        <f t="shared" si="155"/>
        <v>54.250079230971011</v>
      </c>
      <c r="AE170" s="61">
        <f t="shared" si="156"/>
        <v>-101.22685546592894</v>
      </c>
      <c r="AF170" s="31" t="str">
        <f t="shared" si="141"/>
        <v>-0.332666666666667</v>
      </c>
      <c r="AG170" s="31" t="str">
        <f t="shared" si="157"/>
        <v>2080.55819724932i</v>
      </c>
      <c r="AH170" s="31">
        <f t="shared" si="158"/>
        <v>2080.5581972493201</v>
      </c>
      <c r="AI170" s="31">
        <f t="shared" si="159"/>
        <v>1.5707963267948966</v>
      </c>
      <c r="AJ170" s="31" t="str">
        <f t="shared" si="142"/>
        <v>0.76904932684723+17.157254515196i</v>
      </c>
      <c r="AK170" s="31">
        <f t="shared" si="160"/>
        <v>17.17448163311888</v>
      </c>
      <c r="AL170" s="31">
        <f t="shared" si="161"/>
        <v>1.5260027439706572</v>
      </c>
      <c r="AM170" s="31" t="str">
        <f t="shared" si="143"/>
        <v>1+62423.4869260388i</v>
      </c>
      <c r="AN170" s="31">
        <f t="shared" si="162"/>
        <v>62423.486934048611</v>
      </c>
      <c r="AO170" s="31">
        <f t="shared" si="163"/>
        <v>1.5707803071835427</v>
      </c>
      <c r="AP170" s="31" t="str">
        <f t="shared" si="144"/>
        <v>1+6.7410085590878i</v>
      </c>
      <c r="AQ170" s="31">
        <f t="shared" si="164"/>
        <v>6.8147777948877373</v>
      </c>
      <c r="AR170" s="31">
        <f t="shared" si="165"/>
        <v>1.423524614605316</v>
      </c>
      <c r="AS170" s="58" t="str">
        <f t="shared" si="166"/>
        <v>-3.93967463633881+0.405213523339001i</v>
      </c>
      <c r="AT170" s="49">
        <f t="shared" si="167"/>
        <v>11.954910087368614</v>
      </c>
      <c r="AU170" s="61">
        <f t="shared" si="168"/>
        <v>174.12751783885028</v>
      </c>
      <c r="AV170" s="58" t="str">
        <f t="shared" si="145"/>
        <v>600.675667942814+1952.60709353254i</v>
      </c>
      <c r="AW170" s="64">
        <f t="shared" si="169"/>
        <v>66.204989318339614</v>
      </c>
      <c r="AX170" s="61">
        <f t="shared" si="170"/>
        <v>72.90066237292136</v>
      </c>
    </row>
    <row r="171" spans="14:50" x14ac:dyDescent="0.3">
      <c r="N171" s="10">
        <v>53</v>
      </c>
      <c r="O171" s="50">
        <f t="shared" si="135"/>
        <v>338.84415613920277</v>
      </c>
      <c r="P171" s="48" t="str">
        <f t="shared" si="136"/>
        <v>51201.9230769231</v>
      </c>
      <c r="Q171" s="17" t="str">
        <f t="shared" si="137"/>
        <v>1+99.4907714339294i</v>
      </c>
      <c r="R171" s="17">
        <f t="shared" si="146"/>
        <v>99.495796898755387</v>
      </c>
      <c r="S171" s="17">
        <f t="shared" si="147"/>
        <v>1.5607454817547084</v>
      </c>
      <c r="T171" s="17" t="str">
        <f t="shared" si="138"/>
        <v>1+6.38706186983251E-09i</v>
      </c>
      <c r="U171" s="17">
        <f t="shared" si="148"/>
        <v>1</v>
      </c>
      <c r="V171" s="17">
        <f t="shared" si="149"/>
        <v>6.3870618698325099E-9</v>
      </c>
      <c r="W171" s="31" t="str">
        <f t="shared" si="139"/>
        <v>1-0.00344901340970955i</v>
      </c>
      <c r="X171" s="17">
        <f t="shared" si="150"/>
        <v>1.0000059478290619</v>
      </c>
      <c r="Y171" s="17">
        <f t="shared" si="151"/>
        <v>-3.4489997336716945E-3</v>
      </c>
      <c r="Z171" s="31" t="str">
        <f t="shared" si="140"/>
        <v>0.99995407385514+0.210471233317968i</v>
      </c>
      <c r="AA171" s="17">
        <f t="shared" si="152"/>
        <v>1.0218641249568736</v>
      </c>
      <c r="AB171" s="17">
        <f t="shared" si="153"/>
        <v>0.20745273760691157</v>
      </c>
      <c r="AC171" s="66" t="str">
        <f t="shared" si="154"/>
        <v>-100.471017175766-493.482181229253i</v>
      </c>
      <c r="AD171" s="64">
        <f t="shared" si="155"/>
        <v>54.041819373441783</v>
      </c>
      <c r="AE171" s="61">
        <f t="shared" si="156"/>
        <v>-101.50790807429759</v>
      </c>
      <c r="AF171" s="31" t="str">
        <f t="shared" si="141"/>
        <v>-0.332666666666667</v>
      </c>
      <c r="AG171" s="31" t="str">
        <f t="shared" si="157"/>
        <v>2129.0206232775i</v>
      </c>
      <c r="AH171" s="31">
        <f t="shared" si="158"/>
        <v>2129.0206232774999</v>
      </c>
      <c r="AI171" s="31">
        <f t="shared" si="159"/>
        <v>1.5707963267948966</v>
      </c>
      <c r="AJ171" s="31" t="str">
        <f t="shared" si="142"/>
        <v>0.758164956950164+17.5568983121774i</v>
      </c>
      <c r="AK171" s="31">
        <f t="shared" si="160"/>
        <v>17.573260723214823</v>
      </c>
      <c r="AL171" s="31">
        <f t="shared" si="161"/>
        <v>1.5276398309714665</v>
      </c>
      <c r="AM171" s="31" t="str">
        <f t="shared" si="143"/>
        <v>1+63877.5167251445i</v>
      </c>
      <c r="AN171" s="31">
        <f t="shared" si="162"/>
        <v>63877.516732971977</v>
      </c>
      <c r="AO171" s="31">
        <f t="shared" si="163"/>
        <v>1.5707806718344162</v>
      </c>
      <c r="AP171" s="31" t="str">
        <f t="shared" si="144"/>
        <v>1+6.8980268194191i</v>
      </c>
      <c r="AQ171" s="31">
        <f t="shared" si="164"/>
        <v>6.970134432091335</v>
      </c>
      <c r="AR171" s="31">
        <f t="shared" si="165"/>
        <v>1.426830273963078</v>
      </c>
      <c r="AS171" s="58" t="str">
        <f t="shared" si="166"/>
        <v>-3.93871933987915+0.398473385039167i</v>
      </c>
      <c r="AT171" s="49">
        <f t="shared" si="167"/>
        <v>11.951324890872018</v>
      </c>
      <c r="AU171" s="61">
        <f t="shared" si="168"/>
        <v>174.22314088567191</v>
      </c>
      <c r="AV171" s="58" t="str">
        <f t="shared" si="145"/>
        <v>592.366653658452+1903.65278478105i</v>
      </c>
      <c r="AW171" s="64">
        <f t="shared" si="169"/>
        <v>65.993144264313798</v>
      </c>
      <c r="AX171" s="61">
        <f t="shared" si="170"/>
        <v>72.715232811374307</v>
      </c>
    </row>
    <row r="172" spans="14:50" x14ac:dyDescent="0.3">
      <c r="N172" s="10">
        <v>54</v>
      </c>
      <c r="O172" s="50">
        <f t="shared" si="135"/>
        <v>346.73685045253183</v>
      </c>
      <c r="P172" s="48" t="str">
        <f t="shared" si="136"/>
        <v>51201.9230769231</v>
      </c>
      <c r="Q172" s="17" t="str">
        <f t="shared" si="137"/>
        <v>1+101.808209204946i</v>
      </c>
      <c r="R172" s="17">
        <f t="shared" si="146"/>
        <v>101.81312028180874</v>
      </c>
      <c r="S172" s="17">
        <f t="shared" si="147"/>
        <v>1.5609742520340819</v>
      </c>
      <c r="T172" s="17" t="str">
        <f t="shared" si="138"/>
        <v>1+6.53583565266322E-09i</v>
      </c>
      <c r="U172" s="17">
        <f t="shared" si="148"/>
        <v>1</v>
      </c>
      <c r="V172" s="17">
        <f t="shared" si="149"/>
        <v>6.53583565266322E-9</v>
      </c>
      <c r="W172" s="31" t="str">
        <f t="shared" si="139"/>
        <v>1-0.00352935125243813i</v>
      </c>
      <c r="X172" s="17">
        <f t="shared" si="150"/>
        <v>1.0000062281407367</v>
      </c>
      <c r="Y172" s="17">
        <f t="shared" si="151"/>
        <v>-3.5293365983044781E-3</v>
      </c>
      <c r="Z172" s="31" t="str">
        <f t="shared" si="140"/>
        <v>0.999951909422615+0.215373738130964i</v>
      </c>
      <c r="AA172" s="17">
        <f t="shared" si="152"/>
        <v>1.0228830178639388</v>
      </c>
      <c r="AB172" s="17">
        <f t="shared" si="153"/>
        <v>0.21214325671924472</v>
      </c>
      <c r="AC172" s="66" t="str">
        <f t="shared" si="154"/>
        <v>-100.493901091676-481.273602793187i</v>
      </c>
      <c r="AD172" s="64">
        <f t="shared" si="155"/>
        <v>53.833185234010024</v>
      </c>
      <c r="AE172" s="61">
        <f t="shared" si="156"/>
        <v>-101.79436554940452</v>
      </c>
      <c r="AF172" s="31" t="str">
        <f t="shared" si="141"/>
        <v>-0.332666666666667</v>
      </c>
      <c r="AG172" s="31" t="str">
        <f t="shared" si="157"/>
        <v>2178.61188422107i</v>
      </c>
      <c r="AH172" s="31">
        <f t="shared" si="158"/>
        <v>2178.6118842210699</v>
      </c>
      <c r="AI172" s="31">
        <f t="shared" si="159"/>
        <v>1.5707963267948966</v>
      </c>
      <c r="AJ172" s="31" t="str">
        <f t="shared" si="142"/>
        <v>0.746767622503398+17.9658510090369i</v>
      </c>
      <c r="AK172" s="31">
        <f t="shared" si="160"/>
        <v>17.98136436316587</v>
      </c>
      <c r="AL172" s="31">
        <f t="shared" si="161"/>
        <v>1.5292542925789401</v>
      </c>
      <c r="AM172" s="31" t="str">
        <f t="shared" si="143"/>
        <v>1+65365.4152291371i</v>
      </c>
      <c r="AN172" s="31">
        <f t="shared" si="162"/>
        <v>65365.415236786401</v>
      </c>
      <c r="AO172" s="31">
        <f t="shared" si="163"/>
        <v>1.5707810281848225</v>
      </c>
      <c r="AP172" s="31" t="str">
        <f t="shared" si="144"/>
        <v>1+7.05870250487627i</v>
      </c>
      <c r="AQ172" s="31">
        <f t="shared" si="164"/>
        <v>7.1291851604756724</v>
      </c>
      <c r="AR172" s="31">
        <f t="shared" si="165"/>
        <v>1.4300637516569663</v>
      </c>
      <c r="AS172" s="58" t="str">
        <f t="shared" si="166"/>
        <v>-3.9378036889614+0.391939762706886i</v>
      </c>
      <c r="AT172" s="49">
        <f t="shared" si="167"/>
        <v>11.947893912927883</v>
      </c>
      <c r="AU172" s="61">
        <f t="shared" si="168"/>
        <v>174.31592409176159</v>
      </c>
      <c r="AV172" s="58" t="str">
        <f t="shared" si="145"/>
        <v>584.355516112774+1855.77341273139i</v>
      </c>
      <c r="AW172" s="64">
        <f t="shared" si="169"/>
        <v>65.781079146937898</v>
      </c>
      <c r="AX172" s="61">
        <f t="shared" si="170"/>
        <v>72.521558542356999</v>
      </c>
    </row>
    <row r="173" spans="14:50" x14ac:dyDescent="0.3">
      <c r="N173" s="10">
        <v>55</v>
      </c>
      <c r="O173" s="50">
        <f t="shared" si="135"/>
        <v>354.81338923357566</v>
      </c>
      <c r="P173" s="48" t="str">
        <f t="shared" si="136"/>
        <v>51201.9230769231</v>
      </c>
      <c r="Q173" s="17" t="str">
        <f t="shared" si="137"/>
        <v>1+104.179627036074i</v>
      </c>
      <c r="R173" s="17">
        <f t="shared" si="146"/>
        <v>104.18442632838884</v>
      </c>
      <c r="S173" s="17">
        <f t="shared" si="147"/>
        <v>1.5611978158596023</v>
      </c>
      <c r="T173" s="17" t="str">
        <f t="shared" si="138"/>
        <v>1+6.68807482206898E-09i</v>
      </c>
      <c r="U173" s="17">
        <f t="shared" si="148"/>
        <v>1</v>
      </c>
      <c r="V173" s="17">
        <f t="shared" si="149"/>
        <v>6.6880748220689801E-9</v>
      </c>
      <c r="W173" s="31" t="str">
        <f t="shared" si="139"/>
        <v>1-0.00361156040391724i</v>
      </c>
      <c r="X173" s="17">
        <f t="shared" si="150"/>
        <v>1.0000065216630096</v>
      </c>
      <c r="Y173" s="17">
        <f t="shared" si="151"/>
        <v>-3.6115447017356613E-3</v>
      </c>
      <c r="Z173" s="31" t="str">
        <f t="shared" si="140"/>
        <v>0.999949642983528+0.220390436950726i</v>
      </c>
      <c r="AA173" s="17">
        <f t="shared" si="152"/>
        <v>1.0239488430591721</v>
      </c>
      <c r="AB173" s="17">
        <f t="shared" si="153"/>
        <v>0.2169332712718145</v>
      </c>
      <c r="AC173" s="66" t="str">
        <f t="shared" si="154"/>
        <v>-100.497269295451-469.324066004154i</v>
      </c>
      <c r="AD173" s="64">
        <f t="shared" si="155"/>
        <v>53.624160815568267</v>
      </c>
      <c r="AE173" s="61">
        <f t="shared" si="156"/>
        <v>-102.08633259937285</v>
      </c>
      <c r="AF173" s="31" t="str">
        <f t="shared" si="141"/>
        <v>-0.332666666666667</v>
      </c>
      <c r="AG173" s="31" t="str">
        <f t="shared" si="157"/>
        <v>2229.35827402299i</v>
      </c>
      <c r="AH173" s="31">
        <f t="shared" si="158"/>
        <v>2229.3582740229899</v>
      </c>
      <c r="AI173" s="31">
        <f t="shared" si="159"/>
        <v>1.5707963267948966</v>
      </c>
      <c r="AJ173" s="31" t="str">
        <f t="shared" si="142"/>
        <v>0.734833148232507+18.3843294379076i</v>
      </c>
      <c r="AK173" s="31">
        <f t="shared" si="160"/>
        <v>18.399009447175608</v>
      </c>
      <c r="AL173" s="31">
        <f t="shared" si="161"/>
        <v>1.5308469672166429</v>
      </c>
      <c r="AM173" s="31" t="str">
        <f t="shared" si="143"/>
        <v>1+66887.9713414976i</v>
      </c>
      <c r="AN173" s="31">
        <f t="shared" si="162"/>
        <v>66887.971348972787</v>
      </c>
      <c r="AO173" s="31">
        <f t="shared" si="163"/>
        <v>1.5707813764237033</v>
      </c>
      <c r="AP173" s="31" t="str">
        <f t="shared" si="144"/>
        <v>1+7.22312080783449i</v>
      </c>
      <c r="AQ173" s="31">
        <f t="shared" si="164"/>
        <v>7.2920144133546234</v>
      </c>
      <c r="AR173" s="31">
        <f t="shared" si="165"/>
        <v>1.4332264915205735</v>
      </c>
      <c r="AS173" s="58" t="str">
        <f t="shared" si="166"/>
        <v>-3.93692577684778+0.385609501884998i</v>
      </c>
      <c r="AT173" s="49">
        <f t="shared" si="167"/>
        <v>11.944610372292203</v>
      </c>
      <c r="AU173" s="61">
        <f t="shared" si="168"/>
        <v>174.4059021553843</v>
      </c>
      <c r="AV173" s="58" t="str">
        <f t="shared" si="145"/>
        <v>576.626109306578+1808.94131119294i</v>
      </c>
      <c r="AW173" s="64">
        <f t="shared" si="169"/>
        <v>65.568771187860463</v>
      </c>
      <c r="AX173" s="61">
        <f t="shared" si="170"/>
        <v>72.319569556011402</v>
      </c>
    </row>
    <row r="174" spans="14:50" x14ac:dyDescent="0.3">
      <c r="N174" s="10">
        <v>56</v>
      </c>
      <c r="O174" s="50">
        <f t="shared" si="135"/>
        <v>363.07805477010152</v>
      </c>
      <c r="P174" s="48" t="str">
        <f t="shared" si="136"/>
        <v>51201.9230769231</v>
      </c>
      <c r="Q174" s="17" t="str">
        <f t="shared" si="137"/>
        <v>1+106.606282284438i</v>
      </c>
      <c r="R174" s="17">
        <f t="shared" si="146"/>
        <v>106.61097233638419</v>
      </c>
      <c r="S174" s="17">
        <f t="shared" si="147"/>
        <v>1.5614162916783263</v>
      </c>
      <c r="T174" s="17" t="str">
        <f t="shared" si="138"/>
        <v>1+6.84386009727256E-09i</v>
      </c>
      <c r="U174" s="17">
        <f t="shared" si="148"/>
        <v>1</v>
      </c>
      <c r="V174" s="17">
        <f t="shared" si="149"/>
        <v>6.8438600972725597E-9</v>
      </c>
      <c r="W174" s="31" t="str">
        <f t="shared" si="139"/>
        <v>1-0.00369568445252718i</v>
      </c>
      <c r="X174" s="17">
        <f t="shared" si="150"/>
        <v>1.0000068290184685</v>
      </c>
      <c r="Y174" s="17">
        <f t="shared" si="151"/>
        <v>-3.6956676273426897E-3</v>
      </c>
      <c r="Z174" s="31" t="str">
        <f t="shared" si="140"/>
        <v>0.999947269730458+0.225523989697372i</v>
      </c>
      <c r="AA174" s="17">
        <f t="shared" si="152"/>
        <v>1.0250637112738006</v>
      </c>
      <c r="AB174" s="17">
        <f t="shared" si="153"/>
        <v>0.22182444422863098</v>
      </c>
      <c r="AC174" s="66" t="str">
        <f t="shared" si="154"/>
        <v>-100.481249328097-457.627512745631i</v>
      </c>
      <c r="AD174" s="64">
        <f t="shared" si="155"/>
        <v>53.414729502991747</v>
      </c>
      <c r="AE174" s="61">
        <f t="shared" si="156"/>
        <v>-102.38391378867726</v>
      </c>
      <c r="AF174" s="31" t="str">
        <f t="shared" si="141"/>
        <v>-0.332666666666667</v>
      </c>
      <c r="AG174" s="31" t="str">
        <f t="shared" si="157"/>
        <v>2281.28669909085i</v>
      </c>
      <c r="AH174" s="31">
        <f t="shared" si="158"/>
        <v>2281.2866990908501</v>
      </c>
      <c r="AI174" s="31">
        <f t="shared" si="159"/>
        <v>1.5707963267948966</v>
      </c>
      <c r="AJ174" s="31" t="str">
        <f t="shared" si="142"/>
        <v>0.722336219517474+18.8125554815916i</v>
      </c>
      <c r="AK174" s="31">
        <f t="shared" si="160"/>
        <v>18.826417964179722</v>
      </c>
      <c r="AL174" s="31">
        <f t="shared" si="161"/>
        <v>1.5324186828866178</v>
      </c>
      <c r="AM174" s="31" t="str">
        <f t="shared" si="143"/>
        <v>1+68445.9923416307i</v>
      </c>
      <c r="AN174" s="31">
        <f t="shared" si="162"/>
        <v>68445.992348935746</v>
      </c>
      <c r="AO174" s="31">
        <f t="shared" si="163"/>
        <v>1.5707817167356992</v>
      </c>
      <c r="AP174" s="31" t="str">
        <f t="shared" si="144"/>
        <v>1+7.39136890505435i</v>
      </c>
      <c r="AQ174" s="31">
        <f t="shared" si="164"/>
        <v>7.4587086208407634</v>
      </c>
      <c r="AR174" s="31">
        <f t="shared" si="165"/>
        <v>1.4363199172545489</v>
      </c>
      <c r="AS174" s="58" t="str">
        <f t="shared" si="166"/>
        <v>-3.93608377376219+0.379479535044679i</v>
      </c>
      <c r="AT174" s="49">
        <f t="shared" si="167"/>
        <v>11.941467757911759</v>
      </c>
      <c r="AU174" s="61">
        <f t="shared" si="168"/>
        <v>174.49310921813515</v>
      </c>
      <c r="AV174" s="58" t="str">
        <f t="shared" si="145"/>
        <v>569.162890808041+1763.12964956949i</v>
      </c>
      <c r="AW174" s="64">
        <f t="shared" si="169"/>
        <v>65.356197260903485</v>
      </c>
      <c r="AX174" s="61">
        <f t="shared" si="170"/>
        <v>72.109195429457827</v>
      </c>
    </row>
    <row r="175" spans="14:50" x14ac:dyDescent="0.3">
      <c r="N175" s="10">
        <v>57</v>
      </c>
      <c r="O175" s="50">
        <f t="shared" si="135"/>
        <v>371.53522909717265</v>
      </c>
      <c r="P175" s="48" t="str">
        <f t="shared" si="136"/>
        <v>51201.9230769231</v>
      </c>
      <c r="Q175" s="17" t="str">
        <f t="shared" si="137"/>
        <v>1+109.089461594769i</v>
      </c>
      <c r="R175" s="17">
        <f t="shared" si="146"/>
        <v>109.09404489263648</v>
      </c>
      <c r="S175" s="17">
        <f t="shared" si="147"/>
        <v>1.5616297952455511</v>
      </c>
      <c r="T175" s="17" t="str">
        <f t="shared" si="138"/>
        <v>1+7.00327407768889E-09i</v>
      </c>
      <c r="U175" s="17">
        <f t="shared" si="148"/>
        <v>1</v>
      </c>
      <c r="V175" s="17">
        <f t="shared" si="149"/>
        <v>7.0032740776888904E-9</v>
      </c>
      <c r="W175" s="31" t="str">
        <f t="shared" si="139"/>
        <v>1-0.00378176800195199i</v>
      </c>
      <c r="X175" s="17">
        <f t="shared" si="150"/>
        <v>1.0000071508590429</v>
      </c>
      <c r="Y175" s="17">
        <f t="shared" si="151"/>
        <v>-3.7817499734489565E-3</v>
      </c>
      <c r="Z175" s="31" t="str">
        <f t="shared" si="140"/>
        <v>0.999944784629416+0.230777118248518i</v>
      </c>
      <c r="AA175" s="17">
        <f t="shared" si="152"/>
        <v>1.0262298234872438</v>
      </c>
      <c r="AB175" s="17">
        <f t="shared" si="153"/>
        <v>0.22681843547076522</v>
      </c>
      <c r="AC175" s="66" t="str">
        <f t="shared" si="154"/>
        <v>-100.445938147416-446.178033935148i</v>
      </c>
      <c r="AD175" s="64">
        <f t="shared" si="155"/>
        <v>53.204874046227204</v>
      </c>
      <c r="AE175" s="61">
        <f t="shared" si="156"/>
        <v>-102.68721340907854</v>
      </c>
      <c r="AF175" s="31" t="str">
        <f t="shared" si="141"/>
        <v>-0.332666666666667</v>
      </c>
      <c r="AG175" s="31" t="str">
        <f t="shared" si="157"/>
        <v>2334.42469256296i</v>
      </c>
      <c r="AH175" s="31">
        <f t="shared" si="158"/>
        <v>2334.42469256296</v>
      </c>
      <c r="AI175" s="31">
        <f t="shared" si="159"/>
        <v>1.5707963267948966</v>
      </c>
      <c r="AJ175" s="31" t="str">
        <f t="shared" si="142"/>
        <v>0.709250328697009+19.2507561912056i</v>
      </c>
      <c r="AK175" s="31">
        <f t="shared" si="160"/>
        <v>19.263817118162162</v>
      </c>
      <c r="AL175" s="31">
        <f t="shared" si="161"/>
        <v>1.5339702575310974</v>
      </c>
      <c r="AM175" s="31" t="str">
        <f t="shared" si="143"/>
        <v>1+70040.3043128928i</v>
      </c>
      <c r="AN175" s="31">
        <f t="shared" si="162"/>
        <v>70040.304320031544</v>
      </c>
      <c r="AO175" s="31">
        <f t="shared" si="163"/>
        <v>1.5707820493012485</v>
      </c>
      <c r="AP175" s="31" t="str">
        <f t="shared" si="144"/>
        <v>1+7.56353600390399i</v>
      </c>
      <c r="AQ175" s="31">
        <f t="shared" si="164"/>
        <v>7.6293562560908068</v>
      </c>
      <c r="AR175" s="31">
        <f t="shared" si="165"/>
        <v>1.4393454320945276</v>
      </c>
      <c r="AS175" s="58" t="str">
        <f t="shared" si="166"/>
        <v>-3.9352759232797+0.373546881300467i</v>
      </c>
      <c r="AT175" s="49">
        <f t="shared" si="167"/>
        <v>11.938459818716133</v>
      </c>
      <c r="AU175" s="61">
        <f t="shared" si="168"/>
        <v>174.57757882519431</v>
      </c>
      <c r="AV175" s="58" t="str">
        <f t="shared" si="145"/>
        <v>561.950895064017+1718.31240750699i</v>
      </c>
      <c r="AW175" s="64">
        <f t="shared" si="169"/>
        <v>65.143333864943315</v>
      </c>
      <c r="AX175" s="61">
        <f t="shared" si="170"/>
        <v>71.890365416115714</v>
      </c>
    </row>
    <row r="176" spans="14:50" x14ac:dyDescent="0.3">
      <c r="N176" s="10">
        <v>58</v>
      </c>
      <c r="O176" s="50">
        <f t="shared" si="135"/>
        <v>380.18939632056163</v>
      </c>
      <c r="P176" s="48" t="str">
        <f t="shared" si="136"/>
        <v>51201.9230769231</v>
      </c>
      <c r="Q176" s="17" t="str">
        <f t="shared" si="137"/>
        <v>1+111.630481581608i</v>
      </c>
      <c r="R176" s="17">
        <f t="shared" si="146"/>
        <v>111.63496055511339</v>
      </c>
      <c r="S176" s="17">
        <f t="shared" si="147"/>
        <v>1.5618384396857914</v>
      </c>
      <c r="T176" s="17" t="str">
        <f t="shared" si="138"/>
        <v>1+7.1664012867205E-09i</v>
      </c>
      <c r="U176" s="17">
        <f t="shared" si="148"/>
        <v>1</v>
      </c>
      <c r="V176" s="17">
        <f t="shared" si="149"/>
        <v>7.1664012867205003E-9</v>
      </c>
      <c r="W176" s="31" t="str">
        <f t="shared" si="139"/>
        <v>1-0.00386985669482906i</v>
      </c>
      <c r="X176" s="17">
        <f t="shared" si="150"/>
        <v>1.0000074878673852</v>
      </c>
      <c r="Y176" s="17">
        <f t="shared" si="151"/>
        <v>-3.8698373769478277E-3</v>
      </c>
      <c r="Z176" s="31" t="str">
        <f t="shared" si="140"/>
        <v>0.99994218240917+0.236152607882455i</v>
      </c>
      <c r="AA176" s="17">
        <f t="shared" si="152"/>
        <v>1.0274494743640188</v>
      </c>
      <c r="AB176" s="17">
        <f t="shared" si="153"/>
        <v>0.23191689929219986</v>
      </c>
      <c r="AC176" s="66" t="str">
        <f t="shared" si="154"/>
        <v>-100.391403193923-434.969867252538i</v>
      </c>
      <c r="AD176" s="64">
        <f t="shared" si="155"/>
        <v>52.99457654354164</v>
      </c>
      <c r="AE176" s="61">
        <f t="shared" si="156"/>
        <v>-102.99633534099377</v>
      </c>
      <c r="AF176" s="31" t="str">
        <f t="shared" si="141"/>
        <v>-0.332666666666667</v>
      </c>
      <c r="AG176" s="31" t="str">
        <f t="shared" si="157"/>
        <v>2388.80042890683i</v>
      </c>
      <c r="AH176" s="31">
        <f t="shared" si="158"/>
        <v>2388.8004289068299</v>
      </c>
      <c r="AI176" s="31">
        <f t="shared" si="159"/>
        <v>1.5707963267948966</v>
      </c>
      <c r="AJ176" s="31" t="str">
        <f t="shared" si="142"/>
        <v>0.695547718842224+19.699163906566i</v>
      </c>
      <c r="AK176" s="31">
        <f t="shared" si="160"/>
        <v>19.711439451418538</v>
      </c>
      <c r="AL176" s="31">
        <f t="shared" si="161"/>
        <v>1.5355024993937743</v>
      </c>
      <c r="AM176" s="31" t="str">
        <f t="shared" si="143"/>
        <v>1+71671.7525805947i</v>
      </c>
      <c r="AN176" s="31">
        <f t="shared" si="162"/>
        <v>71671.75258757094</v>
      </c>
      <c r="AO176" s="31">
        <f t="shared" si="163"/>
        <v>1.5707823742966818</v>
      </c>
      <c r="AP176" s="31" t="str">
        <f t="shared" si="144"/>
        <v>1+7.73971338965813i</v>
      </c>
      <c r="AQ176" s="31">
        <f t="shared" si="164"/>
        <v>7.8040478826089572</v>
      </c>
      <c r="AR176" s="31">
        <f t="shared" si="165"/>
        <v>1.4423044185331784</v>
      </c>
      <c r="AS176" s="58" t="str">
        <f t="shared" si="166"/>
        <v>-3.93450053884858+0.367808646081947i</v>
      </c>
      <c r="AT176" s="49">
        <f t="shared" si="167"/>
        <v>11.9355805536627</v>
      </c>
      <c r="AU176" s="61">
        <f t="shared" si="168"/>
        <v>174.6593438887075</v>
      </c>
      <c r="AV176" s="58" t="str">
        <f t="shared" si="145"/>
        <v>554.975707922855+1674.46435100098i</v>
      </c>
      <c r="AW176" s="64">
        <f t="shared" si="169"/>
        <v>64.930157097204329</v>
      </c>
      <c r="AX176" s="61">
        <f t="shared" si="170"/>
        <v>71.66300854771373</v>
      </c>
    </row>
    <row r="177" spans="14:50" x14ac:dyDescent="0.3">
      <c r="N177" s="10">
        <v>59</v>
      </c>
      <c r="O177" s="50">
        <f t="shared" si="135"/>
        <v>389.04514499428063</v>
      </c>
      <c r="P177" s="48" t="str">
        <f t="shared" si="136"/>
        <v>51201.9230769231</v>
      </c>
      <c r="Q177" s="17" t="str">
        <f t="shared" si="137"/>
        <v>1+114.230689527385i</v>
      </c>
      <c r="R177" s="17">
        <f t="shared" si="146"/>
        <v>114.23506655095809</v>
      </c>
      <c r="S177" s="17">
        <f t="shared" si="147"/>
        <v>1.5620423355523867</v>
      </c>
      <c r="T177" s="17" t="str">
        <f t="shared" si="138"/>
        <v>1+7.33332821657287E-09i</v>
      </c>
      <c r="U177" s="17">
        <f t="shared" si="148"/>
        <v>1</v>
      </c>
      <c r="V177" s="17">
        <f t="shared" si="149"/>
        <v>7.3333282165728702E-9</v>
      </c>
      <c r="W177" s="31" t="str">
        <f t="shared" si="139"/>
        <v>1-0.00395999723694934i</v>
      </c>
      <c r="X177" s="17">
        <f t="shared" si="150"/>
        <v>1.0000078407583195</v>
      </c>
      <c r="Y177" s="17">
        <f t="shared" si="151"/>
        <v>-3.9599765374754292E-3</v>
      </c>
      <c r="Z177" s="31" t="str">
        <f t="shared" si="140"/>
        <v>0.999939457550063+0.241653308754941i</v>
      </c>
      <c r="AA177" s="17">
        <f t="shared" si="152"/>
        <v>1.0287250557839664</v>
      </c>
      <c r="AB177" s="17">
        <f t="shared" si="153"/>
        <v>0.23712148172326145</v>
      </c>
      <c r="AC177" s="66" t="str">
        <f t="shared" si="154"/>
        <v>-100.317683457571-423.997394965467i</v>
      </c>
      <c r="AD177" s="64">
        <f t="shared" si="155"/>
        <v>52.783818425010587</v>
      </c>
      <c r="AE177" s="61">
        <f t="shared" si="156"/>
        <v>-103.31138290494039</v>
      </c>
      <c r="AF177" s="31" t="str">
        <f t="shared" si="141"/>
        <v>-0.332666666666667</v>
      </c>
      <c r="AG177" s="31" t="str">
        <f t="shared" si="157"/>
        <v>2444.44273885762i</v>
      </c>
      <c r="AH177" s="31">
        <f t="shared" si="158"/>
        <v>2444.44273885762</v>
      </c>
      <c r="AI177" s="31">
        <f t="shared" si="159"/>
        <v>1.5707963267948966</v>
      </c>
      <c r="AJ177" s="31" t="str">
        <f t="shared" si="142"/>
        <v>0.681199324880473+20.1580163793789i</v>
      </c>
      <c r="AK177" s="31">
        <f t="shared" si="160"/>
        <v>20.169522970847016</v>
      </c>
      <c r="AL177" s="31">
        <f t="shared" si="161"/>
        <v>1.5370162073804907</v>
      </c>
      <c r="AM177" s="31" t="str">
        <f t="shared" si="143"/>
        <v>1+73341.2021602026i</v>
      </c>
      <c r="AN177" s="31">
        <f t="shared" si="162"/>
        <v>73341.202167020063</v>
      </c>
      <c r="AO177" s="31">
        <f t="shared" si="163"/>
        <v>1.5707826918943157</v>
      </c>
      <c r="AP177" s="31" t="str">
        <f t="shared" si="144"/>
        <v>1+7.91999447389869i</v>
      </c>
      <c r="AQ177" s="31">
        <f t="shared" si="164"/>
        <v>7.9828762026343485</v>
      </c>
      <c r="AR177" s="31">
        <f t="shared" si="165"/>
        <v>1.4451982380926562</v>
      </c>
      <c r="AS177" s="58" t="str">
        <f t="shared" si="166"/>
        <v>-3.9337560004388+0.362262020767422i</v>
      </c>
      <c r="AT177" s="49">
        <f t="shared" si="167"/>
        <v>11.932824202035853</v>
      </c>
      <c r="AU177" s="61">
        <f t="shared" si="168"/>
        <v>174.73843665408791</v>
      </c>
      <c r="AV177" s="58" t="str">
        <f t="shared" si="145"/>
        <v>548.223442351653+1631.56100988778i</v>
      </c>
      <c r="AW177" s="64">
        <f t="shared" si="169"/>
        <v>64.71664262704644</v>
      </c>
      <c r="AX177" s="61">
        <f t="shared" si="170"/>
        <v>71.427053749147518</v>
      </c>
    </row>
    <row r="178" spans="14:50" x14ac:dyDescent="0.3">
      <c r="N178" s="10">
        <v>60</v>
      </c>
      <c r="O178" s="50">
        <f t="shared" si="135"/>
        <v>398.10717055349761</v>
      </c>
      <c r="P178" s="48" t="str">
        <f t="shared" si="136"/>
        <v>51201.9230769231</v>
      </c>
      <c r="Q178" s="17" t="str">
        <f t="shared" si="137"/>
        <v>1+116.891464096771i</v>
      </c>
      <c r="R178" s="17">
        <f t="shared" si="146"/>
        <v>116.89574149081182</v>
      </c>
      <c r="S178" s="17">
        <f t="shared" si="147"/>
        <v>1.5622415908857719</v>
      </c>
      <c r="T178" s="17" t="str">
        <f t="shared" si="138"/>
        <v>1+7.50414337411372E-09i</v>
      </c>
      <c r="U178" s="17">
        <f t="shared" si="148"/>
        <v>1</v>
      </c>
      <c r="V178" s="17">
        <f t="shared" si="149"/>
        <v>7.5041433741137202E-9</v>
      </c>
      <c r="W178" s="31" t="str">
        <f t="shared" si="139"/>
        <v>1-0.0040522374220214i</v>
      </c>
      <c r="X178" s="17">
        <f t="shared" si="150"/>
        <v>1.0000082102803578</v>
      </c>
      <c r="Y178" s="17">
        <f t="shared" si="151"/>
        <v>-4.0522152421453312E-3</v>
      </c>
      <c r="Z178" s="31" t="str">
        <f t="shared" si="140"/>
        <v>0.999936604272302+0.247282137410388i</v>
      </c>
      <c r="AA178" s="17">
        <f t="shared" si="152"/>
        <v>1.0300590604649194</v>
      </c>
      <c r="AB178" s="17">
        <f t="shared" si="153"/>
        <v>0.24243381767546185</v>
      </c>
      <c r="AC178" s="66" t="str">
        <f t="shared" si="154"/>
        <v>-100.22479055112-413.255141849788i</v>
      </c>
      <c r="AD178" s="64">
        <f t="shared" si="155"/>
        <v>52.572580436326</v>
      </c>
      <c r="AE178" s="61">
        <f t="shared" si="156"/>
        <v>-103.63245870270403</v>
      </c>
      <c r="AF178" s="31" t="str">
        <f t="shared" si="141"/>
        <v>-0.332666666666667</v>
      </c>
      <c r="AG178" s="31" t="str">
        <f t="shared" si="157"/>
        <v>2501.38112470457i</v>
      </c>
      <c r="AH178" s="31">
        <f t="shared" si="158"/>
        <v>2501.3811247045701</v>
      </c>
      <c r="AI178" s="31">
        <f t="shared" si="159"/>
        <v>1.5707963267948966</v>
      </c>
      <c r="AJ178" s="31" t="str">
        <f t="shared" si="142"/>
        <v>0.666174711944445+20.6275568992992i</v>
      </c>
      <c r="AK178" s="31">
        <f t="shared" si="160"/>
        <v>20.638311277346801</v>
      </c>
      <c r="AL178" s="31">
        <f t="shared" si="161"/>
        <v>1.5385121714192254</v>
      </c>
      <c r="AM178" s="31" t="str">
        <f t="shared" si="143"/>
        <v>1+75049.5382159813i</v>
      </c>
      <c r="AN178" s="31">
        <f t="shared" si="162"/>
        <v>75049.538222643576</v>
      </c>
      <c r="AO178" s="31">
        <f t="shared" si="163"/>
        <v>1.5707830022625449</v>
      </c>
      <c r="AP178" s="31" t="str">
        <f t="shared" si="144"/>
        <v>1+8.10447484404281i</v>
      </c>
      <c r="AQ178" s="31">
        <f t="shared" si="164"/>
        <v>8.1659361066397498</v>
      </c>
      <c r="AR178" s="31">
        <f t="shared" si="165"/>
        <v>1.4480282311439463</v>
      </c>
      <c r="AS178" s="58" t="str">
        <f t="shared" si="166"/>
        <v>-3.93304075131252+0.356904282284577i</v>
      </c>
      <c r="AT178" s="49">
        <f t="shared" si="167"/>
        <v>11.930185234004043</v>
      </c>
      <c r="AU178" s="61">
        <f t="shared" si="168"/>
        <v>174.81488866904496</v>
      </c>
      <c r="AV178" s="58" t="str">
        <f t="shared" si="145"/>
        <v>541.680715331627+1589.57865664588i</v>
      </c>
      <c r="AW178" s="64">
        <f t="shared" si="169"/>
        <v>64.502765670330035</v>
      </c>
      <c r="AX178" s="61">
        <f t="shared" si="170"/>
        <v>71.182429966340891</v>
      </c>
    </row>
    <row r="179" spans="14:50" x14ac:dyDescent="0.3">
      <c r="N179" s="10">
        <v>61</v>
      </c>
      <c r="O179" s="50">
        <f t="shared" si="135"/>
        <v>407.38027780411272</v>
      </c>
      <c r="P179" s="48" t="str">
        <f t="shared" si="136"/>
        <v>51201.9230769231</v>
      </c>
      <c r="Q179" s="17" t="str">
        <f t="shared" si="137"/>
        <v>1+119.614216067664i</v>
      </c>
      <c r="R179" s="17">
        <f t="shared" si="146"/>
        <v>119.61839609977142</v>
      </c>
      <c r="S179" s="17">
        <f t="shared" si="147"/>
        <v>1.5624363112704382</v>
      </c>
      <c r="T179" s="17" t="str">
        <f t="shared" si="138"/>
        <v>1+7.67893732780063E-09i</v>
      </c>
      <c r="U179" s="17">
        <f t="shared" si="148"/>
        <v>1</v>
      </c>
      <c r="V179" s="17">
        <f t="shared" si="149"/>
        <v>7.6789373278006308E-9</v>
      </c>
      <c r="W179" s="31" t="str">
        <f t="shared" si="139"/>
        <v>1-0.00414662615701233i</v>
      </c>
      <c r="X179" s="17">
        <f t="shared" si="150"/>
        <v>1.000008597217287</v>
      </c>
      <c r="Y179" s="17">
        <f t="shared" si="151"/>
        <v>-4.1466023908579694E-3</v>
      </c>
      <c r="Z179" s="31" t="str">
        <f t="shared" si="140"/>
        <v>0.999933616523702+0.253042078328257i</v>
      </c>
      <c r="AA179" s="17">
        <f t="shared" si="152"/>
        <v>1.0314540856765528</v>
      </c>
      <c r="AB179" s="17">
        <f t="shared" si="153"/>
        <v>0.24785552790182394</v>
      </c>
      <c r="AC179" s="66" t="str">
        <f t="shared" si="154"/>
        <v>-100.112709796081-402.737773202154i</v>
      </c>
      <c r="AD179" s="64">
        <f t="shared" si="155"/>
        <v>52.360842623014733</v>
      </c>
      <c r="AE179" s="61">
        <f t="shared" si="156"/>
        <v>-103.95966444789059</v>
      </c>
      <c r="AF179" s="31" t="str">
        <f t="shared" si="141"/>
        <v>-0.332666666666667</v>
      </c>
      <c r="AG179" s="31" t="str">
        <f t="shared" si="157"/>
        <v>2559.64577593354i</v>
      </c>
      <c r="AH179" s="31">
        <f t="shared" si="158"/>
        <v>2559.6457759335399</v>
      </c>
      <c r="AI179" s="31">
        <f t="shared" si="159"/>
        <v>1.5707963267948966</v>
      </c>
      <c r="AJ179" s="31" t="str">
        <f t="shared" si="142"/>
        <v>0.650442010815713+21.1080344229253i</v>
      </c>
      <c r="AK179" s="31">
        <f t="shared" si="160"/>
        <v>21.118053698407753</v>
      </c>
      <c r="AL179" s="31">
        <f t="shared" si="161"/>
        <v>1.5399911728192783</v>
      </c>
      <c r="AM179" s="31" t="str">
        <f t="shared" si="143"/>
        <v>1+76797.6665303203i</v>
      </c>
      <c r="AN179" s="31">
        <f t="shared" si="162"/>
        <v>76797.666536830919</v>
      </c>
      <c r="AO179" s="31">
        <f t="shared" si="163"/>
        <v>1.5707833055659306</v>
      </c>
      <c r="AP179" s="31" t="str">
        <f t="shared" si="144"/>
        <v>1+8.29325231402467i</v>
      </c>
      <c r="AQ179" s="31">
        <f t="shared" si="164"/>
        <v>8.3533247239692265</v>
      </c>
      <c r="AR179" s="31">
        <f t="shared" si="165"/>
        <v>1.4507957167697625</v>
      </c>
      <c r="AS179" s="58" t="str">
        <f t="shared" si="166"/>
        <v>-3.9323532949109+0.351732792682808i</v>
      </c>
      <c r="AT179" s="49">
        <f t="shared" si="167"/>
        <v>11.927658341433904</v>
      </c>
      <c r="AU179" s="61">
        <f t="shared" si="168"/>
        <v>174.88873075515428</v>
      </c>
      <c r="AV179" s="58" t="str">
        <f t="shared" si="145"/>
        <v>535.334625916327+1548.49428643695i</v>
      </c>
      <c r="AW179" s="64">
        <f t="shared" si="169"/>
        <v>64.28850096444863</v>
      </c>
      <c r="AX179" s="61">
        <f t="shared" si="170"/>
        <v>70.92906630726371</v>
      </c>
    </row>
    <row r="180" spans="14:50" x14ac:dyDescent="0.3">
      <c r="N180" s="10">
        <v>62</v>
      </c>
      <c r="O180" s="50">
        <f t="shared" si="135"/>
        <v>416.86938347033572</v>
      </c>
      <c r="P180" s="48" t="str">
        <f t="shared" si="136"/>
        <v>51201.9230769231</v>
      </c>
      <c r="Q180" s="17" t="str">
        <f t="shared" si="137"/>
        <v>1+122.400389079196i</v>
      </c>
      <c r="R180" s="17">
        <f t="shared" si="146"/>
        <v>122.40447396536845</v>
      </c>
      <c r="S180" s="17">
        <f t="shared" si="147"/>
        <v>1.5626265998906128</v>
      </c>
      <c r="T180" s="17" t="str">
        <f t="shared" si="138"/>
        <v>1+7.8578027557015E-09i</v>
      </c>
      <c r="U180" s="17">
        <f t="shared" si="148"/>
        <v>1</v>
      </c>
      <c r="V180" s="17">
        <f t="shared" si="149"/>
        <v>7.8578027557015003E-9</v>
      </c>
      <c r="W180" s="31" t="str">
        <f t="shared" si="139"/>
        <v>1-0.0042432134880788i</v>
      </c>
      <c r="X180" s="17">
        <f t="shared" si="150"/>
        <v>1.0000090023898311</v>
      </c>
      <c r="Y180" s="17">
        <f t="shared" si="151"/>
        <v>-4.2431880221979728E-3</v>
      </c>
      <c r="Z180" s="31" t="str">
        <f t="shared" si="140"/>
        <v>0.99993048796685+0.258936185505464i</v>
      </c>
      <c r="AA180" s="17">
        <f t="shared" si="152"/>
        <v>1.0329128370437377</v>
      </c>
      <c r="AB180" s="17">
        <f t="shared" si="153"/>
        <v>0.25338821576705278</v>
      </c>
      <c r="AC180" s="66" t="str">
        <f t="shared" si="154"/>
        <v>-99.9814013272808-392.440092941991i</v>
      </c>
      <c r="AD180" s="64">
        <f t="shared" si="155"/>
        <v>52.148584315166353</v>
      </c>
      <c r="AE180" s="61">
        <f t="shared" si="156"/>
        <v>-104.29310078554596</v>
      </c>
      <c r="AF180" s="31" t="str">
        <f t="shared" si="141"/>
        <v>-0.332666666666667</v>
      </c>
      <c r="AG180" s="31" t="str">
        <f t="shared" si="157"/>
        <v>2619.26758523383i</v>
      </c>
      <c r="AH180" s="31">
        <f t="shared" si="158"/>
        <v>2619.2675852338298</v>
      </c>
      <c r="AI180" s="31">
        <f t="shared" si="159"/>
        <v>1.5707963267948966</v>
      </c>
      <c r="AJ180" s="31" t="str">
        <f t="shared" si="142"/>
        <v>0.633967850325863+21.5997037058004i</v>
      </c>
      <c r="AK180" s="31">
        <f t="shared" si="160"/>
        <v>21.609005423980403</v>
      </c>
      <c r="AL180" s="31">
        <f t="shared" si="161"/>
        <v>1.5414539846295721</v>
      </c>
      <c r="AM180" s="31" t="str">
        <f t="shared" si="143"/>
        <v>1+78586.5139839912i</v>
      </c>
      <c r="AN180" s="31">
        <f t="shared" si="162"/>
        <v>78586.513990353604</v>
      </c>
      <c r="AO180" s="31">
        <f t="shared" si="163"/>
        <v>1.5707836019652885</v>
      </c>
      <c r="AP180" s="31" t="str">
        <f t="shared" si="144"/>
        <v>1+8.48642697615761i</v>
      </c>
      <c r="AQ180" s="31">
        <f t="shared" si="164"/>
        <v>8.5451414746425129</v>
      </c>
      <c r="AR180" s="31">
        <f t="shared" si="165"/>
        <v>1.4535019926678341</v>
      </c>
      <c r="AS180" s="58" t="str">
        <f t="shared" si="166"/>
        <v>-3.93169219185216+0.346744998681498i</v>
      </c>
      <c r="AT180" s="49">
        <f t="shared" si="167"/>
        <v>11.925238428960981</v>
      </c>
      <c r="AU180" s="61">
        <f t="shared" si="168"/>
        <v>174.95999298179228</v>
      </c>
      <c r="AV180" s="58" t="str">
        <f t="shared" si="145"/>
        <v>529.172734438645+1508.28559831836i</v>
      </c>
      <c r="AW180" s="64">
        <f t="shared" si="169"/>
        <v>64.073822744127341</v>
      </c>
      <c r="AX180" s="61">
        <f t="shared" si="170"/>
        <v>70.666892196246351</v>
      </c>
    </row>
    <row r="181" spans="14:50" x14ac:dyDescent="0.3">
      <c r="N181" s="10">
        <v>63</v>
      </c>
      <c r="O181" s="50">
        <f t="shared" si="135"/>
        <v>426.57951880159294</v>
      </c>
      <c r="P181" s="48" t="str">
        <f t="shared" si="136"/>
        <v>51201.9230769231</v>
      </c>
      <c r="Q181" s="17" t="str">
        <f t="shared" si="137"/>
        <v>1+125.251460397179i</v>
      </c>
      <c r="R181" s="17">
        <f t="shared" si="146"/>
        <v>125.25545230298799</v>
      </c>
      <c r="S181" s="17">
        <f t="shared" si="147"/>
        <v>1.562812557584687</v>
      </c>
      <c r="T181" s="17" t="str">
        <f t="shared" si="138"/>
        <v>1+8.04083449463374E-09i</v>
      </c>
      <c r="U181" s="17">
        <f t="shared" si="148"/>
        <v>1</v>
      </c>
      <c r="V181" s="17">
        <f t="shared" si="149"/>
        <v>8.0408344946337394E-9</v>
      </c>
      <c r="W181" s="31" t="str">
        <f t="shared" si="139"/>
        <v>1-0.00434205062710221i</v>
      </c>
      <c r="X181" s="17">
        <f t="shared" si="150"/>
        <v>1.0000094266573931</v>
      </c>
      <c r="Y181" s="17">
        <f t="shared" si="151"/>
        <v>-4.3420233399331714E-3</v>
      </c>
      <c r="Z181" s="31" t="str">
        <f t="shared" si="140"/>
        <v>0.999927211965656+0.26496758407565i</v>
      </c>
      <c r="AA181" s="17">
        <f t="shared" si="152"/>
        <v>1.0344381324372651</v>
      </c>
      <c r="AB181" s="17">
        <f t="shared" si="153"/>
        <v>0.2590334638223285</v>
      </c>
      <c r="AC181" s="66" t="str">
        <f t="shared" si="154"/>
        <v>-99.830801222056-382.357041799395i</v>
      </c>
      <c r="AD181" s="64">
        <f t="shared" si="155"/>
        <v>51.935784112773405</v>
      </c>
      <c r="AE181" s="61">
        <f t="shared" si="156"/>
        <v>-104.63286710054216</v>
      </c>
      <c r="AF181" s="31" t="str">
        <f t="shared" si="141"/>
        <v>-0.332666666666667</v>
      </c>
      <c r="AG181" s="31" t="str">
        <f t="shared" si="157"/>
        <v>2680.27816487791i</v>
      </c>
      <c r="AH181" s="31">
        <f t="shared" si="158"/>
        <v>2680.2781648779101</v>
      </c>
      <c r="AI181" s="31">
        <f t="shared" si="159"/>
        <v>1.5707963267948966</v>
      </c>
      <c r="AJ181" s="31" t="str">
        <f t="shared" si="142"/>
        <v>0.616717286571772+22.1028254374862i</v>
      </c>
      <c r="AK181" s="31">
        <f t="shared" si="160"/>
        <v>22.111427645711696</v>
      </c>
      <c r="AL181" s="31">
        <f t="shared" si="161"/>
        <v>1.5429013719959932</v>
      </c>
      <c r="AM181" s="31" t="str">
        <f t="shared" si="143"/>
        <v>1+80417.0290475916i</v>
      </c>
      <c r="AN181" s="31">
        <f t="shared" si="162"/>
        <v>80417.029053809179</v>
      </c>
      <c r="AO181" s="31">
        <f t="shared" si="163"/>
        <v>1.5707838916177732</v>
      </c>
      <c r="AP181" s="31" t="str">
        <f t="shared" si="144"/>
        <v>1+8.68410125420443i</v>
      </c>
      <c r="AQ181" s="31">
        <f t="shared" si="164"/>
        <v>8.7414881223550811</v>
      </c>
      <c r="AR181" s="31">
        <f t="shared" si="165"/>
        <v>1.456148335091594</v>
      </c>
      <c r="AS181" s="58" t="str">
        <f t="shared" si="166"/>
        <v>-3.93105605703641+0.34193843119826i</v>
      </c>
      <c r="AT181" s="49">
        <f t="shared" si="167"/>
        <v>11.922920605316536</v>
      </c>
      <c r="AU181" s="61">
        <f t="shared" si="168"/>
        <v>175.02870464226856</v>
      </c>
      <c r="AV181" s="58" t="str">
        <f t="shared" si="145"/>
        <v>523.183042853254+1468.9309775609i</v>
      </c>
      <c r="AW181" s="64">
        <f t="shared" si="169"/>
        <v>63.858704718089932</v>
      </c>
      <c r="AX181" s="61">
        <f t="shared" si="170"/>
        <v>70.39583754172638</v>
      </c>
    </row>
    <row r="182" spans="14:50" x14ac:dyDescent="0.3">
      <c r="N182" s="10">
        <v>64</v>
      </c>
      <c r="O182" s="50">
        <f t="shared" si="135"/>
        <v>436.51583224016622</v>
      </c>
      <c r="P182" s="48" t="str">
        <f t="shared" si="136"/>
        <v>51201.9230769231</v>
      </c>
      <c r="Q182" s="17" t="str">
        <f t="shared" si="137"/>
        <v>1+128.168941697364i</v>
      </c>
      <c r="R182" s="17">
        <f t="shared" si="146"/>
        <v>128.17284273910093</v>
      </c>
      <c r="S182" s="17">
        <f t="shared" si="147"/>
        <v>1.5629942828984182</v>
      </c>
      <c r="T182" s="17" t="str">
        <f t="shared" si="138"/>
        <v>1+8.22812959044805E-09i</v>
      </c>
      <c r="U182" s="17">
        <f t="shared" si="148"/>
        <v>1</v>
      </c>
      <c r="V182" s="17">
        <f t="shared" si="149"/>
        <v>8.2281295904480501E-9</v>
      </c>
      <c r="W182" s="31" t="str">
        <f t="shared" si="139"/>
        <v>1-0.00444318997884194i</v>
      </c>
      <c r="X182" s="17">
        <f t="shared" si="150"/>
        <v>1.0000098709198766</v>
      </c>
      <c r="Y182" s="17">
        <f t="shared" si="151"/>
        <v>-4.4431607401291175E-3</v>
      </c>
      <c r="Z182" s="31" t="str">
        <f t="shared" si="140"/>
        <v>0.999923781571281+0.271139471966174i</v>
      </c>
      <c r="AA182" s="17">
        <f t="shared" si="152"/>
        <v>1.0360329059493751</v>
      </c>
      <c r="AB182" s="17">
        <f t="shared" si="153"/>
        <v>0.26479283017994532</v>
      </c>
      <c r="AC182" s="66" t="str">
        <f t="shared" si="154"/>
        <v>-99.6608226602314-372.48369558538i</v>
      </c>
      <c r="AD182" s="64">
        <f t="shared" si="155"/>
        <v>51.722419871800639</v>
      </c>
      <c r="AE182" s="61">
        <f t="shared" si="156"/>
        <v>-104.97906131446172</v>
      </c>
      <c r="AF182" s="31" t="str">
        <f t="shared" si="141"/>
        <v>-0.332666666666667</v>
      </c>
      <c r="AG182" s="31" t="str">
        <f t="shared" si="157"/>
        <v>2742.70986348268i</v>
      </c>
      <c r="AH182" s="31">
        <f t="shared" si="158"/>
        <v>2742.7098634826798</v>
      </c>
      <c r="AI182" s="31">
        <f t="shared" si="159"/>
        <v>1.5707963267948966</v>
      </c>
      <c r="AJ182" s="31" t="str">
        <f t="shared" si="142"/>
        <v>0.598653728794892+22.6176663797844i</v>
      </c>
      <c r="AK182" s="31">
        <f t="shared" si="160"/>
        <v>22.625587699642846</v>
      </c>
      <c r="AL182" s="31">
        <f t="shared" si="161"/>
        <v>1.5443340925177318</v>
      </c>
      <c r="AM182" s="31" t="str">
        <f t="shared" si="143"/>
        <v>1+82290.1822844382i</v>
      </c>
      <c r="AN182" s="31">
        <f t="shared" si="162"/>
        <v>82290.182290514247</v>
      </c>
      <c r="AO182" s="31">
        <f t="shared" si="163"/>
        <v>1.5707841746769624</v>
      </c>
      <c r="AP182" s="31" t="str">
        <f t="shared" si="144"/>
        <v>1+8.88637995768388i</v>
      </c>
      <c r="AQ182" s="31">
        <f t="shared" si="164"/>
        <v>8.9424688287030545</v>
      </c>
      <c r="AR182" s="31">
        <f t="shared" si="165"/>
        <v>1.4587359988254414</v>
      </c>
      <c r="AS182" s="58" t="str">
        <f t="shared" si="166"/>
        <v>-3.93044355685197+0.337310704860854i</v>
      </c>
      <c r="AT182" s="49">
        <f t="shared" si="167"/>
        <v>11.920700174907255</v>
      </c>
      <c r="AU182" s="61">
        <f t="shared" si="168"/>
        <v>175.09489423199656</v>
      </c>
      <c r="AV182" s="58" t="str">
        <f t="shared" si="145"/>
        <v>517.353976202554+1430.40947900743i</v>
      </c>
      <c r="AW182" s="64">
        <f t="shared" si="169"/>
        <v>63.643120046707878</v>
      </c>
      <c r="AX182" s="61">
        <f t="shared" si="170"/>
        <v>70.115832917534803</v>
      </c>
    </row>
    <row r="183" spans="14:50" x14ac:dyDescent="0.3">
      <c r="N183" s="10">
        <v>65</v>
      </c>
      <c r="O183" s="50">
        <f t="shared" si="135"/>
        <v>446.68359215096331</v>
      </c>
      <c r="P183" s="48" t="str">
        <f t="shared" si="136"/>
        <v>51201.9230769231</v>
      </c>
      <c r="Q183" s="17" t="str">
        <f t="shared" si="137"/>
        <v>1+131.154379866953i</v>
      </c>
      <c r="R183" s="17">
        <f t="shared" si="146"/>
        <v>131.1581921127499</v>
      </c>
      <c r="S183" s="17">
        <f t="shared" si="147"/>
        <v>1.5631718721369352</v>
      </c>
      <c r="T183" s="17" t="str">
        <f t="shared" si="138"/>
        <v>1+8.4197873494834E-09i</v>
      </c>
      <c r="U183" s="17">
        <f t="shared" si="148"/>
        <v>1</v>
      </c>
      <c r="V183" s="17">
        <f t="shared" si="149"/>
        <v>8.4197873494834004E-9</v>
      </c>
      <c r="W183" s="31" t="str">
        <f t="shared" si="139"/>
        <v>1-0.00454668516872103i</v>
      </c>
      <c r="X183" s="17">
        <f t="shared" si="150"/>
        <v>1.000010336119594</v>
      </c>
      <c r="Y183" s="17">
        <f t="shared" si="151"/>
        <v>-4.5466538388932703E-3</v>
      </c>
      <c r="Z183" s="31" t="str">
        <f t="shared" si="140"/>
        <v>0.999920189507401+0.27745512159369i</v>
      </c>
      <c r="AA183" s="17">
        <f t="shared" si="152"/>
        <v>1.0377002119509691</v>
      </c>
      <c r="AB183" s="17">
        <f t="shared" si="153"/>
        <v>0.27066784468357585</v>
      </c>
      <c r="AC183" s="66" t="str">
        <f t="shared" si="154"/>
        <v>-99.4713571209469-362.815263540182i</v>
      </c>
      <c r="AD183" s="64">
        <f t="shared" si="155"/>
        <v>51.508468691102387</v>
      </c>
      <c r="AE183" s="61">
        <f t="shared" si="156"/>
        <v>-105.3317796707386</v>
      </c>
      <c r="AF183" s="31" t="str">
        <f t="shared" si="141"/>
        <v>-0.332666666666667</v>
      </c>
      <c r="AG183" s="31" t="str">
        <f t="shared" si="157"/>
        <v>2806.59578316113i</v>
      </c>
      <c r="AH183" s="31">
        <f t="shared" si="158"/>
        <v>2806.5957831611299</v>
      </c>
      <c r="AI183" s="31">
        <f t="shared" si="159"/>
        <v>1.5707963267948966</v>
      </c>
      <c r="AJ183" s="31" t="str">
        <f t="shared" si="142"/>
        <v>0.579738861767353+23.1444995081774i</v>
      </c>
      <c r="AK183" s="31">
        <f t="shared" si="160"/>
        <v>23.151759212463038</v>
      </c>
      <c r="AL183" s="31">
        <f t="shared" si="161"/>
        <v>1.545752896602572</v>
      </c>
      <c r="AM183" s="31" t="str">
        <f t="shared" si="143"/>
        <v>1+84206.9668651715i</v>
      </c>
      <c r="AN183" s="31">
        <f t="shared" si="162"/>
        <v>84206.966871109253</v>
      </c>
      <c r="AO183" s="31">
        <f t="shared" si="163"/>
        <v>1.5707844512929379</v>
      </c>
      <c r="AP183" s="31" t="str">
        <f t="shared" si="144"/>
        <v>1+9.09337033744206i</v>
      </c>
      <c r="AQ183" s="31">
        <f t="shared" si="164"/>
        <v>9.1481902086626459</v>
      </c>
      <c r="AR183" s="31">
        <f t="shared" si="165"/>
        <v>1.461266217191904</v>
      </c>
      <c r="AS183" s="58" t="str">
        <f t="shared" si="166"/>
        <v>-3.92985340647865+0.332859517506249i</v>
      </c>
      <c r="AT183" s="49">
        <f t="shared" si="167"/>
        <v>11.918572629645183</v>
      </c>
      <c r="AU183" s="61">
        <f t="shared" si="168"/>
        <v>175.15858942855203</v>
      </c>
      <c r="AV183" s="58" t="str">
        <f t="shared" si="145"/>
        <v>511.674365194695+1392.70081140886i</v>
      </c>
      <c r="AW183" s="64">
        <f t="shared" si="169"/>
        <v>63.427041320747549</v>
      </c>
      <c r="AX183" s="61">
        <f t="shared" si="170"/>
        <v>69.826809757813393</v>
      </c>
    </row>
    <row r="184" spans="14:50" x14ac:dyDescent="0.3">
      <c r="N184" s="10">
        <v>66</v>
      </c>
      <c r="O184" s="50">
        <f t="shared" ref="O184:O218" si="171">10^(2+(N184/100))</f>
        <v>457.0881896148756</v>
      </c>
      <c r="P184" s="48" t="str">
        <f t="shared" si="136"/>
        <v>51201.9230769231</v>
      </c>
      <c r="Q184" s="17" t="str">
        <f t="shared" si="137"/>
        <v>1+134.209357824781i</v>
      </c>
      <c r="R184" s="17">
        <f t="shared" si="146"/>
        <v>134.21308329570596</v>
      </c>
      <c r="S184" s="17">
        <f t="shared" si="147"/>
        <v>1.5633454194155707</v>
      </c>
      <c r="T184" s="17" t="str">
        <f t="shared" si="138"/>
        <v>1+8.61590939122051E-09i</v>
      </c>
      <c r="U184" s="17">
        <f t="shared" si="148"/>
        <v>1</v>
      </c>
      <c r="V184" s="17">
        <f t="shared" si="149"/>
        <v>8.6159093912205102E-9</v>
      </c>
      <c r="W184" s="31" t="str">
        <f t="shared" si="139"/>
        <v>1-0.00465259107125907i</v>
      </c>
      <c r="X184" s="17">
        <f t="shared" si="150"/>
        <v>1.000010823243267</v>
      </c>
      <c r="Y184" s="17">
        <f t="shared" si="151"/>
        <v>-4.6525575007634185E-3</v>
      </c>
      <c r="Z184" s="31" t="str">
        <f t="shared" si="140"/>
        <v>0.999916428154766+0.283917881599227i</v>
      </c>
      <c r="AA184" s="17">
        <f t="shared" si="152"/>
        <v>1.0394432292268676</v>
      </c>
      <c r="AB184" s="17">
        <f t="shared" si="153"/>
        <v>0.27666000487063314</v>
      </c>
      <c r="AC184" s="66" t="str">
        <f t="shared" si="154"/>
        <v>-99.2622756224846-353.34708675509i</v>
      </c>
      <c r="AD184" s="64">
        <f t="shared" si="155"/>
        <v>51.293906900320607</v>
      </c>
      <c r="AE184" s="61">
        <f t="shared" si="156"/>
        <v>-105.69111650785828</v>
      </c>
      <c r="AF184" s="31" t="str">
        <f t="shared" si="141"/>
        <v>-0.332666666666667</v>
      </c>
      <c r="AG184" s="31" t="str">
        <f t="shared" si="157"/>
        <v>2871.9697970735i</v>
      </c>
      <c r="AH184" s="31">
        <f t="shared" si="158"/>
        <v>2871.9697970735001</v>
      </c>
      <c r="AI184" s="31">
        <f t="shared" si="159"/>
        <v>1.5707963267948966</v>
      </c>
      <c r="AJ184" s="31" t="str">
        <f t="shared" si="142"/>
        <v>0.55993256452023+23.6836041565633i</v>
      </c>
      <c r="AK184" s="31">
        <f t="shared" si="160"/>
        <v>23.690222251418255</v>
      </c>
      <c r="AL184" s="31">
        <f t="shared" si="161"/>
        <v>1.5471585278211089</v>
      </c>
      <c r="AM184" s="31" t="str">
        <f t="shared" si="143"/>
        <v>1+86168.3990943477i</v>
      </c>
      <c r="AN184" s="31">
        <f t="shared" si="162"/>
        <v>86168.399100150287</v>
      </c>
      <c r="AO184" s="31">
        <f t="shared" si="163"/>
        <v>1.5707847216123649</v>
      </c>
      <c r="AP184" s="31" t="str">
        <f t="shared" si="144"/>
        <v>1+9.30518214251814i</v>
      </c>
      <c r="AQ184" s="31">
        <f t="shared" si="164"/>
        <v>9.3587613873545514</v>
      </c>
      <c r="AR184" s="31">
        <f t="shared" si="165"/>
        <v>1.4637402020881898</v>
      </c>
      <c r="AS184" s="58" t="str">
        <f t="shared" si="166"/>
        <v>-3.92928436728322+0.328582649669954i</v>
      </c>
      <c r="AT184" s="49">
        <f t="shared" si="167"/>
        <v>11.91653364102396</v>
      </c>
      <c r="AU184" s="61">
        <f t="shared" si="168"/>
        <v>175.21981707347663</v>
      </c>
      <c r="AV184" s="58" t="str">
        <f t="shared" si="145"/>
        <v>506.133429883534+1355.78532267554i</v>
      </c>
      <c r="AW184" s="64">
        <f t="shared" si="169"/>
        <v>63.210440541344582</v>
      </c>
      <c r="AX184" s="61">
        <f t="shared" si="170"/>
        <v>69.528700565618379</v>
      </c>
    </row>
    <row r="185" spans="14:50" x14ac:dyDescent="0.3">
      <c r="N185" s="10">
        <v>67</v>
      </c>
      <c r="O185" s="50">
        <f t="shared" si="171"/>
        <v>467.7351412871983</v>
      </c>
      <c r="P185" s="48" t="str">
        <f t="shared" si="136"/>
        <v>51201.9230769231</v>
      </c>
      <c r="Q185" s="17" t="str">
        <f t="shared" si="137"/>
        <v>1+137.335495360598i</v>
      </c>
      <c r="R185" s="17">
        <f t="shared" si="146"/>
        <v>137.33913603172562</v>
      </c>
      <c r="S185" s="17">
        <f t="shared" si="147"/>
        <v>1.5635150167095488</v>
      </c>
      <c r="T185" s="17" t="str">
        <f t="shared" si="138"/>
        <v>1+8.81659970216188E-09i</v>
      </c>
      <c r="U185" s="17">
        <f t="shared" si="148"/>
        <v>1</v>
      </c>
      <c r="V185" s="17">
        <f t="shared" si="149"/>
        <v>8.8165997021618798E-9</v>
      </c>
      <c r="W185" s="31" t="str">
        <f t="shared" si="139"/>
        <v>1-0.00476096383916741i</v>
      </c>
      <c r="X185" s="17">
        <f t="shared" si="150"/>
        <v>1.0000113333241167</v>
      </c>
      <c r="Y185" s="17">
        <f t="shared" si="151"/>
        <v>-4.7609278677552512E-3</v>
      </c>
      <c r="Z185" s="31" t="str">
        <f t="shared" si="140"/>
        <v>0.999912489535042+0.290531178623686i</v>
      </c>
      <c r="AA185" s="17">
        <f t="shared" si="152"/>
        <v>1.0412652651849255</v>
      </c>
      <c r="AB185" s="17">
        <f t="shared" si="153"/>
        <v>0.28277077172394133</v>
      </c>
      <c r="AC185" s="66" t="str">
        <f t="shared" si="154"/>
        <v>-99.0334300111103-344.074636662569i</v>
      </c>
      <c r="AD185" s="64">
        <f t="shared" si="155"/>
        <v>51.078710048900184</v>
      </c>
      <c r="AE185" s="61">
        <f t="shared" si="156"/>
        <v>-106.05716402045732</v>
      </c>
      <c r="AF185" s="31" t="str">
        <f t="shared" si="141"/>
        <v>-0.332666666666667</v>
      </c>
      <c r="AG185" s="31" t="str">
        <f t="shared" si="157"/>
        <v>2938.86656738729i</v>
      </c>
      <c r="AH185" s="31">
        <f t="shared" si="158"/>
        <v>2938.8665673872902</v>
      </c>
      <c r="AI185" s="31">
        <f t="shared" si="159"/>
        <v>1.5707963267948966</v>
      </c>
      <c r="AJ185" s="31" t="str">
        <f t="shared" si="142"/>
        <v>0.539192825241586+24.2352661653626i</v>
      </c>
      <c r="AK185" s="31">
        <f t="shared" si="160"/>
        <v>24.241263477978233</v>
      </c>
      <c r="AL185" s="31">
        <f t="shared" si="161"/>
        <v>1.5485517232598782</v>
      </c>
      <c r="AM185" s="31" t="str">
        <f t="shared" si="143"/>
        <v>1+88175.5189492972i</v>
      </c>
      <c r="AN185" s="31">
        <f t="shared" si="162"/>
        <v>88175.518954967716</v>
      </c>
      <c r="AO185" s="31">
        <f t="shared" si="163"/>
        <v>1.5707849857785707</v>
      </c>
      <c r="AP185" s="31" t="str">
        <f t="shared" si="144"/>
        <v>1+9.52192767833482i</v>
      </c>
      <c r="AQ185" s="31">
        <f t="shared" si="164"/>
        <v>9.5742940581245328</v>
      </c>
      <c r="AR185" s="31">
        <f t="shared" si="165"/>
        <v>1.4661591440497534</v>
      </c>
      <c r="AS185" s="58" t="str">
        <f t="shared" si="166"/>
        <v>-3.92873524430278+0.32447796406863i</v>
      </c>
      <c r="AT185" s="49">
        <f t="shared" si="167"/>
        <v>11.914579052437579</v>
      </c>
      <c r="AU185" s="61">
        <f t="shared" si="168"/>
        <v>175.27860315569168</v>
      </c>
      <c r="AV185" s="58" t="str">
        <f t="shared" si="145"/>
        <v>500.720764440766+1319.64398598217i</v>
      </c>
      <c r="AW185" s="64">
        <f t="shared" si="169"/>
        <v>62.993289101337766</v>
      </c>
      <c r="AX185" s="61">
        <f t="shared" si="170"/>
        <v>69.221439135234348</v>
      </c>
    </row>
    <row r="186" spans="14:50" x14ac:dyDescent="0.3">
      <c r="N186" s="10">
        <v>68</v>
      </c>
      <c r="O186" s="50">
        <f t="shared" si="171"/>
        <v>478.63009232263886</v>
      </c>
      <c r="P186" s="48" t="str">
        <f t="shared" si="136"/>
        <v>51201.9230769231</v>
      </c>
      <c r="Q186" s="17" t="str">
        <f t="shared" si="137"/>
        <v>1+140.534449993906i</v>
      </c>
      <c r="R186" s="17">
        <f t="shared" si="146"/>
        <v>140.53800779536357</v>
      </c>
      <c r="S186" s="17">
        <f t="shared" si="147"/>
        <v>1.5636807539025521</v>
      </c>
      <c r="T186" s="17" t="str">
        <f t="shared" si="138"/>
        <v>1+9.02196469096684E-09i</v>
      </c>
      <c r="U186" s="17">
        <f t="shared" si="148"/>
        <v>1</v>
      </c>
      <c r="V186" s="17">
        <f t="shared" si="149"/>
        <v>9.0219646909668403E-9</v>
      </c>
      <c r="W186" s="31" t="str">
        <f t="shared" si="139"/>
        <v>1-0.00487186093312209i</v>
      </c>
      <c r="X186" s="17">
        <f t="shared" si="150"/>
        <v>1.0000118674440577</v>
      </c>
      <c r="Y186" s="17">
        <f t="shared" si="151"/>
        <v>-4.8718223890842289E-3</v>
      </c>
      <c r="Z186" s="31" t="str">
        <f t="shared" si="140"/>
        <v>0.999908365293889+0.297298519124686i</v>
      </c>
      <c r="AA186" s="17">
        <f t="shared" si="152"/>
        <v>1.0431697601341925</v>
      </c>
      <c r="AB186" s="17">
        <f t="shared" si="153"/>
        <v>0.289001565210811</v>
      </c>
      <c r="AC186" s="66" t="str">
        <f t="shared" si="154"/>
        <v>-98.784654304915-334.99351358903i</v>
      </c>
      <c r="AD186" s="64">
        <f t="shared" si="155"/>
        <v>50.862852896369873</v>
      </c>
      <c r="AE186" s="61">
        <f t="shared" si="156"/>
        <v>-106.43001200821666</v>
      </c>
      <c r="AF186" s="31" t="str">
        <f t="shared" si="141"/>
        <v>-0.332666666666667</v>
      </c>
      <c r="AG186" s="31" t="str">
        <f t="shared" si="157"/>
        <v>3007.32156365561i</v>
      </c>
      <c r="AH186" s="31">
        <f t="shared" si="158"/>
        <v>3007.3215636556101</v>
      </c>
      <c r="AI186" s="31">
        <f t="shared" si="159"/>
        <v>1.5707963267948966</v>
      </c>
      <c r="AJ186" s="31" t="str">
        <f t="shared" si="142"/>
        <v>0.517475652163784+24.7997780330744i</v>
      </c>
      <c r="AK186" s="31">
        <f t="shared" si="160"/>
        <v>24.805176305367027</v>
      </c>
      <c r="AL186" s="31">
        <f t="shared" si="161"/>
        <v>1.5499332138733952</v>
      </c>
      <c r="AM186" s="31" t="str">
        <f t="shared" si="143"/>
        <v>1+90229.3906315347i</v>
      </c>
      <c r="AN186" s="31">
        <f t="shared" si="162"/>
        <v>90229.390637076125</v>
      </c>
      <c r="AO186" s="31">
        <f t="shared" si="163"/>
        <v>1.5707852439316194</v>
      </c>
      <c r="AP186" s="31" t="str">
        <f t="shared" si="144"/>
        <v>1+9.74372186624418i</v>
      </c>
      <c r="AQ186" s="31">
        <f t="shared" si="164"/>
        <v>9.7949025419717657</v>
      </c>
      <c r="AR186" s="31">
        <f t="shared" si="165"/>
        <v>1.4685242123386477</v>
      </c>
      <c r="AS186" s="58" t="str">
        <f t="shared" si="166"/>
        <v>-3.92820488381143+0.320543405078665i</v>
      </c>
      <c r="AT186" s="49">
        <f t="shared" si="167"/>
        <v>11.912704871736519</v>
      </c>
      <c r="AU186" s="61">
        <f t="shared" si="168"/>
        <v>175.3349727963942</v>
      </c>
      <c r="AV186" s="58" t="str">
        <f t="shared" si="145"/>
        <v>495.426323011285+1284.25838666516i</v>
      </c>
      <c r="AW186" s="64">
        <f t="shared" si="169"/>
        <v>62.775557768106374</v>
      </c>
      <c r="AX186" s="61">
        <f t="shared" si="170"/>
        <v>68.904960788177519</v>
      </c>
    </row>
    <row r="187" spans="14:50" x14ac:dyDescent="0.3">
      <c r="N187" s="10">
        <v>69</v>
      </c>
      <c r="O187" s="50">
        <f t="shared" si="171"/>
        <v>489.77881936844625</v>
      </c>
      <c r="P187" s="48" t="str">
        <f t="shared" si="136"/>
        <v>51201.9230769231</v>
      </c>
      <c r="Q187" s="17" t="str">
        <f t="shared" si="137"/>
        <v>1+143.807917852795i</v>
      </c>
      <c r="R187" s="17">
        <f t="shared" si="146"/>
        <v>143.81139467078481</v>
      </c>
      <c r="S187" s="17">
        <f t="shared" si="147"/>
        <v>1.5638427188341923</v>
      </c>
      <c r="T187" s="17" t="str">
        <f t="shared" si="138"/>
        <v>1+9.23211324487078E-09i</v>
      </c>
      <c r="U187" s="17">
        <f t="shared" si="148"/>
        <v>1</v>
      </c>
      <c r="V187" s="17">
        <f t="shared" si="149"/>
        <v>9.2321132448707805E-9</v>
      </c>
      <c r="W187" s="31" t="str">
        <f t="shared" si="139"/>
        <v>1-0.00498534115223021i</v>
      </c>
      <c r="X187" s="17">
        <f t="shared" si="150"/>
        <v>1.0000124267359902</v>
      </c>
      <c r="Y187" s="17">
        <f t="shared" si="151"/>
        <v>-4.9852998515772596E-3</v>
      </c>
      <c r="Z187" s="31" t="str">
        <f t="shared" si="140"/>
        <v>0.999904046683239+0.304223491235737i</v>
      </c>
      <c r="AA187" s="17">
        <f t="shared" si="152"/>
        <v>1.0451602916266849</v>
      </c>
      <c r="AB187" s="17">
        <f t="shared" si="153"/>
        <v>0.29535375960864235</v>
      </c>
      <c r="AC187" s="66" t="str">
        <f t="shared" si="154"/>
        <v>-98.5157660985006-326.099445363969i</v>
      </c>
      <c r="AD187" s="64">
        <f t="shared" si="155"/>
        <v>50.646309404044302</v>
      </c>
      <c r="AE187" s="61">
        <f t="shared" si="156"/>
        <v>-106.80974761250124</v>
      </c>
      <c r="AF187" s="31" t="str">
        <f t="shared" si="141"/>
        <v>-0.332666666666667</v>
      </c>
      <c r="AG187" s="31" t="str">
        <f t="shared" si="157"/>
        <v>3077.37108162359i</v>
      </c>
      <c r="AH187" s="31">
        <f t="shared" si="158"/>
        <v>3077.3710816235898</v>
      </c>
      <c r="AI187" s="31">
        <f t="shared" si="159"/>
        <v>1.5707963267948966</v>
      </c>
      <c r="AJ187" s="31" t="str">
        <f t="shared" si="142"/>
        <v>0.494734980251055+25.3774390713632i</v>
      </c>
      <c r="AK187" s="31">
        <f t="shared" si="160"/>
        <v>25.382261060067826</v>
      </c>
      <c r="AL187" s="31">
        <f t="shared" si="161"/>
        <v>1.5513037248351069</v>
      </c>
      <c r="AM187" s="31" t="str">
        <f t="shared" si="143"/>
        <v>1+92331.1031310123i</v>
      </c>
      <c r="AN187" s="31">
        <f t="shared" si="162"/>
        <v>92331.103136427599</v>
      </c>
      <c r="AO187" s="31">
        <f t="shared" si="163"/>
        <v>1.5707854962083874</v>
      </c>
      <c r="AP187" s="31" t="str">
        <f t="shared" si="144"/>
        <v>1+9.97068230446043i</v>
      </c>
      <c r="AQ187" s="31">
        <f t="shared" si="164"/>
        <v>10.020703848357179</v>
      </c>
      <c r="AR187" s="31">
        <f t="shared" si="165"/>
        <v>1.4708365550545617</v>
      </c>
      <c r="AS187" s="58" t="str">
        <f t="shared" si="166"/>
        <v>-3.92769217096595+0.316776998213206i</v>
      </c>
      <c r="AT187" s="49">
        <f t="shared" si="167"/>
        <v>11.910907264016206</v>
      </c>
      <c r="AU187" s="61">
        <f t="shared" si="168"/>
        <v>175.38895023531549</v>
      </c>
      <c r="AV187" s="58" t="str">
        <f t="shared" si="145"/>
        <v>490.240406643183+1249.61070985104i</v>
      </c>
      <c r="AW187" s="64">
        <f t="shared" si="169"/>
        <v>62.557216668060498</v>
      </c>
      <c r="AX187" s="61">
        <f t="shared" si="170"/>
        <v>68.579202622814222</v>
      </c>
    </row>
    <row r="188" spans="14:50" x14ac:dyDescent="0.3">
      <c r="N188" s="10">
        <v>70</v>
      </c>
      <c r="O188" s="50">
        <f t="shared" si="171"/>
        <v>501.18723362727269</v>
      </c>
      <c r="P188" s="48" t="str">
        <f t="shared" si="136"/>
        <v>51201.9230769231</v>
      </c>
      <c r="Q188" s="17" t="str">
        <f t="shared" si="137"/>
        <v>1+147.157634573251i</v>
      </c>
      <c r="R188" s="17">
        <f t="shared" si="146"/>
        <v>147.16103225104965</v>
      </c>
      <c r="S188" s="17">
        <f t="shared" si="147"/>
        <v>1.5640009973464104</v>
      </c>
      <c r="T188" s="17" t="str">
        <f t="shared" si="138"/>
        <v>1+9.44715678741859E-09i</v>
      </c>
      <c r="U188" s="17">
        <f t="shared" si="148"/>
        <v>1</v>
      </c>
      <c r="V188" s="17">
        <f t="shared" si="149"/>
        <v>9.44715678741859E-9</v>
      </c>
      <c r="W188" s="31" t="str">
        <f t="shared" si="139"/>
        <v>1-0.00510146466520603i</v>
      </c>
      <c r="X188" s="17">
        <f t="shared" si="150"/>
        <v>1.0000130123862041</v>
      </c>
      <c r="Y188" s="17">
        <f t="shared" si="151"/>
        <v>-5.1014204107901751E-3</v>
      </c>
      <c r="Z188" s="31" t="str">
        <f t="shared" si="140"/>
        <v>0.99989952454274+0.311309766668715i</v>
      </c>
      <c r="AA188" s="17">
        <f t="shared" si="152"/>
        <v>1.0472405788567054</v>
      </c>
      <c r="AB188" s="17">
        <f t="shared" si="153"/>
        <v>0.30182867861728385</v>
      </c>
      <c r="AC188" s="66" t="str">
        <f t="shared" si="154"/>
        <v>-98.2265680341321-317.388285978548i</v>
      </c>
      <c r="AD188" s="64">
        <f t="shared" si="155"/>
        <v>50.429052728309642</v>
      </c>
      <c r="AE188" s="61">
        <f t="shared" si="156"/>
        <v>-107.19645504075959</v>
      </c>
      <c r="AF188" s="31" t="str">
        <f t="shared" si="141"/>
        <v>-0.332666666666667</v>
      </c>
      <c r="AG188" s="31" t="str">
        <f t="shared" si="157"/>
        <v>3149.05226247286i</v>
      </c>
      <c r="AH188" s="31">
        <f t="shared" si="158"/>
        <v>3149.0522624728601</v>
      </c>
      <c r="AI188" s="31">
        <f t="shared" si="159"/>
        <v>1.5707963267948966</v>
      </c>
      <c r="AJ188" s="31" t="str">
        <f t="shared" si="142"/>
        <v>0.470922573489379+25.9685555637578i</v>
      </c>
      <c r="AK188" s="31">
        <f t="shared" si="160"/>
        <v>25.972825147415094</v>
      </c>
      <c r="AL188" s="31">
        <f t="shared" si="161"/>
        <v>1.5526639758872749</v>
      </c>
      <c r="AM188" s="31" t="str">
        <f t="shared" si="143"/>
        <v>1+94481.7708035164i</v>
      </c>
      <c r="AN188" s="31">
        <f t="shared" si="162"/>
        <v>94481.770808808433</v>
      </c>
      <c r="AO188" s="31">
        <f t="shared" si="163"/>
        <v>1.5707857427426348</v>
      </c>
      <c r="AP188" s="31" t="str">
        <f t="shared" si="144"/>
        <v>1+10.2029293304121i</v>
      </c>
      <c r="AQ188" s="31">
        <f t="shared" si="164"/>
        <v>10.25181773742508</v>
      </c>
      <c r="AR188" s="31">
        <f t="shared" si="165"/>
        <v>1.4730972992665772</v>
      </c>
      <c r="AS188" s="58" t="str">
        <f t="shared" si="166"/>
        <v>-3.92719602752623+0.313176849599996i</v>
      </c>
      <c r="AT188" s="49">
        <f t="shared" si="167"/>
        <v>11.909182544632097</v>
      </c>
      <c r="AU188" s="61">
        <f t="shared" si="168"/>
        <v>175.44055881822703</v>
      </c>
      <c r="AV188" s="58" t="str">
        <f t="shared" si="145"/>
        <v>485.153651283883+1215.68372875436i</v>
      </c>
      <c r="AW188" s="64">
        <f t="shared" si="169"/>
        <v>62.338235272941716</v>
      </c>
      <c r="AX188" s="61">
        <f t="shared" si="170"/>
        <v>68.244103777467359</v>
      </c>
    </row>
    <row r="189" spans="14:50" x14ac:dyDescent="0.3">
      <c r="N189" s="10">
        <v>71</v>
      </c>
      <c r="O189" s="50">
        <f t="shared" si="171"/>
        <v>512.86138399136519</v>
      </c>
      <c r="P189" s="48" t="str">
        <f t="shared" si="136"/>
        <v>51201.9230769231</v>
      </c>
      <c r="Q189" s="17" t="str">
        <f t="shared" si="137"/>
        <v>1+150.58537621942i</v>
      </c>
      <c r="R189" s="17">
        <f t="shared" si="146"/>
        <v>150.5886965583548</v>
      </c>
      <c r="S189" s="17">
        <f t="shared" si="147"/>
        <v>1.5641556733288287</v>
      </c>
      <c r="T189" s="17" t="str">
        <f t="shared" si="138"/>
        <v>1+9.667209337543E-09i</v>
      </c>
      <c r="U189" s="17">
        <f t="shared" si="148"/>
        <v>1</v>
      </c>
      <c r="V189" s="17">
        <f t="shared" si="149"/>
        <v>9.6672093375430003E-9</v>
      </c>
      <c r="W189" s="31" t="str">
        <f t="shared" si="139"/>
        <v>1-0.00522029304227321i</v>
      </c>
      <c r="X189" s="17">
        <f t="shared" si="150"/>
        <v>1.0000136256368946</v>
      </c>
      <c r="Y189" s="17">
        <f t="shared" si="151"/>
        <v>-5.2202456228471758E-3</v>
      </c>
      <c r="Z189" s="31" t="str">
        <f t="shared" si="140"/>
        <v>0.999894789280324+0.318561102660653i</v>
      </c>
      <c r="AA189" s="17">
        <f t="shared" si="152"/>
        <v>1.049414487110939</v>
      </c>
      <c r="AB189" s="17">
        <f t="shared" si="153"/>
        <v>0.3084275902596611</v>
      </c>
      <c r="AC189" s="66" t="str">
        <f t="shared" si="154"/>
        <v>-97.9168493447837-308.85601428612i</v>
      </c>
      <c r="AD189" s="64">
        <f t="shared" si="155"/>
        <v>50.211055215665226</v>
      </c>
      <c r="AE189" s="61">
        <f t="shared" si="156"/>
        <v>-107.59021527877469</v>
      </c>
      <c r="AF189" s="31" t="str">
        <f t="shared" si="141"/>
        <v>-0.332666666666667</v>
      </c>
      <c r="AG189" s="31" t="str">
        <f t="shared" si="157"/>
        <v>3222.40311251433i</v>
      </c>
      <c r="AH189" s="31">
        <f t="shared" si="158"/>
        <v>3222.4031125143301</v>
      </c>
      <c r="AI189" s="31">
        <f t="shared" si="159"/>
        <v>1.5707963267948966</v>
      </c>
      <c r="AJ189" s="31" t="str">
        <f t="shared" si="142"/>
        <v>0.44598792257143+26.5734409280467i</v>
      </c>
      <c r="AK189" s="31">
        <f t="shared" si="160"/>
        <v>26.577183221392499</v>
      </c>
      <c r="AL189" s="31">
        <f t="shared" si="161"/>
        <v>1.5540146816898119</v>
      </c>
      <c r="AM189" s="31" t="str">
        <f t="shared" si="143"/>
        <v>1+96682.5339615146i</v>
      </c>
      <c r="AN189" s="31">
        <f t="shared" si="162"/>
        <v>96682.533966686155</v>
      </c>
      <c r="AO189" s="31">
        <f t="shared" si="163"/>
        <v>1.5707859836650779</v>
      </c>
      <c r="AP189" s="31" t="str">
        <f t="shared" si="144"/>
        <v>1+10.4405860845464i</v>
      </c>
      <c r="AQ189" s="31">
        <f t="shared" si="164"/>
        <v>10.488366783671513</v>
      </c>
      <c r="AR189" s="31">
        <f t="shared" si="165"/>
        <v>1.475307551163793</v>
      </c>
      <c r="AS189" s="58" t="str">
        <f t="shared" si="166"/>
        <v>-3.9267154096466+0.309741145462096i</v>
      </c>
      <c r="AT189" s="49">
        <f t="shared" si="167"/>
        <v>11.907527172436218</v>
      </c>
      <c r="AU189" s="61">
        <f t="shared" si="168"/>
        <v>175.48982098558824</v>
      </c>
      <c r="AV189" s="58" t="str">
        <f t="shared" si="145"/>
        <v>480.157016834047+1182.46079358325i</v>
      </c>
      <c r="AW189" s="64">
        <f t="shared" si="169"/>
        <v>62.11858238810148</v>
      </c>
      <c r="AX189" s="61">
        <f t="shared" si="170"/>
        <v>67.899605706813659</v>
      </c>
    </row>
    <row r="190" spans="14:50" x14ac:dyDescent="0.3">
      <c r="N190" s="10">
        <v>72</v>
      </c>
      <c r="O190" s="50">
        <f t="shared" si="171"/>
        <v>524.80746024977248</v>
      </c>
      <c r="P190" s="48" t="str">
        <f t="shared" si="136"/>
        <v>51201.9230769231</v>
      </c>
      <c r="Q190" s="17" t="str">
        <f t="shared" si="137"/>
        <v>1+154.092960225293i</v>
      </c>
      <c r="R190" s="17">
        <f t="shared" si="146"/>
        <v>154.09620498569632</v>
      </c>
      <c r="S190" s="17">
        <f t="shared" si="147"/>
        <v>1.5643068287630788</v>
      </c>
      <c r="T190" s="17" t="str">
        <f t="shared" si="138"/>
        <v>1+9.89238757001884E-09i</v>
      </c>
      <c r="U190" s="17">
        <f t="shared" si="148"/>
        <v>1</v>
      </c>
      <c r="V190" s="17">
        <f t="shared" si="149"/>
        <v>9.89238757001884E-9</v>
      </c>
      <c r="W190" s="31" t="str">
        <f t="shared" si="139"/>
        <v>1-0.00534188928781017i</v>
      </c>
      <c r="X190" s="17">
        <f t="shared" si="150"/>
        <v>1.0000142677887967</v>
      </c>
      <c r="Y190" s="17">
        <f t="shared" si="151"/>
        <v>-5.3418384770188834E-3</v>
      </c>
      <c r="Z190" s="31" t="str">
        <f t="shared" si="140"/>
        <v>0.999889830851866+0.325981343965876i</v>
      </c>
      <c r="AA190" s="17">
        <f t="shared" si="152"/>
        <v>1.0516860322618971</v>
      </c>
      <c r="AB190" s="17">
        <f t="shared" si="153"/>
        <v>0.31515170157358691</v>
      </c>
      <c r="AC190" s="66" t="str">
        <f t="shared" si="154"/>
        <v>-97.5863874741508-300.498732736492i</v>
      </c>
      <c r="AD190" s="64">
        <f t="shared" si="155"/>
        <v>49.992288399699859</v>
      </c>
      <c r="AE190" s="61">
        <f t="shared" si="156"/>
        <v>-107.99110579093308</v>
      </c>
      <c r="AF190" s="31" t="str">
        <f t="shared" si="141"/>
        <v>-0.332666666666667</v>
      </c>
      <c r="AG190" s="31" t="str">
        <f t="shared" si="157"/>
        <v>3297.46252333961i</v>
      </c>
      <c r="AH190" s="31">
        <f t="shared" si="158"/>
        <v>3297.46252333961</v>
      </c>
      <c r="AI190" s="31">
        <f t="shared" si="159"/>
        <v>1.5707963267948966</v>
      </c>
      <c r="AJ190" s="31" t="str">
        <f t="shared" si="142"/>
        <v>0.419878137759556+27.1924158824568i</v>
      </c>
      <c r="AK190" s="31">
        <f t="shared" si="160"/>
        <v>27.195657358759636</v>
      </c>
      <c r="AL190" s="31">
        <f t="shared" si="161"/>
        <v>1.555356552168107</v>
      </c>
      <c r="AM190" s="31" t="str">
        <f t="shared" si="143"/>
        <v>1+98934.5594787641i</v>
      </c>
      <c r="AN190" s="31">
        <f t="shared" si="162"/>
        <v>98934.559483817953</v>
      </c>
      <c r="AO190" s="31">
        <f t="shared" si="163"/>
        <v>1.5707862191034565</v>
      </c>
      <c r="AP190" s="31" t="str">
        <f t="shared" si="144"/>
        <v>1+10.6837785756203i</v>
      </c>
      <c r="AQ190" s="31">
        <f t="shared" si="164"/>
        <v>10.730476441094465</v>
      </c>
      <c r="AR190" s="31">
        <f t="shared" si="165"/>
        <v>1.4774683962230906</v>
      </c>
      <c r="AS190" s="58" t="str">
        <f t="shared" si="166"/>
        <v>-3.92624930573354+0.306468151603452i</v>
      </c>
      <c r="AT190" s="49">
        <f t="shared" si="167"/>
        <v>11.905937743227913</v>
      </c>
      <c r="AU190" s="61">
        <f t="shared" si="168"/>
        <v>175.53675826223363</v>
      </c>
      <c r="AV190" s="58" t="str">
        <f t="shared" si="145"/>
        <v>475.241777250361+1149.9258209896i</v>
      </c>
      <c r="AW190" s="64">
        <f t="shared" si="169"/>
        <v>61.898226142927768</v>
      </c>
      <c r="AX190" s="61">
        <f t="shared" si="170"/>
        <v>67.545652471300571</v>
      </c>
    </row>
    <row r="191" spans="14:50" x14ac:dyDescent="0.3">
      <c r="N191" s="10">
        <v>73</v>
      </c>
      <c r="O191" s="50">
        <f t="shared" si="171"/>
        <v>537.03179637025301</v>
      </c>
      <c r="P191" s="48" t="str">
        <f t="shared" si="136"/>
        <v>51201.9230769231</v>
      </c>
      <c r="Q191" s="17" t="str">
        <f t="shared" si="137"/>
        <v>1+157.682246358339i</v>
      </c>
      <c r="R191" s="17">
        <f t="shared" si="146"/>
        <v>157.68541726048073</v>
      </c>
      <c r="S191" s="17">
        <f t="shared" si="147"/>
        <v>1.5644545437661281</v>
      </c>
      <c r="T191" s="17" t="str">
        <f t="shared" si="138"/>
        <v>1+1.01228108773255E-08i</v>
      </c>
      <c r="U191" s="17">
        <f t="shared" si="148"/>
        <v>1</v>
      </c>
      <c r="V191" s="17">
        <f t="shared" si="149"/>
        <v>1.01228108773255E-8</v>
      </c>
      <c r="W191" s="31" t="str">
        <f t="shared" si="139"/>
        <v>1-0.00546631787375576i</v>
      </c>
      <c r="X191" s="17">
        <f t="shared" si="150"/>
        <v>1.0000149402039435</v>
      </c>
      <c r="Y191" s="17">
        <f t="shared" si="151"/>
        <v>-5.466263429055913E-3</v>
      </c>
      <c r="Z191" s="31" t="str">
        <f t="shared" si="140"/>
        <v>0.999884638739875+0.333574424894543i</v>
      </c>
      <c r="AA191" s="17">
        <f t="shared" si="152"/>
        <v>1.0540593852965283</v>
      </c>
      <c r="AB191" s="17">
        <f t="shared" si="153"/>
        <v>0.32200215309923147</v>
      </c>
      <c r="AC191" s="66" t="str">
        <f t="shared" si="154"/>
        <v>-97.2349497783371-292.312666135035i</v>
      </c>
      <c r="AD191" s="64">
        <f t="shared" si="155"/>
        <v>49.772723000188293</v>
      </c>
      <c r="AE191" s="61">
        <f t="shared" si="156"/>
        <v>-108.39920020877254</v>
      </c>
      <c r="AF191" s="31" t="str">
        <f t="shared" si="141"/>
        <v>-0.332666666666667</v>
      </c>
      <c r="AG191" s="31" t="str">
        <f t="shared" si="157"/>
        <v>3374.27029244183i</v>
      </c>
      <c r="AH191" s="31">
        <f t="shared" si="158"/>
        <v>3374.27029244183</v>
      </c>
      <c r="AI191" s="31">
        <f t="shared" si="159"/>
        <v>1.5707963267948966</v>
      </c>
      <c r="AJ191" s="31" t="str">
        <f t="shared" si="142"/>
        <v>0.392537836699579+27.8258086157019i</v>
      </c>
      <c r="AK191" s="31">
        <f t="shared" si="160"/>
        <v>27.828577237633095</v>
      </c>
      <c r="AL191" s="31">
        <f t="shared" si="161"/>
        <v>1.55669029285987</v>
      </c>
      <c r="AM191" s="31" t="str">
        <f t="shared" si="143"/>
        <v>1+101239.041409003i</v>
      </c>
      <c r="AN191" s="31">
        <f t="shared" si="162"/>
        <v>101239.0414139418</v>
      </c>
      <c r="AO191" s="31">
        <f t="shared" si="163"/>
        <v>1.5707864491826036</v>
      </c>
      <c r="AP191" s="31" t="str">
        <f t="shared" si="144"/>
        <v>1+10.9326357475115i</v>
      </c>
      <c r="AQ191" s="31">
        <f t="shared" si="164"/>
        <v>10.97827510985976</v>
      </c>
      <c r="AR191" s="31">
        <f t="shared" si="165"/>
        <v>1.4795808993924056</v>
      </c>
      <c r="AS191" s="58" t="str">
        <f t="shared" si="166"/>
        <v>-3.92579673436629+0.303356212901083i</v>
      </c>
      <c r="AT191" s="49">
        <f t="shared" si="167"/>
        <v>11.904410983413543</v>
      </c>
      <c r="AU191" s="61">
        <f t="shared" si="168"/>
        <v>175.58139124800459</v>
      </c>
      <c r="AV191" s="58" t="str">
        <f t="shared" si="145"/>
        <v>470.399511687809+1118.06328400044i</v>
      </c>
      <c r="AW191" s="64">
        <f t="shared" si="169"/>
        <v>61.677133983601834</v>
      </c>
      <c r="AX191" s="61">
        <f t="shared" si="170"/>
        <v>67.182191039232023</v>
      </c>
    </row>
    <row r="192" spans="14:50" x14ac:dyDescent="0.3">
      <c r="N192" s="10">
        <v>74</v>
      </c>
      <c r="O192" s="50">
        <f t="shared" si="171"/>
        <v>549.54087385762534</v>
      </c>
      <c r="P192" s="48" t="str">
        <f t="shared" si="136"/>
        <v>51201.9230769231</v>
      </c>
      <c r="Q192" s="17" t="str">
        <f t="shared" si="137"/>
        <v>1+161.355137705576i</v>
      </c>
      <c r="R192" s="17">
        <f t="shared" si="146"/>
        <v>161.35823643057515</v>
      </c>
      <c r="S192" s="17">
        <f t="shared" si="147"/>
        <v>1.5645988966326272</v>
      </c>
      <c r="T192" s="17" t="str">
        <f t="shared" si="138"/>
        <v>1+1.03586014329506E-08i</v>
      </c>
      <c r="U192" s="17">
        <f t="shared" si="148"/>
        <v>1</v>
      </c>
      <c r="V192" s="17">
        <f t="shared" si="149"/>
        <v>1.03586014329506E-8</v>
      </c>
      <c r="W192" s="31" t="str">
        <f t="shared" si="139"/>
        <v>1-0.00559364477379331i</v>
      </c>
      <c r="X192" s="17">
        <f t="shared" si="150"/>
        <v>1.0000156443085555</v>
      </c>
      <c r="Y192" s="17">
        <f t="shared" si="151"/>
        <v>-5.5935864352956478E-3</v>
      </c>
      <c r="Z192" s="31" t="str">
        <f t="shared" si="140"/>
        <v>0.999879201931184+0.341344371398669i</v>
      </c>
      <c r="AA192" s="17">
        <f t="shared" si="152"/>
        <v>1.056538876871123</v>
      </c>
      <c r="AB192" s="17">
        <f t="shared" si="153"/>
        <v>0.32898001316841641</v>
      </c>
      <c r="AC192" s="66" t="str">
        <f t="shared" si="154"/>
        <v>-96.8622953134497-284.294160417087i</v>
      </c>
      <c r="AD192" s="64">
        <f t="shared" si="155"/>
        <v>49.552328924500777</v>
      </c>
      <c r="AE192" s="61">
        <f t="shared" si="156"/>
        <v>-108.81456800816333</v>
      </c>
      <c r="AF192" s="31" t="str">
        <f t="shared" si="141"/>
        <v>-0.332666666666667</v>
      </c>
      <c r="AG192" s="31" t="str">
        <f t="shared" si="157"/>
        <v>3452.86714431686i</v>
      </c>
      <c r="AH192" s="31">
        <f t="shared" si="158"/>
        <v>3452.86714431686</v>
      </c>
      <c r="AI192" s="31">
        <f t="shared" si="159"/>
        <v>1.5707963267948966</v>
      </c>
      <c r="AJ192" s="31" t="str">
        <f t="shared" si="142"/>
        <v>0.36390902694737+28.4739549609932i</v>
      </c>
      <c r="AK192" s="31">
        <f t="shared" si="160"/>
        <v>28.4762803206557</v>
      </c>
      <c r="AL192" s="31">
        <f t="shared" si="161"/>
        <v>1.5580166052610542</v>
      </c>
      <c r="AM192" s="31" t="str">
        <f t="shared" si="143"/>
        <v>1+103597.201619054i</v>
      </c>
      <c r="AN192" s="31">
        <f t="shared" si="162"/>
        <v>103597.20162388039</v>
      </c>
      <c r="AO192" s="31">
        <f t="shared" si="163"/>
        <v>1.5707866740245096</v>
      </c>
      <c r="AP192" s="31" t="str">
        <f t="shared" si="144"/>
        <v>1+11.1872895475866i</v>
      </c>
      <c r="AQ192" s="31">
        <f t="shared" si="164"/>
        <v>11.231894204520465</v>
      </c>
      <c r="AR192" s="31">
        <f t="shared" si="165"/>
        <v>1.4816461052880072</v>
      </c>
      <c r="AS192" s="58" t="str">
        <f t="shared" si="166"/>
        <v>-3.92535674227618+0.300403752805497i</v>
      </c>
      <c r="AT192" s="49">
        <f t="shared" si="167"/>
        <v>11.902943743867906</v>
      </c>
      <c r="AU192" s="61">
        <f t="shared" si="168"/>
        <v>175.62373960923665</v>
      </c>
      <c r="AV192" s="58" t="str">
        <f t="shared" si="145"/>
        <v>465.622096670977+1086.85820236544i</v>
      </c>
      <c r="AW192" s="64">
        <f t="shared" si="169"/>
        <v>61.455272668368657</v>
      </c>
      <c r="AX192" s="61">
        <f t="shared" si="170"/>
        <v>66.809171601073245</v>
      </c>
    </row>
    <row r="193" spans="14:50" x14ac:dyDescent="0.3">
      <c r="N193" s="10">
        <v>75</v>
      </c>
      <c r="O193" s="50">
        <f t="shared" si="171"/>
        <v>562.34132519034927</v>
      </c>
      <c r="P193" s="48" t="str">
        <f t="shared" si="136"/>
        <v>51201.9230769231</v>
      </c>
      <c r="Q193" s="17" t="str">
        <f t="shared" si="137"/>
        <v>1+165.113581682612i</v>
      </c>
      <c r="R193" s="17">
        <f t="shared" si="146"/>
        <v>165.11660987332735</v>
      </c>
      <c r="S193" s="17">
        <f t="shared" si="147"/>
        <v>1.5647399638762984</v>
      </c>
      <c r="T193" s="17" t="str">
        <f t="shared" si="138"/>
        <v>1+1.05998842561677E-08i</v>
      </c>
      <c r="U193" s="17">
        <f t="shared" si="148"/>
        <v>1</v>
      </c>
      <c r="V193" s="17">
        <f t="shared" si="149"/>
        <v>1.0599884256167699E-8</v>
      </c>
      <c r="W193" s="31" t="str">
        <f t="shared" si="139"/>
        <v>1-0.00572393749833056i</v>
      </c>
      <c r="X193" s="17">
        <f t="shared" si="150"/>
        <v>1.0000163815960641</v>
      </c>
      <c r="Y193" s="17">
        <f t="shared" si="151"/>
        <v>-5.7238749875593827E-3</v>
      </c>
      <c r="Z193" s="31" t="str">
        <f t="shared" si="140"/>
        <v>0.999873508893593+0.349295303206737i</v>
      </c>
      <c r="AA193" s="17">
        <f t="shared" si="152"/>
        <v>1.059129001882902</v>
      </c>
      <c r="AB193" s="17">
        <f t="shared" si="153"/>
        <v>0.33608627200375657</v>
      </c>
      <c r="AC193" s="66" t="str">
        <f t="shared" si="154"/>
        <v>-96.4681767127606-276.439681427324i</v>
      </c>
      <c r="AD193" s="64">
        <f t="shared" si="155"/>
        <v>49.331075271521684</v>
      </c>
      <c r="AE193" s="61">
        <f t="shared" si="156"/>
        <v>-109.23727417558482</v>
      </c>
      <c r="AF193" s="31" t="str">
        <f t="shared" si="141"/>
        <v>-0.332666666666667</v>
      </c>
      <c r="AG193" s="31" t="str">
        <f t="shared" si="157"/>
        <v>3533.2947520559i</v>
      </c>
      <c r="AH193" s="31">
        <f t="shared" si="158"/>
        <v>3533.2947520559001</v>
      </c>
      <c r="AI193" s="31">
        <f t="shared" si="159"/>
        <v>1.5707963267948966</v>
      </c>
      <c r="AJ193" s="31" t="str">
        <f t="shared" si="142"/>
        <v>0.333930982959116+29.1371985741022i</v>
      </c>
      <c r="AK193" s="31">
        <f t="shared" si="160"/>
        <v>29.139112042889078</v>
      </c>
      <c r="AL193" s="31">
        <f t="shared" si="161"/>
        <v>1.5593361871708951</v>
      </c>
      <c r="AM193" s="31" t="str">
        <f t="shared" si="143"/>
        <v>1+106010.290436674i</v>
      </c>
      <c r="AN193" s="31">
        <f t="shared" si="162"/>
        <v>106010.29044139051</v>
      </c>
      <c r="AO193" s="31">
        <f t="shared" si="163"/>
        <v>1.5707868937483891</v>
      </c>
      <c r="AP193" s="31" t="str">
        <f t="shared" si="144"/>
        <v>1+11.4478749966611i</v>
      </c>
      <c r="AQ193" s="31">
        <f t="shared" si="164"/>
        <v>11.491468223824944</v>
      </c>
      <c r="AR193" s="31">
        <f t="shared" si="165"/>
        <v>1.4836650384043475</v>
      </c>
      <c r="AS193" s="58" t="str">
        <f t="shared" si="166"/>
        <v>-3.92492840238117+0.297609272850828i</v>
      </c>
      <c r="AT193" s="49">
        <f t="shared" si="167"/>
        <v>11.901532993991284</v>
      </c>
      <c r="AU193" s="61">
        <f t="shared" si="168"/>
        <v>175.66382207101742</v>
      </c>
      <c r="AV193" s="58" t="str">
        <f t="shared" si="145"/>
        <v>460.90169928254+1056.29613325458i</v>
      </c>
      <c r="AW193" s="64">
        <f t="shared" si="169"/>
        <v>61.232608265512994</v>
      </c>
      <c r="AX193" s="61">
        <f t="shared" si="170"/>
        <v>66.426547895432662</v>
      </c>
    </row>
    <row r="194" spans="14:50" x14ac:dyDescent="0.3">
      <c r="N194" s="10">
        <v>76</v>
      </c>
      <c r="O194" s="50">
        <f t="shared" si="171"/>
        <v>575.43993733715706</v>
      </c>
      <c r="P194" s="48" t="str">
        <f t="shared" si="136"/>
        <v>51201.9230769231</v>
      </c>
      <c r="Q194" s="17" t="str">
        <f t="shared" si="137"/>
        <v>1+168.959571066193i</v>
      </c>
      <c r="R194" s="17">
        <f t="shared" si="146"/>
        <v>168.96253032809349</v>
      </c>
      <c r="S194" s="17">
        <f t="shared" si="147"/>
        <v>1.5648778202703912</v>
      </c>
      <c r="T194" s="17" t="str">
        <f t="shared" si="138"/>
        <v>1+1.08467872783235E-08i</v>
      </c>
      <c r="U194" s="17">
        <f t="shared" si="148"/>
        <v>1</v>
      </c>
      <c r="V194" s="17">
        <f t="shared" si="149"/>
        <v>1.08467872783235E-8</v>
      </c>
      <c r="W194" s="31" t="str">
        <f t="shared" si="139"/>
        <v>1-0.00585726513029469i</v>
      </c>
      <c r="X194" s="17">
        <f t="shared" si="150"/>
        <v>1.0000171536302798</v>
      </c>
      <c r="Y194" s="17">
        <f t="shared" si="151"/>
        <v>-5.8571981488586417E-3</v>
      </c>
      <c r="Z194" s="31" t="str">
        <f t="shared" si="140"/>
        <v>0.999867547551407+0.357431436008035i</v>
      </c>
      <c r="AA194" s="17">
        <f t="shared" si="152"/>
        <v>1.0618344240479451</v>
      </c>
      <c r="AB194" s="17">
        <f t="shared" si="153"/>
        <v>0.34332183563768487</v>
      </c>
      <c r="AC194" s="66" t="str">
        <f t="shared" si="154"/>
        <v>-96.0523421564704-268.745813693164i</v>
      </c>
      <c r="AD194" s="64">
        <f t="shared" si="155"/>
        <v>49.108930338280643</v>
      </c>
      <c r="AE194" s="61">
        <f t="shared" si="156"/>
        <v>-109.66737886407498</v>
      </c>
      <c r="AF194" s="31" t="str">
        <f t="shared" si="141"/>
        <v>-0.332666666666667</v>
      </c>
      <c r="AG194" s="31" t="str">
        <f t="shared" si="157"/>
        <v>3615.59575944117i</v>
      </c>
      <c r="AH194" s="31">
        <f t="shared" si="158"/>
        <v>3615.5957594411698</v>
      </c>
      <c r="AI194" s="31">
        <f t="shared" si="159"/>
        <v>1.5707963267948966</v>
      </c>
      <c r="AJ194" s="31" t="str">
        <f t="shared" si="142"/>
        <v>0.302540117284289+29.8158911155715i</v>
      </c>
      <c r="AK194" s="31">
        <f t="shared" si="160"/>
        <v>29.817426004572923</v>
      </c>
      <c r="AL194" s="31">
        <f t="shared" si="161"/>
        <v>1.5606497330361297</v>
      </c>
      <c r="AM194" s="31" t="str">
        <f t="shared" si="143"/>
        <v>1+108479.587313496i</v>
      </c>
      <c r="AN194" s="31">
        <f t="shared" si="162"/>
        <v>108479.58731810516</v>
      </c>
      <c r="AO194" s="31">
        <f t="shared" si="163"/>
        <v>1.5707871084707423</v>
      </c>
      <c r="AP194" s="31" t="str">
        <f t="shared" si="144"/>
        <v>1+11.7145302605894i</v>
      </c>
      <c r="AQ194" s="31">
        <f t="shared" si="164"/>
        <v>11.757134822152238</v>
      </c>
      <c r="AR194" s="31">
        <f t="shared" si="165"/>
        <v>1.4856387033351699</v>
      </c>
      <c r="AS194" s="58" t="str">
        <f t="shared" si="166"/>
        <v>-3.92451081187173+0.294971352176013i</v>
      </c>
      <c r="AT194" s="49">
        <f t="shared" si="167"/>
        <v>11.900175815955031</v>
      </c>
      <c r="AU194" s="61">
        <f t="shared" si="168"/>
        <v>175.70165641013631</v>
      </c>
      <c r="AV194" s="58" t="str">
        <f t="shared" si="145"/>
        <v>456.230771355386+1026.36316223852i</v>
      </c>
      <c r="AW194" s="64">
        <f t="shared" si="169"/>
        <v>61.009106154235667</v>
      </c>
      <c r="AX194" s="61">
        <f t="shared" si="170"/>
        <v>66.034277546061332</v>
      </c>
    </row>
    <row r="195" spans="14:50" x14ac:dyDescent="0.3">
      <c r="N195" s="10">
        <v>77</v>
      </c>
      <c r="O195" s="50">
        <f t="shared" si="171"/>
        <v>588.84365535558959</v>
      </c>
      <c r="P195" s="48" t="str">
        <f t="shared" si="136"/>
        <v>51201.9230769231</v>
      </c>
      <c r="Q195" s="17" t="str">
        <f t="shared" si="137"/>
        <v>1+172.895145050798i</v>
      </c>
      <c r="R195" s="17">
        <f t="shared" si="146"/>
        <v>172.89803695281356</v>
      </c>
      <c r="S195" s="17">
        <f t="shared" si="147"/>
        <v>1.5650125388872191</v>
      </c>
      <c r="T195" s="17" t="str">
        <f t="shared" si="138"/>
        <v>1+1.10994414106685E-08i</v>
      </c>
      <c r="U195" s="17">
        <f t="shared" si="148"/>
        <v>1</v>
      </c>
      <c r="V195" s="17">
        <f t="shared" si="149"/>
        <v>1.10994414106685E-8</v>
      </c>
      <c r="W195" s="31" t="str">
        <f t="shared" si="139"/>
        <v>1-0.00599369836176098i</v>
      </c>
      <c r="X195" s="17">
        <f t="shared" si="150"/>
        <v>1.0000179620487084</v>
      </c>
      <c r="Y195" s="17">
        <f t="shared" si="151"/>
        <v>-5.9936265899287865E-3</v>
      </c>
      <c r="Z195" s="31" t="str">
        <f t="shared" si="140"/>
        <v>0.999861305259819+0.365757083687869i</v>
      </c>
      <c r="AA195" s="17">
        <f t="shared" si="152"/>
        <v>1.0646599804743877</v>
      </c>
      <c r="AB195" s="17">
        <f t="shared" si="153"/>
        <v>0.35068751966352757</v>
      </c>
      <c r="AC195" s="66" t="str">
        <f t="shared" si="154"/>
        <v>-95.6145374363191-261.209259180501i</v>
      </c>
      <c r="AD195" s="64">
        <f t="shared" si="155"/>
        <v>48.885861629499743</v>
      </c>
      <c r="AE195" s="61">
        <f t="shared" si="156"/>
        <v>-110.10493703955169</v>
      </c>
      <c r="AF195" s="31" t="str">
        <f t="shared" si="141"/>
        <v>-0.332666666666667</v>
      </c>
      <c r="AG195" s="31" t="str">
        <f t="shared" si="157"/>
        <v>3699.81380355616i</v>
      </c>
      <c r="AH195" s="31">
        <f t="shared" si="158"/>
        <v>3699.8138035561601</v>
      </c>
      <c r="AI195" s="31">
        <f t="shared" si="159"/>
        <v>1.5707963267948966</v>
      </c>
      <c r="AJ195" s="31" t="str">
        <f t="shared" si="142"/>
        <v>0.269669845688149+30.5103924371704i</v>
      </c>
      <c r="AK195" s="31">
        <f t="shared" si="160"/>
        <v>30.511584168899166</v>
      </c>
      <c r="AL195" s="31">
        <f t="shared" si="161"/>
        <v>1.5619579342944585</v>
      </c>
      <c r="AM195" s="31" t="str">
        <f t="shared" si="143"/>
        <v>1+111006.401503408i</v>
      </c>
      <c r="AN195" s="31">
        <f t="shared" si="162"/>
        <v>111006.40150791223</v>
      </c>
      <c r="AO195" s="31">
        <f t="shared" si="163"/>
        <v>1.5707873183054182</v>
      </c>
      <c r="AP195" s="31" t="str">
        <f t="shared" si="144"/>
        <v>1+11.987396723522i</v>
      </c>
      <c r="AQ195" s="31">
        <f t="shared" si="164"/>
        <v>12.029034882612402</v>
      </c>
      <c r="AR195" s="31">
        <f t="shared" si="165"/>
        <v>1.487568085004632</v>
      </c>
      <c r="AS195" s="58" t="str">
        <f t="shared" si="166"/>
        <v>-3.92410309034426+0.292488647058191i</v>
      </c>
      <c r="AT195" s="49">
        <f t="shared" si="167"/>
        <v>11.898869399128424</v>
      </c>
      <c r="AU195" s="61">
        <f t="shared" si="168"/>
        <v>175.73725944865177</v>
      </c>
      <c r="AV195" s="58" t="str">
        <f t="shared" si="145"/>
        <v>451.602044652474+997.045894482895i</v>
      </c>
      <c r="AW195" s="64">
        <f t="shared" si="169"/>
        <v>60.784731028628165</v>
      </c>
      <c r="AX195" s="61">
        <f t="shared" si="170"/>
        <v>65.632322409100084</v>
      </c>
    </row>
    <row r="196" spans="14:50" x14ac:dyDescent="0.3">
      <c r="N196" s="10">
        <v>78</v>
      </c>
      <c r="O196" s="50">
        <f t="shared" si="171"/>
        <v>602.55958607435832</v>
      </c>
      <c r="P196" s="48" t="str">
        <f t="shared" si="136"/>
        <v>51201.9230769231</v>
      </c>
      <c r="Q196" s="17" t="str">
        <f t="shared" si="137"/>
        <v>1+176.922390329846i</v>
      </c>
      <c r="R196" s="17">
        <f t="shared" si="146"/>
        <v>176.92521640519865</v>
      </c>
      <c r="S196" s="17">
        <f t="shared" si="147"/>
        <v>1.5651441911368049</v>
      </c>
      <c r="T196" s="17" t="str">
        <f t="shared" si="138"/>
        <v>1+1.13579806137679E-08i</v>
      </c>
      <c r="U196" s="17">
        <f t="shared" si="148"/>
        <v>1</v>
      </c>
      <c r="V196" s="17">
        <f t="shared" si="149"/>
        <v>1.13579806137679E-8</v>
      </c>
      <c r="W196" s="31" t="str">
        <f t="shared" si="139"/>
        <v>1-0.00613330953143464i</v>
      </c>
      <c r="X196" s="17">
        <f t="shared" si="150"/>
        <v>1.0000188085660231</v>
      </c>
      <c r="Y196" s="17">
        <f t="shared" si="151"/>
        <v>-6.1332326266089936E-3</v>
      </c>
      <c r="Z196" s="31" t="str">
        <f t="shared" si="140"/>
        <v>0.999854768778092+0.374276660614842i</v>
      </c>
      <c r="AA196" s="17">
        <f t="shared" si="152"/>
        <v>1.0676106862191337</v>
      </c>
      <c r="AB196" s="17">
        <f t="shared" si="153"/>
        <v>0.35818404283310734</v>
      </c>
      <c r="AC196" s="66" t="str">
        <f t="shared" si="154"/>
        <v>-95.1545081164542-253.826836019466i</v>
      </c>
      <c r="AD196" s="64">
        <f t="shared" si="155"/>
        <v>48.661835870264639</v>
      </c>
      <c r="AE196" s="61">
        <f t="shared" si="156"/>
        <v>-110.54999811833837</v>
      </c>
      <c r="AF196" s="31" t="str">
        <f t="shared" si="141"/>
        <v>-0.332666666666667</v>
      </c>
      <c r="AG196" s="31" t="str">
        <f t="shared" si="157"/>
        <v>3785.99353792262i</v>
      </c>
      <c r="AH196" s="31">
        <f t="shared" si="158"/>
        <v>3785.9935379226199</v>
      </c>
      <c r="AI196" s="31">
        <f t="shared" si="159"/>
        <v>1.5707963267948966</v>
      </c>
      <c r="AJ196" s="31" t="str">
        <f t="shared" si="142"/>
        <v>0.235250445917644+31.2210707726921i</v>
      </c>
      <c r="AK196" s="31">
        <f t="shared" si="160"/>
        <v>31.221957064952758</v>
      </c>
      <c r="AL196" s="31">
        <f t="shared" si="161"/>
        <v>1.5632614797173097</v>
      </c>
      <c r="AM196" s="31" t="str">
        <f t="shared" si="143"/>
        <v>1+113592.072756742i</v>
      </c>
      <c r="AN196" s="31">
        <f t="shared" si="162"/>
        <v>113592.07276114373</v>
      </c>
      <c r="AO196" s="31">
        <f t="shared" si="163"/>
        <v>1.5707875233636737</v>
      </c>
      <c r="AP196" s="31" t="str">
        <f t="shared" si="144"/>
        <v>1+12.2666190628693i</v>
      </c>
      <c r="AQ196" s="31">
        <f t="shared" si="164"/>
        <v>12.307312591851582</v>
      </c>
      <c r="AR196" s="31">
        <f t="shared" si="165"/>
        <v>1.4894541489072979</v>
      </c>
      <c r="AS196" s="58" t="str">
        <f t="shared" si="166"/>
        <v>-3.92370437797927+0.290159890459461i</v>
      </c>
      <c r="AT196" s="49">
        <f t="shared" si="167"/>
        <v>11.897611034681626</v>
      </c>
      <c r="AU196" s="61">
        <f t="shared" si="168"/>
        <v>175.77064704800614</v>
      </c>
      <c r="AV196" s="58" t="str">
        <f t="shared" si="145"/>
        <v>447.008527016075+968.331446086411i</v>
      </c>
      <c r="AW196" s="64">
        <f t="shared" si="169"/>
        <v>60.55944690494627</v>
      </c>
      <c r="AX196" s="61">
        <f t="shared" si="170"/>
        <v>65.220648929667774</v>
      </c>
    </row>
    <row r="197" spans="14:50" x14ac:dyDescent="0.3">
      <c r="N197" s="10">
        <v>79</v>
      </c>
      <c r="O197" s="50">
        <f t="shared" si="171"/>
        <v>616.59500186148273</v>
      </c>
      <c r="P197" s="48" t="str">
        <f t="shared" si="136"/>
        <v>51201.9230769231</v>
      </c>
      <c r="Q197" s="17" t="str">
        <f t="shared" si="137"/>
        <v>1+181.043442202091i</v>
      </c>
      <c r="R197" s="17">
        <f t="shared" si="146"/>
        <v>181.04620394910759</v>
      </c>
      <c r="S197" s="17">
        <f t="shared" si="147"/>
        <v>1.5652728468046484</v>
      </c>
      <c r="T197" s="17" t="str">
        <f t="shared" si="138"/>
        <v>1+1.16225419685293E-08i</v>
      </c>
      <c r="U197" s="17">
        <f t="shared" si="148"/>
        <v>1</v>
      </c>
      <c r="V197" s="17">
        <f t="shared" si="149"/>
        <v>1.16225419685293E-8</v>
      </c>
      <c r="W197" s="31" t="str">
        <f t="shared" si="139"/>
        <v>1-0.00627617266300583i</v>
      </c>
      <c r="X197" s="17">
        <f t="shared" si="150"/>
        <v>1.0000196949777018</v>
      </c>
      <c r="Y197" s="17">
        <f t="shared" si="151"/>
        <v>-6.2760902580881357E-3</v>
      </c>
      <c r="Z197" s="31" t="str">
        <f t="shared" si="140"/>
        <v>0.999847924241472+0.38299468398141i</v>
      </c>
      <c r="AA197" s="17">
        <f t="shared" si="152"/>
        <v>1.0706917388156127</v>
      </c>
      <c r="AB197" s="17">
        <f t="shared" si="153"/>
        <v>0.36581202051778267</v>
      </c>
      <c r="AC197" s="66" t="str">
        <f t="shared" si="154"/>
        <v>-94.6720017909713-246.595477187248i</v>
      </c>
      <c r="AD197" s="64">
        <f t="shared" si="155"/>
        <v>48.436819022025553</v>
      </c>
      <c r="AE197" s="61">
        <f t="shared" si="156"/>
        <v>-111.00260559686487</v>
      </c>
      <c r="AF197" s="31" t="str">
        <f t="shared" si="141"/>
        <v>-0.332666666666667</v>
      </c>
      <c r="AG197" s="31" t="str">
        <f t="shared" si="157"/>
        <v>3874.18065617644i</v>
      </c>
      <c r="AH197" s="31">
        <f t="shared" si="158"/>
        <v>3874.1806561764402</v>
      </c>
      <c r="AI197" s="31">
        <f t="shared" si="159"/>
        <v>1.5707963267948966</v>
      </c>
      <c r="AJ197" s="31" t="str">
        <f t="shared" si="142"/>
        <v>0.199208909811167+31.9483029331973i</v>
      </c>
      <c r="AK197" s="31">
        <f t="shared" si="160"/>
        <v>31.948923995982888</v>
      </c>
      <c r="AL197" s="31">
        <f t="shared" si="161"/>
        <v>1.5645610557519818</v>
      </c>
      <c r="AM197" s="31" t="str">
        <f t="shared" si="143"/>
        <v>1+116237.972030619i</v>
      </c>
      <c r="AN197" s="31">
        <f t="shared" si="162"/>
        <v>116237.97203492052</v>
      </c>
      <c r="AO197" s="31">
        <f t="shared" si="163"/>
        <v>1.5707877237542336</v>
      </c>
      <c r="AP197" s="31" t="str">
        <f t="shared" si="144"/>
        <v>1+12.5523453260117i</v>
      </c>
      <c r="AQ197" s="31">
        <f t="shared" si="164"/>
        <v>12.592115516601957</v>
      </c>
      <c r="AR197" s="31">
        <f t="shared" si="165"/>
        <v>1.4912978413559235</v>
      </c>
      <c r="AS197" s="58" t="str">
        <f t="shared" si="166"/>
        <v>-3.92331383375946+0.287983891587851i</v>
      </c>
      <c r="AT197" s="49">
        <f t="shared" si="167"/>
        <v>11.896398110354749</v>
      </c>
      <c r="AU197" s="61">
        <f t="shared" si="168"/>
        <v>175.80183410362278</v>
      </c>
      <c r="AV197" s="58" t="str">
        <f t="shared" si="145"/>
        <v>442.443499464565+940.20743549107i</v>
      </c>
      <c r="AW197" s="64">
        <f t="shared" si="169"/>
        <v>60.333217132380312</v>
      </c>
      <c r="AX197" s="61">
        <f t="shared" si="170"/>
        <v>64.799228506757927</v>
      </c>
    </row>
    <row r="198" spans="14:50" x14ac:dyDescent="0.3">
      <c r="N198" s="10">
        <v>80</v>
      </c>
      <c r="O198" s="50">
        <f t="shared" si="171"/>
        <v>630.95734448019323</v>
      </c>
      <c r="P198" s="48" t="str">
        <f t="shared" si="136"/>
        <v>51201.9230769231</v>
      </c>
      <c r="Q198" s="17" t="str">
        <f t="shared" si="137"/>
        <v>1+185.260485703786i</v>
      </c>
      <c r="R198" s="17">
        <f t="shared" si="146"/>
        <v>185.26318458669198</v>
      </c>
      <c r="S198" s="17">
        <f t="shared" si="147"/>
        <v>1.5653985740886418</v>
      </c>
      <c r="T198" s="17" t="str">
        <f t="shared" si="138"/>
        <v>1+1.1893265748885E-08i</v>
      </c>
      <c r="U198" s="17">
        <f t="shared" si="148"/>
        <v>1</v>
      </c>
      <c r="V198" s="17">
        <f t="shared" si="149"/>
        <v>1.1893265748885001E-8</v>
      </c>
      <c r="W198" s="31" t="str">
        <f t="shared" si="139"/>
        <v>1-0.0064223635043979i</v>
      </c>
      <c r="X198" s="17">
        <f t="shared" si="150"/>
        <v>1.000020623163834</v>
      </c>
      <c r="Y198" s="17">
        <f t="shared" si="151"/>
        <v>-6.4222752060360917E-3</v>
      </c>
      <c r="Z198" s="31" t="str">
        <f t="shared" si="140"/>
        <v>0.999840757131779+0.391915776198958i</v>
      </c>
      <c r="AA198" s="17">
        <f t="shared" si="152"/>
        <v>1.0739085227594949</v>
      </c>
      <c r="AB198" s="17">
        <f t="shared" si="153"/>
        <v>0.37357195805239085</v>
      </c>
      <c r="AC198" s="66" t="str">
        <f t="shared" si="154"/>
        <v>-94.1667704374603-239.512229134483i</v>
      </c>
      <c r="AD198" s="64">
        <f t="shared" si="155"/>
        <v>48.210776302134228</v>
      </c>
      <c r="AE198" s="61">
        <f t="shared" si="156"/>
        <v>-111.46279667466004</v>
      </c>
      <c r="AF198" s="31" t="str">
        <f t="shared" si="141"/>
        <v>-0.332666666666667</v>
      </c>
      <c r="AG198" s="31" t="str">
        <f t="shared" si="157"/>
        <v>3964.421916295i</v>
      </c>
      <c r="AH198" s="31">
        <f t="shared" si="158"/>
        <v>3964.4219162949998</v>
      </c>
      <c r="AI198" s="31">
        <f t="shared" si="159"/>
        <v>1.5707963267948966</v>
      </c>
      <c r="AJ198" s="31" t="str">
        <f t="shared" si="142"/>
        <v>0.161468788438473+32.6924745068035i</v>
      </c>
      <c r="AK198" s="31">
        <f t="shared" si="160"/>
        <v>32.692873253166916</v>
      </c>
      <c r="AL198" s="31">
        <f t="shared" si="161"/>
        <v>1.5658573468632344</v>
      </c>
      <c r="AM198" s="31" t="str">
        <f t="shared" si="143"/>
        <v>1+118945.502215859i</v>
      </c>
      <c r="AN198" s="31">
        <f t="shared" si="162"/>
        <v>118945.50222006261</v>
      </c>
      <c r="AO198" s="31">
        <f t="shared" si="163"/>
        <v>1.5707879195833472</v>
      </c>
      <c r="AP198" s="31" t="str">
        <f t="shared" si="144"/>
        <v>1+12.8447270087958i</v>
      </c>
      <c r="AQ198" s="31">
        <f t="shared" si="164"/>
        <v>12.883594682016673</v>
      </c>
      <c r="AR198" s="31">
        <f t="shared" si="165"/>
        <v>1.4931000897360351</v>
      </c>
      <c r="AS198" s="58" t="str">
        <f t="shared" si="166"/>
        <v>-3.92293063372596+0.285959535473481i</v>
      </c>
      <c r="AT198" s="49">
        <f t="shared" si="167"/>
        <v>11.895228105389833</v>
      </c>
      <c r="AU198" s="61">
        <f t="shared" si="168"/>
        <v>175.83083453992413</v>
      </c>
      <c r="AV198" s="58" t="str">
        <f t="shared" si="145"/>
        <v>437.900514211668+912.661974892321i</v>
      </c>
      <c r="AW198" s="64">
        <f t="shared" si="169"/>
        <v>60.106004407524061</v>
      </c>
      <c r="AX198" s="61">
        <f t="shared" si="170"/>
        <v>64.368037865264071</v>
      </c>
    </row>
    <row r="199" spans="14:50" x14ac:dyDescent="0.3">
      <c r="N199" s="10">
        <v>81</v>
      </c>
      <c r="O199" s="50">
        <f t="shared" si="171"/>
        <v>645.65422903465594</v>
      </c>
      <c r="P199" s="48" t="str">
        <f t="shared" si="136"/>
        <v>51201.9230769231</v>
      </c>
      <c r="Q199" s="17" t="str">
        <f t="shared" si="137"/>
        <v>1+189.575756767213i</v>
      </c>
      <c r="R199" s="17">
        <f t="shared" si="146"/>
        <v>189.57839421690835</v>
      </c>
      <c r="S199" s="17">
        <f t="shared" si="147"/>
        <v>1.5655214396351465</v>
      </c>
      <c r="T199" s="17" t="str">
        <f t="shared" si="138"/>
        <v>1+1.21702954961667E-08i</v>
      </c>
      <c r="U199" s="17">
        <f t="shared" si="148"/>
        <v>1</v>
      </c>
      <c r="V199" s="17">
        <f t="shared" si="149"/>
        <v>1.21702954961667E-8</v>
      </c>
      <c r="W199" s="31" t="str">
        <f t="shared" si="139"/>
        <v>1-0.00657195956793003i</v>
      </c>
      <c r="X199" s="17">
        <f t="shared" si="150"/>
        <v>1.0000215950931073</v>
      </c>
      <c r="Y199" s="17">
        <f t="shared" si="151"/>
        <v>-6.571864954641079E-3</v>
      </c>
      <c r="Z199" s="31" t="str">
        <f t="shared" si="140"/>
        <v>0.999833252246612+0.401044667348666i</v>
      </c>
      <c r="AA199" s="17">
        <f t="shared" si="152"/>
        <v>1.0772666139386478</v>
      </c>
      <c r="AB199" s="17">
        <f t="shared" si="153"/>
        <v>0.3814642439842405</v>
      </c>
      <c r="AC199" s="66" t="str">
        <f t="shared" si="154"/>
        <v>-93.6385728646826-232.57425034118i</v>
      </c>
      <c r="AD199" s="64">
        <f t="shared" si="155"/>
        <v>47.983672207117785</v>
      </c>
      <c r="AE199" s="61">
        <f t="shared" si="156"/>
        <v>-111.93060187190858</v>
      </c>
      <c r="AF199" s="31" t="str">
        <f t="shared" si="141"/>
        <v>-0.332666666666667</v>
      </c>
      <c r="AG199" s="31" t="str">
        <f t="shared" si="157"/>
        <v>4056.76516538891i</v>
      </c>
      <c r="AH199" s="31">
        <f t="shared" si="158"/>
        <v>4056.7651653889102</v>
      </c>
      <c r="AI199" s="31">
        <f t="shared" si="159"/>
        <v>1.5707963267948966</v>
      </c>
      <c r="AJ199" s="31" t="str">
        <f t="shared" si="142"/>
        <v>0.121950029942217+33.4539800631292i</v>
      </c>
      <c r="AK199" s="31">
        <f t="shared" si="160"/>
        <v>33.454202335043782</v>
      </c>
      <c r="AL199" s="31">
        <f t="shared" si="161"/>
        <v>1.5671510358744036</v>
      </c>
      <c r="AM199" s="31" t="str">
        <f t="shared" si="143"/>
        <v>1+121716.098880803i</v>
      </c>
      <c r="AN199" s="31">
        <f t="shared" si="162"/>
        <v>121716.0988849109</v>
      </c>
      <c r="AO199" s="31">
        <f t="shared" si="163"/>
        <v>1.5707881109548461</v>
      </c>
      <c r="AP199" s="31" t="str">
        <f t="shared" si="144"/>
        <v>1+13.1439191358601i</v>
      </c>
      <c r="AQ199" s="31">
        <f t="shared" si="164"/>
        <v>13.181904651833488</v>
      </c>
      <c r="AR199" s="31">
        <f t="shared" si="165"/>
        <v>1.4948618027663849</v>
      </c>
      <c r="AS199" s="58" t="str">
        <f t="shared" si="166"/>
        <v>-3.92255396926785+0.284085782560511i</v>
      </c>
      <c r="AT199" s="49">
        <f t="shared" si="167"/>
        <v>11.894098585615398</v>
      </c>
      <c r="AU199" s="61">
        <f t="shared" si="168"/>
        <v>175.85766130571309</v>
      </c>
      <c r="AV199" s="58" t="str">
        <f t="shared" si="145"/>
        <v>433.373393578536+885.683661575177i</v>
      </c>
      <c r="AW199" s="64">
        <f t="shared" si="169"/>
        <v>59.87777079273318</v>
      </c>
      <c r="AX199" s="61">
        <f t="shared" si="170"/>
        <v>63.927059433804494</v>
      </c>
    </row>
    <row r="200" spans="14:50" x14ac:dyDescent="0.3">
      <c r="N200" s="10">
        <v>82</v>
      </c>
      <c r="O200" s="50">
        <f t="shared" si="171"/>
        <v>660.69344800759643</v>
      </c>
      <c r="P200" s="48" t="str">
        <f t="shared" si="136"/>
        <v>51201.9230769231</v>
      </c>
      <c r="Q200" s="17" t="str">
        <f t="shared" si="137"/>
        <v>1+193.99154340621i</v>
      </c>
      <c r="R200" s="17">
        <f t="shared" si="146"/>
        <v>193.99412082102759</v>
      </c>
      <c r="S200" s="17">
        <f t="shared" si="147"/>
        <v>1.5656415085742552</v>
      </c>
      <c r="T200" s="17" t="str">
        <f t="shared" si="138"/>
        <v>1+1.24537780952135E-08i</v>
      </c>
      <c r="U200" s="17">
        <f t="shared" si="148"/>
        <v>1</v>
      </c>
      <c r="V200" s="17">
        <f t="shared" si="149"/>
        <v>1.24537780952135E-8</v>
      </c>
      <c r="W200" s="31" t="str">
        <f t="shared" si="139"/>
        <v>1-0.00672504017141526i</v>
      </c>
      <c r="X200" s="17">
        <f t="shared" si="150"/>
        <v>1.0000226128269836</v>
      </c>
      <c r="Y200" s="17">
        <f t="shared" si="151"/>
        <v>-6.7249387915734289E-3</v>
      </c>
      <c r="Z200" s="31" t="str">
        <f t="shared" si="140"/>
        <v>0.999825393667104+0.410386197689457i</v>
      </c>
      <c r="AA200" s="17">
        <f t="shared" si="152"/>
        <v>1.0807717839930822</v>
      </c>
      <c r="AB200" s="17">
        <f t="shared" si="153"/>
        <v>0.38948914325206646</v>
      </c>
      <c r="AC200" s="66" t="str">
        <f t="shared" si="154"/>
        <v>-93.0871772511865-225.778809787786i</v>
      </c>
      <c r="AD200" s="64">
        <f t="shared" si="155"/>
        <v>47.755470539885948</v>
      </c>
      <c r="AE200" s="61">
        <f t="shared" si="156"/>
        <v>-112.40604464300192</v>
      </c>
      <c r="AF200" s="31" t="str">
        <f t="shared" si="141"/>
        <v>-0.332666666666667</v>
      </c>
      <c r="AG200" s="31" t="str">
        <f t="shared" si="157"/>
        <v>4151.25936507115i</v>
      </c>
      <c r="AH200" s="31">
        <f t="shared" si="158"/>
        <v>4151.2593650711497</v>
      </c>
      <c r="AI200" s="31">
        <f t="shared" si="159"/>
        <v>1.5707963267948966</v>
      </c>
      <c r="AJ200" s="31" t="str">
        <f t="shared" si="142"/>
        <v>0.080568809737257+34.2332233625002i</v>
      </c>
      <c r="AK200" s="31">
        <f t="shared" si="160"/>
        <v>34.233318172796686</v>
      </c>
      <c r="AL200" s="31">
        <f t="shared" si="161"/>
        <v>1.56844280430812</v>
      </c>
      <c r="AM200" s="31" t="str">
        <f t="shared" si="143"/>
        <v>1+124551.231032478i</v>
      </c>
      <c r="AN200" s="31">
        <f t="shared" si="162"/>
        <v>124551.23103649242</v>
      </c>
      <c r="AO200" s="31">
        <f t="shared" si="163"/>
        <v>1.5707882979701979</v>
      </c>
      <c r="AP200" s="31" t="str">
        <f t="shared" si="144"/>
        <v>1+13.4500803428305i</v>
      </c>
      <c r="AQ200" s="31">
        <f t="shared" si="164"/>
        <v>13.487203610407734</v>
      </c>
      <c r="AR200" s="31">
        <f t="shared" si="165"/>
        <v>1.4965838707644066</v>
      </c>
      <c r="AS200" s="58" t="str">
        <f t="shared" si="166"/>
        <v>-3.92218304544277+0.282361668315629i</v>
      </c>
      <c r="AT200" s="49">
        <f t="shared" si="167"/>
        <v>11.893007198679165</v>
      </c>
      <c r="AU200" s="61">
        <f t="shared" si="168"/>
        <v>175.88232636986447</v>
      </c>
      <c r="AV200" s="58" t="str">
        <f t="shared" si="145"/>
        <v>428.856229764726+859.261569102465i</v>
      </c>
      <c r="AW200" s="64">
        <f t="shared" si="169"/>
        <v>59.648477738565113</v>
      </c>
      <c r="AX200" s="61">
        <f t="shared" si="170"/>
        <v>63.476281726862538</v>
      </c>
    </row>
    <row r="201" spans="14:50" x14ac:dyDescent="0.3">
      <c r="N201" s="10">
        <v>83</v>
      </c>
      <c r="O201" s="50">
        <f t="shared" si="171"/>
        <v>676.08297539198213</v>
      </c>
      <c r="P201" s="48" t="str">
        <f t="shared" si="136"/>
        <v>51201.9230769231</v>
      </c>
      <c r="Q201" s="17" t="str">
        <f t="shared" si="137"/>
        <v>1+198.510186929302i</v>
      </c>
      <c r="R201" s="17">
        <f t="shared" si="146"/>
        <v>198.51270567574866</v>
      </c>
      <c r="S201" s="17">
        <f t="shared" si="147"/>
        <v>1.5657588445542527</v>
      </c>
      <c r="T201" s="17" t="str">
        <f t="shared" si="138"/>
        <v>1+1.27438638522515E-08i</v>
      </c>
      <c r="U201" s="17">
        <f t="shared" si="148"/>
        <v>1</v>
      </c>
      <c r="V201" s="17">
        <f t="shared" si="149"/>
        <v>1.27438638522515E-8</v>
      </c>
      <c r="W201" s="31" t="str">
        <f t="shared" si="139"/>
        <v>1-0.0068816864802158i</v>
      </c>
      <c r="X201" s="17">
        <f t="shared" si="150"/>
        <v>1.0000236785240697</v>
      </c>
      <c r="Y201" s="17">
        <f t="shared" si="151"/>
        <v>-6.8815778498970345E-3</v>
      </c>
      <c r="Z201" s="31" t="str">
        <f t="shared" si="140"/>
        <v>0.999817164724154+0.419945320224365i</v>
      </c>
      <c r="AA201" s="17">
        <f t="shared" si="152"/>
        <v>1.0844300045901489</v>
      </c>
      <c r="AB201" s="17">
        <f t="shared" si="153"/>
        <v>0.39764679032272904</v>
      </c>
      <c r="AC201" s="66" t="str">
        <f t="shared" si="154"/>
        <v>-92.5123637702107-219.123285326646i</v>
      </c>
      <c r="AD201" s="64">
        <f t="shared" si="155"/>
        <v>47.526134441058041</v>
      </c>
      <c r="AE201" s="61">
        <f t="shared" si="156"/>
        <v>-112.88914098767519</v>
      </c>
      <c r="AF201" s="31" t="str">
        <f t="shared" si="141"/>
        <v>-0.332666666666667</v>
      </c>
      <c r="AG201" s="31" t="str">
        <f t="shared" si="157"/>
        <v>4247.95461741716i</v>
      </c>
      <c r="AH201" s="31">
        <f t="shared" si="158"/>
        <v>4247.9546174171601</v>
      </c>
      <c r="AI201" s="31">
        <f t="shared" si="159"/>
        <v>1.5707963267948966</v>
      </c>
      <c r="AJ201" s="31" t="str">
        <f t="shared" si="142"/>
        <v>0.037237352707461+35.0306175700282i</v>
      </c>
      <c r="AK201" s="31">
        <f t="shared" si="160"/>
        <v>35.03063736157258</v>
      </c>
      <c r="AL201" s="31">
        <f t="shared" si="161"/>
        <v>1.5697333327267078</v>
      </c>
      <c r="AM201" s="31" t="str">
        <f t="shared" si="143"/>
        <v>1+127452.401895475i</v>
      </c>
      <c r="AN201" s="31">
        <f t="shared" si="162"/>
        <v>127452.40189939803</v>
      </c>
      <c r="AO201" s="31">
        <f t="shared" si="163"/>
        <v>1.5707884807285604</v>
      </c>
      <c r="AP201" s="31" t="str">
        <f t="shared" si="144"/>
        <v>1+13.7633729604316i</v>
      </c>
      <c r="AQ201" s="31">
        <f t="shared" si="164"/>
        <v>13.799653446660887</v>
      </c>
      <c r="AR201" s="31">
        <f t="shared" si="165"/>
        <v>1.498267165915891</v>
      </c>
      <c r="AS201" s="58" t="str">
        <f t="shared" si="166"/>
        <v>-3.92181707932431+0.280786302853499i</v>
      </c>
      <c r="AT201" s="49">
        <f t="shared" si="167"/>
        <v>11.891951669419665</v>
      </c>
      <c r="AU201" s="61">
        <f t="shared" si="168"/>
        <v>175.90484071727545</v>
      </c>
      <c r="AV201" s="58" t="str">
        <f t="shared" si="145"/>
        <v>424.343385438657+833.385238280419i</v>
      </c>
      <c r="AW201" s="64">
        <f t="shared" si="169"/>
        <v>59.418086110477702</v>
      </c>
      <c r="AX201" s="61">
        <f t="shared" si="170"/>
        <v>63.015699729600264</v>
      </c>
    </row>
    <row r="202" spans="14:50" x14ac:dyDescent="0.3">
      <c r="N202" s="10">
        <v>84</v>
      </c>
      <c r="O202" s="50">
        <f t="shared" si="171"/>
        <v>691.83097091893671</v>
      </c>
      <c r="P202" s="48" t="str">
        <f t="shared" si="136"/>
        <v>51201.9230769231</v>
      </c>
      <c r="Q202" s="17" t="str">
        <f t="shared" si="137"/>
        <v>1+203.134083181097i</v>
      </c>
      <c r="R202" s="17">
        <f t="shared" si="146"/>
        <v>203.13654459457763</v>
      </c>
      <c r="S202" s="17">
        <f t="shared" si="147"/>
        <v>1.5658735097752978</v>
      </c>
      <c r="T202" s="17" t="str">
        <f t="shared" si="138"/>
        <v>1+1.3040706574589E-08i</v>
      </c>
      <c r="U202" s="17">
        <f t="shared" si="148"/>
        <v>1</v>
      </c>
      <c r="V202" s="17">
        <f t="shared" si="149"/>
        <v>1.3040706574589E-8</v>
      </c>
      <c r="W202" s="31" t="str">
        <f t="shared" si="139"/>
        <v>1-0.00704198155027803i</v>
      </c>
      <c r="X202" s="17">
        <f t="shared" si="150"/>
        <v>1.0000247944446949</v>
      </c>
      <c r="Y202" s="17">
        <f t="shared" si="151"/>
        <v>-7.0418651509502068E-3</v>
      </c>
      <c r="Z202" s="31" t="str">
        <f t="shared" si="140"/>
        <v>0.999808547963071+0.42972710332669i</v>
      </c>
      <c r="AA202" s="17">
        <f t="shared" si="152"/>
        <v>1.0882474515998517</v>
      </c>
      <c r="AB202" s="17">
        <f t="shared" si="153"/>
        <v>0.40593718231634079</v>
      </c>
      <c r="AC202" s="66" t="str">
        <f t="shared" si="154"/>
        <v>-91.9139272947204-212.605161938992i</v>
      </c>
      <c r="AD202" s="64">
        <f t="shared" si="155"/>
        <v>47.29562642458761</v>
      </c>
      <c r="AE202" s="61">
        <f t="shared" si="156"/>
        <v>-113.37989906149301</v>
      </c>
      <c r="AF202" s="31" t="str">
        <f t="shared" si="141"/>
        <v>-0.332666666666667</v>
      </c>
      <c r="AG202" s="31" t="str">
        <f t="shared" si="157"/>
        <v>4346.90219152965i</v>
      </c>
      <c r="AH202" s="31">
        <f t="shared" si="158"/>
        <v>4346.9021915296498</v>
      </c>
      <c r="AI202" s="31">
        <f t="shared" si="159"/>
        <v>1.5707963267948966</v>
      </c>
      <c r="AJ202" s="31" t="str">
        <f t="shared" si="142"/>
        <v>-0.00813625297708009+35.8465854746769i</v>
      </c>
      <c r="AK202" s="31">
        <f t="shared" si="160"/>
        <v>35.846586398036976</v>
      </c>
      <c r="AL202" s="31">
        <f t="shared" si="161"/>
        <v>1.571023301072352</v>
      </c>
      <c r="AM202" s="31" t="str">
        <f t="shared" si="143"/>
        <v>1+130421.14970899i</v>
      </c>
      <c r="AN202" s="31">
        <f t="shared" si="162"/>
        <v>130421.14971282374</v>
      </c>
      <c r="AO202" s="31">
        <f t="shared" si="163"/>
        <v>1.5707886593268348</v>
      </c>
      <c r="AP202" s="31" t="str">
        <f t="shared" si="144"/>
        <v>1+14.0839631005561i</v>
      </c>
      <c r="AQ202" s="31">
        <f t="shared" si="164"/>
        <v>14.119419839987255</v>
      </c>
      <c r="AR202" s="31">
        <f t="shared" si="165"/>
        <v>1.4999125425481288</v>
      </c>
      <c r="AS202" s="58" t="str">
        <f t="shared" si="166"/>
        <v>-3.92145529837433+0.279358870579741i</v>
      </c>
      <c r="AT202" s="49">
        <f t="shared" si="167"/>
        <v>11.890929795372941</v>
      </c>
      <c r="AU202" s="61">
        <f t="shared" si="168"/>
        <v>175.92521434502856</v>
      </c>
      <c r="AV202" s="58" t="str">
        <f t="shared" si="145"/>
        <v>419.829495102974+808.044667827791i</v>
      </c>
      <c r="AW202" s="64">
        <f t="shared" si="169"/>
        <v>59.186556219960551</v>
      </c>
      <c r="AX202" s="61">
        <f t="shared" si="170"/>
        <v>62.545315283535551</v>
      </c>
    </row>
    <row r="203" spans="14:50" x14ac:dyDescent="0.3">
      <c r="N203" s="10">
        <v>85</v>
      </c>
      <c r="O203" s="50">
        <f t="shared" si="171"/>
        <v>707.94578438413873</v>
      </c>
      <c r="P203" s="48" t="str">
        <f t="shared" si="136"/>
        <v>51201.9230769231</v>
      </c>
      <c r="Q203" s="17" t="str">
        <f t="shared" si="137"/>
        <v>1+207.865683812593i</v>
      </c>
      <c r="R203" s="17">
        <f t="shared" si="146"/>
        <v>207.86808919811835</v>
      </c>
      <c r="S203" s="17">
        <f t="shared" si="147"/>
        <v>1.5659855650223407</v>
      </c>
      <c r="T203" s="17" t="str">
        <f t="shared" si="138"/>
        <v>1+1.33444636521665E-08i</v>
      </c>
      <c r="U203" s="17">
        <f t="shared" si="148"/>
        <v>1</v>
      </c>
      <c r="V203" s="17">
        <f t="shared" si="149"/>
        <v>1.33444636521665E-8</v>
      </c>
      <c r="W203" s="31" t="str">
        <f t="shared" si="139"/>
        <v>1-0.00720601037216988i</v>
      </c>
      <c r="X203" s="17">
        <f t="shared" si="150"/>
        <v>1.0000259629557045</v>
      </c>
      <c r="Y203" s="17">
        <f t="shared" si="151"/>
        <v>-7.2058856482178878E-3</v>
      </c>
      <c r="Z203" s="31" t="str">
        <f t="shared" si="140"/>
        <v>0.999799525106549+0.43973673342731i</v>
      </c>
      <c r="AA203" s="17">
        <f t="shared" si="152"/>
        <v>1.0922305091548221</v>
      </c>
      <c r="AB203" s="17">
        <f t="shared" si="153"/>
        <v>0.41436017215341664</v>
      </c>
      <c r="AC203" s="66" t="str">
        <f t="shared" si="154"/>
        <v>-91.2916801747227-206.222029862497i</v>
      </c>
      <c r="AD203" s="64">
        <f t="shared" si="155"/>
        <v>47.063908417845603</v>
      </c>
      <c r="AE203" s="61">
        <f t="shared" si="156"/>
        <v>-113.87831878761001</v>
      </c>
      <c r="AF203" s="31" t="str">
        <f t="shared" si="141"/>
        <v>-0.332666666666667</v>
      </c>
      <c r="AG203" s="31" t="str">
        <f t="shared" si="157"/>
        <v>4448.15455072215i</v>
      </c>
      <c r="AH203" s="31">
        <f t="shared" si="158"/>
        <v>4448.1545507221499</v>
      </c>
      <c r="AI203" s="31">
        <f t="shared" si="159"/>
        <v>1.5707963267948966</v>
      </c>
      <c r="AJ203" s="31" t="str">
        <f t="shared" si="142"/>
        <v>-0.0556482508173599+36.68155971343i</v>
      </c>
      <c r="AK203" s="31">
        <f t="shared" si="160"/>
        <v>36.681601924367335</v>
      </c>
      <c r="AL203" s="31">
        <f t="shared" si="161"/>
        <v>1.5723133890071095</v>
      </c>
      <c r="AM203" s="31" t="str">
        <f t="shared" si="143"/>
        <v>1+133459.048542409i</v>
      </c>
      <c r="AN203" s="31">
        <f t="shared" si="162"/>
        <v>133459.04854615545</v>
      </c>
      <c r="AO203" s="31">
        <f t="shared" si="163"/>
        <v>1.570788833859716</v>
      </c>
      <c r="AP203" s="31" t="str">
        <f t="shared" si="144"/>
        <v>1+14.4120207443398i</v>
      </c>
      <c r="AQ203" s="31">
        <f t="shared" si="164"/>
        <v>14.446672348166574</v>
      </c>
      <c r="AR203" s="31">
        <f t="shared" si="165"/>
        <v>1.5015208374058442</v>
      </c>
      <c r="AS203" s="58" t="str">
        <f t="shared" si="166"/>
        <v>-3.92109693883545+0.278078629851634i</v>
      </c>
      <c r="AT203" s="49">
        <f t="shared" si="167"/>
        <v>11.889939442403961</v>
      </c>
      <c r="AU203" s="61">
        <f t="shared" si="168"/>
        <v>175.94345625872336</v>
      </c>
      <c r="AV203" s="58" t="str">
        <f t="shared" si="145"/>
        <v>415.309467183636+783.230304674429i</v>
      </c>
      <c r="AW203" s="64">
        <f t="shared" si="169"/>
        <v>58.95384786024956</v>
      </c>
      <c r="AX203" s="61">
        <f t="shared" si="170"/>
        <v>62.065137471113353</v>
      </c>
    </row>
    <row r="204" spans="14:50" x14ac:dyDescent="0.3">
      <c r="N204" s="10">
        <v>86</v>
      </c>
      <c r="O204" s="50">
        <f t="shared" si="171"/>
        <v>724.43596007499025</v>
      </c>
      <c r="P204" s="48" t="str">
        <f t="shared" si="136"/>
        <v>51201.9230769231</v>
      </c>
      <c r="Q204" s="17" t="str">
        <f t="shared" si="137"/>
        <v>1+212.707497581073i</v>
      </c>
      <c r="R204" s="17">
        <f t="shared" si="146"/>
        <v>212.70984821395123</v>
      </c>
      <c r="S204" s="17">
        <f t="shared" si="147"/>
        <v>1.5660950696972937</v>
      </c>
      <c r="T204" s="17" t="str">
        <f t="shared" si="138"/>
        <v>1+1.36552961410072E-08i</v>
      </c>
      <c r="U204" s="17">
        <f t="shared" si="148"/>
        <v>1</v>
      </c>
      <c r="V204" s="17">
        <f t="shared" si="149"/>
        <v>1.3655296141007198E-8</v>
      </c>
      <c r="W204" s="31" t="str">
        <f t="shared" si="139"/>
        <v>1-0.00737385991614386i</v>
      </c>
      <c r="X204" s="17">
        <f t="shared" si="150"/>
        <v>1.0000271865354775</v>
      </c>
      <c r="Y204" s="17">
        <f t="shared" si="151"/>
        <v>-7.3737262722177004E-3</v>
      </c>
      <c r="Z204" s="31" t="str">
        <f t="shared" si="140"/>
        <v>0.9997900770159+0.449979517764596i</v>
      </c>
      <c r="AA204" s="17">
        <f t="shared" si="152"/>
        <v>1.096385773579317</v>
      </c>
      <c r="AB204" s="17">
        <f t="shared" si="153"/>
        <v>0.42291546176060346</v>
      </c>
      <c r="AC204" s="66" t="str">
        <f t="shared" si="154"/>
        <v>-90.6454550773204-199.971582574649i</v>
      </c>
      <c r="AD204" s="64">
        <f t="shared" si="155"/>
        <v>46.83094180630988</v>
      </c>
      <c r="AE204" s="61">
        <f t="shared" si="156"/>
        <v>-114.38439147190229</v>
      </c>
      <c r="AF204" s="31" t="str">
        <f t="shared" si="141"/>
        <v>-0.332666666666667</v>
      </c>
      <c r="AG204" s="31" t="str">
        <f t="shared" si="157"/>
        <v>4551.76538033572i</v>
      </c>
      <c r="AH204" s="31">
        <f t="shared" si="158"/>
        <v>4551.7653803357198</v>
      </c>
      <c r="AI204" s="31">
        <f t="shared" si="159"/>
        <v>1.5707963267948966</v>
      </c>
      <c r="AJ204" s="31" t="str">
        <f t="shared" si="142"/>
        <v>-0.10539942013086+37.5359830006809i</v>
      </c>
      <c r="AK204" s="31">
        <f t="shared" si="160"/>
        <v>37.536130978900445</v>
      </c>
      <c r="AL204" s="31">
        <f t="shared" si="161"/>
        <v>1.5736042762528537</v>
      </c>
      <c r="AM204" s="31" t="str">
        <f t="shared" si="143"/>
        <v>1+136567.709129904i</v>
      </c>
      <c r="AN204" s="31">
        <f t="shared" si="162"/>
        <v>136567.70913356516</v>
      </c>
      <c r="AO204" s="31">
        <f t="shared" si="163"/>
        <v>1.5707890044197439</v>
      </c>
      <c r="AP204" s="31" t="str">
        <f t="shared" si="144"/>
        <v>1+14.7477198322877i</v>
      </c>
      <c r="AQ204" s="31">
        <f t="shared" si="164"/>
        <v>14.781584497328152</v>
      </c>
      <c r="AR204" s="31">
        <f t="shared" si="165"/>
        <v>1.5030928699292874</v>
      </c>
      <c r="AS204" s="58" t="str">
        <f t="shared" si="166"/>
        <v>-3.92074124414186+0.276944912656934i</v>
      </c>
      <c r="AT204" s="49">
        <f t="shared" si="167"/>
        <v>11.888978540458844</v>
      </c>
      <c r="AU204" s="61">
        <f t="shared" si="168"/>
        <v>175.95957446893533</v>
      </c>
      <c r="AV204" s="58" t="str">
        <f t="shared" si="145"/>
        <v>410.778486785663+758.933033817609i</v>
      </c>
      <c r="AW204" s="64">
        <f t="shared" si="169"/>
        <v>58.719920346768717</v>
      </c>
      <c r="AX204" s="61">
        <f t="shared" si="170"/>
        <v>61.575182997033025</v>
      </c>
    </row>
    <row r="205" spans="14:50" x14ac:dyDescent="0.3">
      <c r="N205" s="10">
        <v>87</v>
      </c>
      <c r="O205" s="50">
        <f t="shared" si="171"/>
        <v>741.31024130091828</v>
      </c>
      <c r="P205" s="48" t="str">
        <f t="shared" si="136"/>
        <v>51201.9230769231</v>
      </c>
      <c r="Q205" s="17" t="str">
        <f t="shared" si="137"/>
        <v>1+217.662091680287i</v>
      </c>
      <c r="R205" s="17">
        <f t="shared" si="146"/>
        <v>217.66438880679971</v>
      </c>
      <c r="S205" s="17">
        <f t="shared" si="147"/>
        <v>1.5662020818504743</v>
      </c>
      <c r="T205" s="17" t="str">
        <f t="shared" si="138"/>
        <v>1+1.39733688486111E-08i</v>
      </c>
      <c r="U205" s="17">
        <f t="shared" si="148"/>
        <v>1</v>
      </c>
      <c r="V205" s="17">
        <f t="shared" si="149"/>
        <v>1.3973368848611099E-8</v>
      </c>
      <c r="W205" s="31" t="str">
        <f t="shared" si="139"/>
        <v>1-0.00754561917824996i</v>
      </c>
      <c r="X205" s="17">
        <f t="shared" si="150"/>
        <v>1.0000284677791844</v>
      </c>
      <c r="Y205" s="17">
        <f t="shared" si="151"/>
        <v>-7.5454759764232195E-3</v>
      </c>
      <c r="Z205" s="31" t="str">
        <f t="shared" si="140"/>
        <v>0.999780183650457+0.460460887198384i</v>
      </c>
      <c r="AA205" s="17">
        <f t="shared" si="152"/>
        <v>1.1007200571715154</v>
      </c>
      <c r="AB205" s="17">
        <f t="shared" si="153"/>
        <v>0.43160259537440654</v>
      </c>
      <c r="AC205" s="66" t="str">
        <f t="shared" si="154"/>
        <v>-89.9751078781149-193.851614617424i</v>
      </c>
      <c r="AD205" s="64">
        <f t="shared" si="155"/>
        <v>46.596687482984613</v>
      </c>
      <c r="AE205" s="61">
        <f t="shared" si="156"/>
        <v>-114.89809942373275</v>
      </c>
      <c r="AF205" s="31" t="str">
        <f t="shared" si="141"/>
        <v>-0.332666666666667</v>
      </c>
      <c r="AG205" s="31" t="str">
        <f t="shared" si="157"/>
        <v>4657.78961620368i</v>
      </c>
      <c r="AH205" s="31">
        <f t="shared" si="158"/>
        <v>4657.7896162036805</v>
      </c>
      <c r="AI205" s="31">
        <f t="shared" si="159"/>
        <v>1.5707963267948966</v>
      </c>
      <c r="AJ205" s="31" t="str">
        <f t="shared" si="142"/>
        <v>-0.15749528981792+38.4103083629663i</v>
      </c>
      <c r="AK205" s="31">
        <f t="shared" si="160"/>
        <v>38.410631253657797</v>
      </c>
      <c r="AL205" s="31">
        <f t="shared" si="161"/>
        <v>1.5748966429312303</v>
      </c>
      <c r="AM205" s="31" t="str">
        <f t="shared" si="143"/>
        <v>1+139748.779724467i</v>
      </c>
      <c r="AN205" s="31">
        <f t="shared" si="162"/>
        <v>139748.77972804484</v>
      </c>
      <c r="AO205" s="31">
        <f t="shared" si="163"/>
        <v>1.5707891710973516</v>
      </c>
      <c r="AP205" s="31" t="str">
        <f t="shared" si="144"/>
        <v>1+15.0912383564999i</v>
      </c>
      <c r="AQ205" s="31">
        <f t="shared" si="164"/>
        <v>15.124333874015539</v>
      </c>
      <c r="AR205" s="31">
        <f t="shared" si="165"/>
        <v>1.5046294425339013</v>
      </c>
      <c r="AS205" s="58" t="str">
        <f t="shared" si="166"/>
        <v>-3.92038746334463+0.275957124310872i</v>
      </c>
      <c r="AT205" s="49">
        <f t="shared" si="167"/>
        <v>11.888045079429601</v>
      </c>
      <c r="AU205" s="61">
        <f t="shared" si="168"/>
        <v>175.97357598776426</v>
      </c>
      <c r="AV205" s="58" t="str">
        <f t="shared" si="145"/>
        <v>406.232019051286+735.144167665659i</v>
      </c>
      <c r="AW205" s="64">
        <f t="shared" si="169"/>
        <v>58.484732562414209</v>
      </c>
      <c r="AX205" s="61">
        <f t="shared" si="170"/>
        <v>61.075476564031533</v>
      </c>
    </row>
    <row r="206" spans="14:50" x14ac:dyDescent="0.3">
      <c r="N206" s="10">
        <v>88</v>
      </c>
      <c r="O206" s="50">
        <f t="shared" si="171"/>
        <v>758.57757502918378</v>
      </c>
      <c r="P206" s="48" t="str">
        <f t="shared" si="136"/>
        <v>51201.9230769231</v>
      </c>
      <c r="Q206" s="17" t="str">
        <f t="shared" si="137"/>
        <v>1+222.732093101609i</v>
      </c>
      <c r="R206" s="17">
        <f t="shared" si="146"/>
        <v>222.73433793967158</v>
      </c>
      <c r="S206" s="17">
        <f t="shared" si="147"/>
        <v>1.5663066582113332</v>
      </c>
      <c r="T206" s="17" t="str">
        <f t="shared" si="138"/>
        <v>1+1.42988504213379E-08i</v>
      </c>
      <c r="U206" s="17">
        <f t="shared" si="148"/>
        <v>1</v>
      </c>
      <c r="V206" s="17">
        <f t="shared" si="149"/>
        <v>1.4298850421337898E-8</v>
      </c>
      <c r="W206" s="31" t="str">
        <f t="shared" si="139"/>
        <v>1-0.00772137922752245i</v>
      </c>
      <c r="X206" s="17">
        <f t="shared" si="150"/>
        <v>1.0000298094042872</v>
      </c>
      <c r="Y206" s="17">
        <f t="shared" si="151"/>
        <v>-7.7212257842475844E-3</v>
      </c>
      <c r="Z206" s="31" t="str">
        <f t="shared" si="140"/>
        <v>0.999769824025065+0.471186399089485i</v>
      </c>
      <c r="AA206" s="17">
        <f t="shared" si="152"/>
        <v>1.105240391823437</v>
      </c>
      <c r="AB206" s="17">
        <f t="shared" si="153"/>
        <v>0.44042095298511968</v>
      </c>
      <c r="AC206" s="66" t="str">
        <f t="shared" si="154"/>
        <v>-89.2805205907202-187.86001924938i</v>
      </c>
      <c r="AD206" s="64">
        <f t="shared" si="155"/>
        <v>46.361105902654245</v>
      </c>
      <c r="AE206" s="61">
        <f t="shared" si="156"/>
        <v>-115.41941558476759</v>
      </c>
      <c r="AF206" s="31" t="str">
        <f t="shared" si="141"/>
        <v>-0.332666666666667</v>
      </c>
      <c r="AG206" s="31" t="str">
        <f t="shared" si="157"/>
        <v>4766.28347377929i</v>
      </c>
      <c r="AH206" s="31">
        <f t="shared" si="158"/>
        <v>4766.28347377929</v>
      </c>
      <c r="AI206" s="31">
        <f t="shared" si="159"/>
        <v>1.5707963267948966</v>
      </c>
      <c r="AJ206" s="31" t="str">
        <f t="shared" si="142"/>
        <v>-0.2120463622028+39.3049993791663i</v>
      </c>
      <c r="AK206" s="31">
        <f t="shared" si="160"/>
        <v>39.305571358981489</v>
      </c>
      <c r="AL206" s="31">
        <f t="shared" si="161"/>
        <v>1.576191169903717</v>
      </c>
      <c r="AM206" s="31" t="str">
        <f t="shared" si="143"/>
        <v>1+143003.946971834i</v>
      </c>
      <c r="AN206" s="31">
        <f t="shared" si="162"/>
        <v>143003.94697533041</v>
      </c>
      <c r="AO206" s="31">
        <f t="shared" si="163"/>
        <v>1.5707893339809138</v>
      </c>
      <c r="AP206" s="31" t="str">
        <f t="shared" si="144"/>
        <v>1+15.4427584550449i</v>
      </c>
      <c r="AQ206" s="31">
        <f t="shared" si="164"/>
        <v>15.475102219399417</v>
      </c>
      <c r="AR206" s="31">
        <f t="shared" si="165"/>
        <v>1.5061313408910246</v>
      </c>
      <c r="AS206" s="58" t="str">
        <f t="shared" si="166"/>
        <v>-3.92003484954872+0.275114743171492i</v>
      </c>
      <c r="AT206" s="49">
        <f t="shared" si="167"/>
        <v>11.887137105125326</v>
      </c>
      <c r="AU206" s="61">
        <f t="shared" si="168"/>
        <v>175.98546682543639</v>
      </c>
      <c r="AV206" s="58" t="str">
        <f t="shared" si="145"/>
        <v>401.66581304946+711.85543480193i</v>
      </c>
      <c r="AW206" s="64">
        <f t="shared" si="169"/>
        <v>58.248243007779564</v>
      </c>
      <c r="AX206" s="61">
        <f t="shared" si="170"/>
        <v>60.566051240668799</v>
      </c>
    </row>
    <row r="207" spans="14:50" x14ac:dyDescent="0.3">
      <c r="N207" s="10">
        <v>89</v>
      </c>
      <c r="O207" s="50">
        <f t="shared" si="171"/>
        <v>776.24711662869231</v>
      </c>
      <c r="P207" s="48" t="str">
        <f t="shared" si="136"/>
        <v>51201.9230769231</v>
      </c>
      <c r="Q207" s="17" t="str">
        <f t="shared" si="137"/>
        <v>1+227.920190026901i</v>
      </c>
      <c r="R207" s="17">
        <f t="shared" si="146"/>
        <v>227.92238376670829</v>
      </c>
      <c r="S207" s="17">
        <f t="shared" si="147"/>
        <v>1.5664088542184864</v>
      </c>
      <c r="T207" s="17" t="str">
        <f t="shared" si="138"/>
        <v>1+1.46319134338258E-08i</v>
      </c>
      <c r="U207" s="17">
        <f t="shared" si="148"/>
        <v>1</v>
      </c>
      <c r="V207" s="17">
        <f t="shared" si="149"/>
        <v>1.4631913433825798E-8</v>
      </c>
      <c r="W207" s="31" t="str">
        <f t="shared" si="139"/>
        <v>1-0.00790123325426591i</v>
      </c>
      <c r="X207" s="17">
        <f t="shared" si="150"/>
        <v>1.0000312142563041</v>
      </c>
      <c r="Y207" s="17">
        <f t="shared" si="151"/>
        <v>-7.9010688371118042E-3</v>
      </c>
      <c r="Z207" s="31" t="str">
        <f t="shared" si="140"/>
        <v>0.99975897616557+0.482161740246273i</v>
      </c>
      <c r="AA207" s="17">
        <f t="shared" si="152"/>
        <v>1.109954032463031</v>
      </c>
      <c r="AB207" s="17">
        <f t="shared" si="153"/>
        <v>0.44936974396585228</v>
      </c>
      <c r="AC207" s="66" t="str">
        <f t="shared" si="154"/>
        <v>-88.5616043192385-181.994785911953i</v>
      </c>
      <c r="AD207" s="64">
        <f t="shared" si="155"/>
        <v>46.124157141046481</v>
      </c>
      <c r="AE207" s="61">
        <f t="shared" si="156"/>
        <v>-115.94830316842192</v>
      </c>
      <c r="AF207" s="31" t="str">
        <f t="shared" si="141"/>
        <v>-0.332666666666667</v>
      </c>
      <c r="AG207" s="31" t="str">
        <f t="shared" si="157"/>
        <v>4877.30447794192i</v>
      </c>
      <c r="AH207" s="31">
        <f t="shared" si="158"/>
        <v>4877.3044779419197</v>
      </c>
      <c r="AI207" s="31">
        <f t="shared" si="159"/>
        <v>1.5707963267948966</v>
      </c>
      <c r="AJ207" s="31" t="str">
        <f t="shared" si="142"/>
        <v>-0.26916834742379+40.2205304263003i</v>
      </c>
      <c r="AK207" s="31">
        <f t="shared" si="160"/>
        <v>40.221431095526711</v>
      </c>
      <c r="AL207" s="31">
        <f t="shared" si="161"/>
        <v>1.5774885391118592</v>
      </c>
      <c r="AM207" s="31" t="str">
        <f t="shared" si="143"/>
        <v>1+146334.936804766i</v>
      </c>
      <c r="AN207" s="31">
        <f t="shared" si="162"/>
        <v>146334.93680818283</v>
      </c>
      <c r="AO207" s="31">
        <f t="shared" si="163"/>
        <v>1.5707894931567934</v>
      </c>
      <c r="AP207" s="31" t="str">
        <f t="shared" si="144"/>
        <v>1+15.8024665085318i</v>
      </c>
      <c r="AQ207" s="31">
        <f t="shared" si="164"/>
        <v>15.83407552569045</v>
      </c>
      <c r="AR207" s="31">
        <f t="shared" si="165"/>
        <v>1.5075993342091405</v>
      </c>
      <c r="AS207" s="58" t="str">
        <f t="shared" si="166"/>
        <v>-3.9196826583584+0.274417320373248i</v>
      </c>
      <c r="AT207" s="49">
        <f t="shared" si="167"/>
        <v>11.886252715342724</v>
      </c>
      <c r="AU207" s="61">
        <f t="shared" si="168"/>
        <v>175.99525198692714</v>
      </c>
      <c r="AV207" s="58" t="str">
        <f t="shared" si="145"/>
        <v>397.075906118379+689.058968105491i</v>
      </c>
      <c r="AW207" s="64">
        <f t="shared" si="169"/>
        <v>58.010409856389202</v>
      </c>
      <c r="AX207" s="61">
        <f t="shared" si="170"/>
        <v>60.046948818505214</v>
      </c>
    </row>
    <row r="208" spans="14:50" x14ac:dyDescent="0.3">
      <c r="N208" s="10">
        <v>90</v>
      </c>
      <c r="O208" s="50">
        <f t="shared" si="171"/>
        <v>794.32823472428208</v>
      </c>
      <c r="P208" s="48" t="str">
        <f t="shared" si="136"/>
        <v>51201.9230769231</v>
      </c>
      <c r="Q208" s="17" t="str">
        <f t="shared" si="137"/>
        <v>1+233.229133253826i</v>
      </c>
      <c r="R208" s="17">
        <f t="shared" si="146"/>
        <v>233.23127705848316</v>
      </c>
      <c r="S208" s="17">
        <f t="shared" si="147"/>
        <v>1.5665087240490663</v>
      </c>
      <c r="T208" s="17" t="str">
        <f t="shared" si="138"/>
        <v>1+1.49727344804925E-08i</v>
      </c>
      <c r="U208" s="17">
        <f t="shared" si="148"/>
        <v>1</v>
      </c>
      <c r="V208" s="17">
        <f t="shared" si="149"/>
        <v>1.4972734480492501E-8</v>
      </c>
      <c r="W208" s="31" t="str">
        <f t="shared" si="139"/>
        <v>1-0.00808527661946596i</v>
      </c>
      <c r="X208" s="17">
        <f t="shared" si="150"/>
        <v>1.0000326853148418</v>
      </c>
      <c r="Y208" s="17">
        <f t="shared" si="151"/>
        <v>-8.0851004436222167E-3</v>
      </c>
      <c r="Z208" s="31" t="str">
        <f t="shared" si="140"/>
        <v>0.999747617062208+0.493392729939905i</v>
      </c>
      <c r="AA208" s="17">
        <f t="shared" si="152"/>
        <v>1.114868460303329</v>
      </c>
      <c r="AB208" s="17">
        <f t="shared" si="153"/>
        <v>0.45844800093401511</v>
      </c>
      <c r="AC208" s="66" t="str">
        <f t="shared" si="154"/>
        <v>-87.818302216624-176.25399749779i</v>
      </c>
      <c r="AD208" s="64">
        <f t="shared" si="155"/>
        <v>45.885800958950242</v>
      </c>
      <c r="AE208" s="61">
        <f t="shared" si="156"/>
        <v>-116.48471531264835</v>
      </c>
      <c r="AF208" s="31" t="str">
        <f t="shared" si="141"/>
        <v>-0.332666666666667</v>
      </c>
      <c r="AG208" s="31" t="str">
        <f t="shared" si="157"/>
        <v>4990.91149349751i</v>
      </c>
      <c r="AH208" s="31">
        <f t="shared" si="158"/>
        <v>4990.9114934975096</v>
      </c>
      <c r="AI208" s="31">
        <f t="shared" si="159"/>
        <v>1.5707963267948966</v>
      </c>
      <c r="AJ208" s="31" t="str">
        <f t="shared" si="142"/>
        <v>-0.32898240887004+41.1573869310479i</v>
      </c>
      <c r="AK208" s="31">
        <f t="shared" si="160"/>
        <v>41.158701733865932</v>
      </c>
      <c r="AL208" s="31">
        <f t="shared" si="161"/>
        <v>1.5787894339177757</v>
      </c>
      <c r="AM208" s="31" t="str">
        <f t="shared" si="143"/>
        <v>1+149743.515358164i</v>
      </c>
      <c r="AN208" s="31">
        <f t="shared" si="162"/>
        <v>149743.51536150303</v>
      </c>
      <c r="AO208" s="31">
        <f t="shared" si="163"/>
        <v>1.5707896487093875</v>
      </c>
      <c r="AP208" s="31" t="str">
        <f t="shared" si="144"/>
        <v>1+16.1705532389319i</v>
      </c>
      <c r="AQ208" s="31">
        <f t="shared" si="164"/>
        <v>16.201444134802642</v>
      </c>
      <c r="AR208" s="31">
        <f t="shared" si="165"/>
        <v>1.5090341755152146</v>
      </c>
      <c r="AS208" s="58" t="str">
        <f t="shared" si="166"/>
        <v>-3.91933014632835+0.273864479578832i</v>
      </c>
      <c r="AT208" s="49">
        <f t="shared" si="167"/>
        <v>11.885390056030118</v>
      </c>
      <c r="AU208" s="61">
        <f t="shared" si="168"/>
        <v>176.00293546857387</v>
      </c>
      <c r="AV208" s="58" t="str">
        <f t="shared" si="145"/>
        <v>392.458628575409+666.747292169918i</v>
      </c>
      <c r="AW208" s="64">
        <f t="shared" si="169"/>
        <v>57.771191014980367</v>
      </c>
      <c r="AX208" s="61">
        <f t="shared" si="170"/>
        <v>59.518220155925569</v>
      </c>
    </row>
    <row r="209" spans="14:50" x14ac:dyDescent="0.3">
      <c r="N209" s="10">
        <v>91</v>
      </c>
      <c r="O209" s="50">
        <f t="shared" si="171"/>
        <v>812.83051616409978</v>
      </c>
      <c r="P209" s="48" t="str">
        <f t="shared" si="136"/>
        <v>51201.9230769231</v>
      </c>
      <c r="Q209" s="17" t="str">
        <f t="shared" si="137"/>
        <v>1+238.661737654354i</v>
      </c>
      <c r="R209" s="17">
        <f t="shared" si="146"/>
        <v>238.66383266049277</v>
      </c>
      <c r="S209" s="17">
        <f t="shared" si="147"/>
        <v>1.5666063206474055</v>
      </c>
      <c r="T209" s="17" t="str">
        <f t="shared" si="138"/>
        <v>1+1.53214942691684E-08i</v>
      </c>
      <c r="U209" s="17">
        <f t="shared" si="148"/>
        <v>1</v>
      </c>
      <c r="V209" s="17">
        <f t="shared" si="149"/>
        <v>1.53214942691684E-8</v>
      </c>
      <c r="W209" s="31" t="str">
        <f t="shared" si="139"/>
        <v>1-0.00827360690535094i</v>
      </c>
      <c r="X209" s="17">
        <f t="shared" si="150"/>
        <v>1.0000342256999128</v>
      </c>
      <c r="Y209" s="17">
        <f t="shared" si="151"/>
        <v>-8.2734181298821877E-3</v>
      </c>
      <c r="Z209" s="31" t="str">
        <f t="shared" si="140"/>
        <v>0.999735722620797+0.504885322989775i</v>
      </c>
      <c r="AA209" s="17">
        <f t="shared" si="152"/>
        <v>1.1199913858841131</v>
      </c>
      <c r="AB209" s="17">
        <f t="shared" si="153"/>
        <v>0.46765457389488935</v>
      </c>
      <c r="AC209" s="66" t="str">
        <f t="shared" si="154"/>
        <v>-87.0505924299752-170.635827410211i</v>
      </c>
      <c r="AD209" s="64">
        <f t="shared" si="155"/>
        <v>45.645996871301634</v>
      </c>
      <c r="AE209" s="61">
        <f t="shared" si="156"/>
        <v>-117.02859474891339</v>
      </c>
      <c r="AF209" s="31" t="str">
        <f t="shared" si="141"/>
        <v>-0.332666666666667</v>
      </c>
      <c r="AG209" s="31" t="str">
        <f t="shared" si="157"/>
        <v>5107.16475638947i</v>
      </c>
      <c r="AH209" s="31">
        <f t="shared" si="158"/>
        <v>5107.1647563894703</v>
      </c>
      <c r="AI209" s="31">
        <f t="shared" si="159"/>
        <v>1.5707963267948966</v>
      </c>
      <c r="AJ209" s="31" t="str">
        <f t="shared" si="142"/>
        <v>-0.39161542018527+42.1160656271288i</v>
      </c>
      <c r="AK209" s="31">
        <f t="shared" si="160"/>
        <v>42.117886301973257</v>
      </c>
      <c r="AL209" s="31">
        <f t="shared" si="161"/>
        <v>1.5800945394450046</v>
      </c>
      <c r="AM209" s="31" t="str">
        <f t="shared" si="143"/>
        <v>1+153231.489905495i</v>
      </c>
      <c r="AN209" s="31">
        <f t="shared" si="162"/>
        <v>153231.48990875806</v>
      </c>
      <c r="AO209" s="31">
        <f t="shared" si="163"/>
        <v>1.5707898007211725</v>
      </c>
      <c r="AP209" s="31" t="str">
        <f t="shared" si="144"/>
        <v>1+16.5472138107019i</v>
      </c>
      <c r="AQ209" s="31">
        <f t="shared" si="164"/>
        <v>16.577402839319667</v>
      </c>
      <c r="AR209" s="31">
        <f t="shared" si="165"/>
        <v>1.5104366019357054</v>
      </c>
      <c r="AS209" s="58" t="str">
        <f t="shared" si="166"/>
        <v>-3.91897656941707+0.273455916749023i</v>
      </c>
      <c r="AT209" s="49">
        <f t="shared" si="167"/>
        <v>11.884547317537704</v>
      </c>
      <c r="AU209" s="61">
        <f t="shared" si="168"/>
        <v>176.00852025464994</v>
      </c>
      <c r="AV209" s="58" t="str">
        <f t="shared" si="145"/>
        <v>387.810608701635+644.913309967228i</v>
      </c>
      <c r="AW209" s="64">
        <f t="shared" si="169"/>
        <v>57.530544188839343</v>
      </c>
      <c r="AX209" s="61">
        <f t="shared" si="170"/>
        <v>58.979925505736581</v>
      </c>
    </row>
    <row r="210" spans="14:50" x14ac:dyDescent="0.3">
      <c r="N210" s="10">
        <v>92</v>
      </c>
      <c r="O210" s="50">
        <f t="shared" si="171"/>
        <v>831.7637711026714</v>
      </c>
      <c r="P210" s="48" t="str">
        <f t="shared" si="136"/>
        <v>51201.9230769231</v>
      </c>
      <c r="Q210" s="17" t="str">
        <f t="shared" si="137"/>
        <v>1+244.220883667248i</v>
      </c>
      <c r="R210" s="17">
        <f t="shared" si="146"/>
        <v>244.22293098562938</v>
      </c>
      <c r="S210" s="17">
        <f t="shared" si="147"/>
        <v>1.5667016957530711</v>
      </c>
      <c r="T210" s="17" t="str">
        <f t="shared" si="138"/>
        <v>1+1.56783777169098E-08i</v>
      </c>
      <c r="U210" s="17">
        <f t="shared" si="148"/>
        <v>1</v>
      </c>
      <c r="V210" s="17">
        <f t="shared" si="149"/>
        <v>1.5678377716909801E-8</v>
      </c>
      <c r="W210" s="31" t="str">
        <f t="shared" si="139"/>
        <v>1-0.00846632396713127i</v>
      </c>
      <c r="X210" s="17">
        <f t="shared" si="150"/>
        <v>1.0000358386785528</v>
      </c>
      <c r="Y210" s="17">
        <f t="shared" si="151"/>
        <v>-8.4661216909636596E-3</v>
      </c>
      <c r="Z210" s="31" t="str">
        <f t="shared" si="140"/>
        <v>0.999723267611632+0.516645612920842i</v>
      </c>
      <c r="AA210" s="17">
        <f t="shared" si="152"/>
        <v>1.1253307518922742</v>
      </c>
      <c r="AB210" s="17">
        <f t="shared" si="153"/>
        <v>0.47698812471887048</v>
      </c>
      <c r="AC210" s="66" t="str">
        <f t="shared" si="154"/>
        <v>-86.2584910119352-165.13853640437i</v>
      </c>
      <c r="AD210" s="64">
        <f t="shared" si="155"/>
        <v>45.404704221211567</v>
      </c>
      <c r="AE210" s="61">
        <f t="shared" si="156"/>
        <v>-117.57987349032265</v>
      </c>
      <c r="AF210" s="31" t="str">
        <f t="shared" si="141"/>
        <v>-0.332666666666667</v>
      </c>
      <c r="AG210" s="31" t="str">
        <f t="shared" si="157"/>
        <v>5226.12590563659i</v>
      </c>
      <c r="AH210" s="31">
        <f t="shared" si="158"/>
        <v>5226.1259056365898</v>
      </c>
      <c r="AI210" s="31">
        <f t="shared" si="159"/>
        <v>1.5707963267948966</v>
      </c>
      <c r="AJ210" s="31" t="str">
        <f t="shared" si="142"/>
        <v>-0.45720023438384+43.0970748186772i</v>
      </c>
      <c r="AK210" s="31">
        <f t="shared" si="160"/>
        <v>43.099499880868464</v>
      </c>
      <c r="AL210" s="31">
        <f t="shared" si="161"/>
        <v>1.5814045429197794</v>
      </c>
      <c r="AM210" s="31" t="str">
        <f t="shared" si="143"/>
        <v>1+156800.709817032i</v>
      </c>
      <c r="AN210" s="31">
        <f t="shared" si="162"/>
        <v>156800.70982022077</v>
      </c>
      <c r="AO210" s="31">
        <f t="shared" si="163"/>
        <v>1.5707899492727466</v>
      </c>
      <c r="AP210" s="31" t="str">
        <f t="shared" si="144"/>
        <v>1+16.9326479342626i</v>
      </c>
      <c r="AQ210" s="31">
        <f t="shared" si="164"/>
        <v>16.962150985818027</v>
      </c>
      <c r="AR210" s="31">
        <f t="shared" si="165"/>
        <v>1.5118073349768677</v>
      </c>
      <c r="AS210" s="58" t="str">
        <f t="shared" si="166"/>
        <v>-3.91862118143984+0.273191399930312i</v>
      </c>
      <c r="AT210" s="49">
        <f t="shared" si="167"/>
        <v>11.883722730948122</v>
      </c>
      <c r="AU210" s="61">
        <f t="shared" si="168"/>
        <v>176.01200831387382</v>
      </c>
      <c r="AV210" s="58" t="str">
        <f t="shared" si="145"/>
        <v>383.12877790116+623.550288710712i</v>
      </c>
      <c r="AW210" s="64">
        <f t="shared" si="169"/>
        <v>57.288426952159696</v>
      </c>
      <c r="AX210" s="61">
        <f t="shared" si="170"/>
        <v>58.432134823551195</v>
      </c>
    </row>
    <row r="211" spans="14:50" x14ac:dyDescent="0.3">
      <c r="N211" s="10">
        <v>93</v>
      </c>
      <c r="O211" s="50">
        <f t="shared" si="171"/>
        <v>851.13803820237763</v>
      </c>
      <c r="P211" s="48" t="str">
        <f t="shared" ref="P211:P274" si="172">COMPLEX(Adc,0)</f>
        <v>51201.9230769231</v>
      </c>
      <c r="Q211" s="17" t="str">
        <f t="shared" ref="Q211:Q274" si="173">IMSUM(COMPLEX(1,0),IMDIV(COMPLEX(0,2*PI()*O211),COMPLEX(wp_lf,0)))</f>
        <v>1+249.909518825309i</v>
      </c>
      <c r="R211" s="17">
        <f t="shared" si="146"/>
        <v>249.91151954141182</v>
      </c>
      <c r="S211" s="17">
        <f t="shared" si="147"/>
        <v>1.5667948999282619</v>
      </c>
      <c r="T211" s="17" t="str">
        <f t="shared" ref="T211:T274" si="174">IMSUM(COMPLEX(1,0),IMDIV(COMPLEX(0,2*PI()*O211),COMPLEX(wz_esr,0)))</f>
        <v>1+1.60435740480445E-08i</v>
      </c>
      <c r="U211" s="17">
        <f t="shared" si="148"/>
        <v>1</v>
      </c>
      <c r="V211" s="17">
        <f t="shared" si="149"/>
        <v>1.6043574048044501E-8</v>
      </c>
      <c r="W211" s="31" t="str">
        <f t="shared" ref="W211:W274" si="175">IMSUB(COMPLEX(1,0),IMDIV(COMPLEX(0,2*PI()*O211),COMPLEX(wz_rhp,0)))</f>
        <v>1-0.00866352998594404i</v>
      </c>
      <c r="X211" s="17">
        <f t="shared" si="150"/>
        <v>1.0000375276717455</v>
      </c>
      <c r="Y211" s="17">
        <f t="shared" si="151"/>
        <v>-8.6633132435647367E-3</v>
      </c>
      <c r="Z211" s="31" t="str">
        <f t="shared" ref="Z211:Z274" si="176">IMSUM(COMPLEX(1,0),IMDIV(COMPLEX(0,2*PI()*O211),COMPLEX(Q*(wsl/2),0)),IMDIV(IMPOWER(COMPLEX(0,2*PI()*O211),2),IMPOWER(COMPLEX(wsl/2,0),2)))</f>
        <v>0.99971022561597+0.528679835194493i</v>
      </c>
      <c r="AA211" s="17">
        <f t="shared" si="152"/>
        <v>1.1308947357479431</v>
      </c>
      <c r="AB211" s="17">
        <f t="shared" si="153"/>
        <v>0.48644712200559015</v>
      </c>
      <c r="AC211" s="66" t="str">
        <f t="shared" si="154"/>
        <v>-85.4420547756451-159.760469202563i</v>
      </c>
      <c r="AD211" s="64">
        <f t="shared" si="155"/>
        <v>45.161882258872296</v>
      </c>
      <c r="AE211" s="61">
        <f t="shared" si="156"/>
        <v>-118.1384725419442</v>
      </c>
      <c r="AF211" s="31" t="str">
        <f t="shared" ref="AF211:AF274" si="177">COMPLEX(Adc_ea_iso,0)</f>
        <v>-0.332666666666667</v>
      </c>
      <c r="AG211" s="31" t="str">
        <f t="shared" si="157"/>
        <v>5347.85801601484i</v>
      </c>
      <c r="AH211" s="31">
        <f t="shared" si="158"/>
        <v>5347.8580160148404</v>
      </c>
      <c r="AI211" s="31">
        <f t="shared" si="159"/>
        <v>1.5707963267948966</v>
      </c>
      <c r="AJ211" s="31" t="str">
        <f t="shared" ref="AJ211:AJ274" si="178">IMSUM(IMPRODUCT(COMPLEX(wpA_ea_iso,0),IMPOWER(COMPLEX(0,2*PI()*O211),2)),COMPLEX(0,wpB_ea_iso*2*PI()*O211),COMPLEX(1,0))</f>
        <v>-0.52587596564979+44.1009346497518i</v>
      </c>
      <c r="AK211" s="31">
        <f t="shared" si="160"/>
        <v>44.104069908716212</v>
      </c>
      <c r="AL211" s="31">
        <f t="shared" si="161"/>
        <v>1.5827201340128045</v>
      </c>
      <c r="AM211" s="31" t="str">
        <f t="shared" ref="AM211:AM274" si="179">IMSUM(COMPLEX(1,0),IMDIV(COMPLEX(0,2*PI()*O211),COMPLEX(wz1_ea_iso,0)))</f>
        <v>1+160453.067540417i</v>
      </c>
      <c r="AN211" s="31">
        <f t="shared" si="162"/>
        <v>160453.06754353317</v>
      </c>
      <c r="AO211" s="31">
        <f t="shared" si="163"/>
        <v>1.5707900944428743</v>
      </c>
      <c r="AP211" s="31" t="str">
        <f t="shared" ref="AP211:AP274" si="180">IMSUM(COMPLEX(1,0),IMDIV(COMPLEX(0,2*PI()*O211),COMPLEX(wz2_ea_iso,0)))</f>
        <v>1+17.3270599718881i</v>
      </c>
      <c r="AQ211" s="31">
        <f t="shared" si="164"/>
        <v>17.355892580602326</v>
      </c>
      <c r="AR211" s="31">
        <f t="shared" si="165"/>
        <v>1.5131470808039984</v>
      </c>
      <c r="AS211" s="58" t="str">
        <f t="shared" si="166"/>
        <v>-3.91826323251802+0.273070769059953i</v>
      </c>
      <c r="AT211" s="49">
        <f t="shared" si="167"/>
        <v>11.882914564480656</v>
      </c>
      <c r="AU211" s="61">
        <f t="shared" si="168"/>
        <v>176.01340059582895</v>
      </c>
      <c r="AV211" s="58" t="str">
        <f t="shared" ref="AV211:AV274" si="181">IMPRODUCT(AC211,AS211)</f>
        <v>378.410375928724+602.651844878582i</v>
      </c>
      <c r="AW211" s="64">
        <f t="shared" si="169"/>
        <v>57.044796823352954</v>
      </c>
      <c r="AX211" s="61">
        <f t="shared" si="170"/>
        <v>57.874928053884751</v>
      </c>
    </row>
    <row r="212" spans="14:50" x14ac:dyDescent="0.3">
      <c r="N212" s="10">
        <v>94</v>
      </c>
      <c r="O212" s="50">
        <f t="shared" si="171"/>
        <v>870.96358995608091</v>
      </c>
      <c r="P212" s="48" t="str">
        <f t="shared" si="172"/>
        <v>51201.9230769231</v>
      </c>
      <c r="Q212" s="17" t="str">
        <f t="shared" si="173"/>
        <v>1+255.730659318193i</v>
      </c>
      <c r="R212" s="17">
        <f t="shared" ref="R212:R275" si="182">IMABS(Q212)</f>
        <v>255.73261449278948</v>
      </c>
      <c r="S212" s="17">
        <f t="shared" ref="S212:S275" si="183">IMARGUMENT(Q212)</f>
        <v>1.5668859825845844</v>
      </c>
      <c r="T212" s="17" t="str">
        <f t="shared" si="174"/>
        <v>1+1.64172768945013E-08i</v>
      </c>
      <c r="U212" s="17">
        <f t="shared" ref="U212:U275" si="184">IMABS(T212)</f>
        <v>1</v>
      </c>
      <c r="V212" s="17">
        <f t="shared" ref="V212:V275" si="185">IMARGUMENT(T212)</f>
        <v>1.6417276894501302E-8</v>
      </c>
      <c r="W212" s="31" t="str">
        <f t="shared" si="175"/>
        <v>1-0.0088653295230307i</v>
      </c>
      <c r="X212" s="17">
        <f t="shared" ref="X212:X275" si="186">IMABS(W212)</f>
        <v>1.0000392962616778</v>
      </c>
      <c r="Y212" s="17">
        <f t="shared" ref="Y212:Y275" si="187">IMARGUMENT(W212)</f>
        <v>-8.8650972798798942E-3</v>
      </c>
      <c r="Z212" s="31" t="str">
        <f t="shared" si="176"/>
        <v>0.999696568969988+0.540994370514668i</v>
      </c>
      <c r="AA212" s="17">
        <f t="shared" ref="AA212:AA275" si="188">IMABS(Z212)</f>
        <v>1.1366917519446194</v>
      </c>
      <c r="AB212" s="17">
        <f t="shared" ref="AB212:AB275" si="189">IMARGUMENT(Z212)</f>
        <v>0.4960298363893631</v>
      </c>
      <c r="AC212" s="66" t="str">
        <f t="shared" ref="AC212:AC275" si="190">(IMDIV(IMPRODUCT(P212,T212,W212),IMPRODUCT(Q212,Z212)))</f>
        <v>-84.6013840690298-154.500050878144i</v>
      </c>
      <c r="AD212" s="64">
        <f t="shared" ref="AD212:AD275" si="191">20*LOG(IMABS(AC212))</f>
        <v>44.917490225233614</v>
      </c>
      <c r="AE212" s="61">
        <f t="shared" ref="AE212:AE275" si="192">(180/PI())*IMARGUMENT(AC212)</f>
        <v>-118.70430163645027</v>
      </c>
      <c r="AF212" s="31" t="str">
        <f t="shared" si="177"/>
        <v>-0.332666666666667</v>
      </c>
      <c r="AG212" s="31" t="str">
        <f t="shared" ref="AG212:AG275" si="193">COMPLEX(0,1*2*PI()*O212)</f>
        <v>5472.42563150043i</v>
      </c>
      <c r="AH212" s="31">
        <f t="shared" ref="AH212:AH275" si="194">IMABS(AG212)</f>
        <v>5472.4256315004304</v>
      </c>
      <c r="AI212" s="31">
        <f t="shared" ref="AI212:AI275" si="195">IMARGUMENT(AG212)</f>
        <v>1.5707963267948966</v>
      </c>
      <c r="AJ212" s="31" t="str">
        <f t="shared" si="178"/>
        <v>-0.59778828441662+45.1281773801225i</v>
      </c>
      <c r="AK212" s="31">
        <f t="shared" ref="AK212:AK275" si="196">IMABS(AJ212)</f>
        <v>45.132136493686914</v>
      </c>
      <c r="AL212" s="31">
        <f t="shared" ref="AL212:AL275" si="197">IMARGUMENT(AJ212)</f>
        <v>1.5840420051816073</v>
      </c>
      <c r="AM212" s="31" t="str">
        <f t="shared" si="179"/>
        <v>1+164190.499604059i</v>
      </c>
      <c r="AN212" s="31">
        <f t="shared" ref="AN212:AN275" si="198">IMABS(AM212)</f>
        <v>164190.49960710423</v>
      </c>
      <c r="AO212" s="31">
        <f t="shared" ref="AO212:AO275" si="199">IMARGUMENT(AM212)</f>
        <v>1.5707902363085262</v>
      </c>
      <c r="AP212" s="31" t="str">
        <f t="shared" si="180"/>
        <v>1+17.7306590460614i</v>
      </c>
      <c r="AQ212" s="31">
        <f t="shared" ref="AQ212:AQ275" si="200">IMABS(AP212)</f>
        <v>17.758836397908478</v>
      </c>
      <c r="AR212" s="31">
        <f t="shared" ref="AR212:AR275" si="201">IMARGUMENT(AP212)</f>
        <v>1.5144565305193085</v>
      </c>
      <c r="AS212" s="58" t="str">
        <f t="shared" ref="AS212:AS275" si="202">IMDIV(IMPRODUCT(AF212,AM212,AP212),IMPRODUCT(AG212,AJ212))</f>
        <v>-3.91790196752195+0.273093935788018i</v>
      </c>
      <c r="AT212" s="49">
        <f t="shared" ref="AT212:AT275" si="203">20*LOG(IMABS(AS212))</f>
        <v>11.882121119963207</v>
      </c>
      <c r="AU212" s="61">
        <f t="shared" ref="AU212:AU275" si="204">(180/PI())*IMARGUMENT(AS212)</f>
        <v>176.01269702727154</v>
      </c>
      <c r="AV212" s="58" t="str">
        <f t="shared" si="181"/>
        <v>373.652956072893+582.211928369197i</v>
      </c>
      <c r="AW212" s="64">
        <f t="shared" ref="AW212:AW275" si="205">20*LOG(IMABS(AV212))</f>
        <v>56.799611345196823</v>
      </c>
      <c r="AX212" s="61">
        <f t="shared" ref="AX212:AX275" si="206">(180/PI())*IMARGUMENT(AV212)</f>
        <v>57.308395390821318</v>
      </c>
    </row>
    <row r="213" spans="14:50" x14ac:dyDescent="0.3">
      <c r="N213" s="10">
        <v>95</v>
      </c>
      <c r="O213" s="50">
        <f t="shared" si="171"/>
        <v>891.25093813374656</v>
      </c>
      <c r="P213" s="48" t="str">
        <f t="shared" si="172"/>
        <v>51201.9230769231</v>
      </c>
      <c r="Q213" s="17" t="str">
        <f t="shared" si="173"/>
        <v>1+261.687391591645i</v>
      </c>
      <c r="R213" s="17">
        <f t="shared" si="182"/>
        <v>261.68930226136291</v>
      </c>
      <c r="S213" s="17">
        <f t="shared" si="183"/>
        <v>1.5669749920092202</v>
      </c>
      <c r="T213" s="17" t="str">
        <f t="shared" si="174"/>
        <v>1+1.6799684398476E-08i</v>
      </c>
      <c r="U213" s="17">
        <f t="shared" si="184"/>
        <v>1</v>
      </c>
      <c r="V213" s="17">
        <f t="shared" si="185"/>
        <v>1.6799684398475999E-8</v>
      </c>
      <c r="W213" s="31" t="str">
        <f t="shared" si="175"/>
        <v>1-0.00907182957517701i</v>
      </c>
      <c r="X213" s="17">
        <f t="shared" si="186"/>
        <v>1.0000411481993334</v>
      </c>
      <c r="Y213" s="17">
        <f t="shared" si="187"/>
        <v>-9.0715807227104289E-3</v>
      </c>
      <c r="Z213" s="31" t="str">
        <f t="shared" si="176"/>
        <v>0.99968226870611+0.553595748210998i</v>
      </c>
      <c r="AA213" s="17">
        <f t="shared" si="188"/>
        <v>1.1427304541328589</v>
      </c>
      <c r="AB213" s="17">
        <f t="shared" si="189"/>
        <v>0.50573433634114762</v>
      </c>
      <c r="AC213" s="66" t="str">
        <f t="shared" si="190"/>
        <v>-83.7366254427541-149.355783004883i</v>
      </c>
      <c r="AD213" s="64">
        <f t="shared" si="191"/>
        <v>44.671487440294456</v>
      </c>
      <c r="AE213" s="61">
        <f t="shared" si="192"/>
        <v>-119.27725899824416</v>
      </c>
      <c r="AF213" s="31" t="str">
        <f t="shared" si="177"/>
        <v>-0.332666666666667</v>
      </c>
      <c r="AG213" s="31" t="str">
        <f t="shared" si="193"/>
        <v>5599.89479949198i</v>
      </c>
      <c r="AH213" s="31">
        <f t="shared" si="194"/>
        <v>5599.8947994919799</v>
      </c>
      <c r="AI213" s="31">
        <f t="shared" si="195"/>
        <v>1.5707963267948966</v>
      </c>
      <c r="AJ213" s="31" t="str">
        <f t="shared" si="178"/>
        <v>-0.67308972635392+46.1793476674822i</v>
      </c>
      <c r="AK213" s="31">
        <f t="shared" si="196"/>
        <v>46.184252735904657</v>
      </c>
      <c r="AL213" s="31">
        <f t="shared" si="197"/>
        <v>1.585370852013543</v>
      </c>
      <c r="AM213" s="31" t="str">
        <f t="shared" si="179"/>
        <v>1+168014.98764391i</v>
      </c>
      <c r="AN213" s="31">
        <f t="shared" si="198"/>
        <v>168014.98764688591</v>
      </c>
      <c r="AO213" s="31">
        <f t="shared" si="199"/>
        <v>1.5707903749449217</v>
      </c>
      <c r="AP213" s="31" t="str">
        <f t="shared" si="180"/>
        <v>1+18.143659150354i</v>
      </c>
      <c r="AQ213" s="31">
        <f t="shared" si="200"/>
        <v>18.17119609063268</v>
      </c>
      <c r="AR213" s="31">
        <f t="shared" si="201"/>
        <v>1.5157363604381315</v>
      </c>
      <c r="AS213" s="58" t="str">
        <f t="shared" si="202"/>
        <v>-3.9175366245039+0.273260883315912i</v>
      </c>
      <c r="AT213" s="49">
        <f t="shared" si="203"/>
        <v>11.8813407293647</v>
      </c>
      <c r="AU213" s="61">
        <f t="shared" si="204"/>
        <v>176.00989650830579</v>
      </c>
      <c r="AV213" s="58" t="str">
        <f t="shared" si="181"/>
        <v>368.854390176608+562.224805768706i</v>
      </c>
      <c r="AW213" s="64">
        <f t="shared" si="205"/>
        <v>56.552828169659158</v>
      </c>
      <c r="AX213" s="61">
        <f t="shared" si="206"/>
        <v>56.732637510061686</v>
      </c>
    </row>
    <row r="214" spans="14:50" x14ac:dyDescent="0.3">
      <c r="N214" s="10">
        <v>96</v>
      </c>
      <c r="O214" s="50">
        <f t="shared" si="171"/>
        <v>912.01083935590987</v>
      </c>
      <c r="P214" s="48" t="str">
        <f t="shared" si="172"/>
        <v>51201.9230769231</v>
      </c>
      <c r="Q214" s="17" t="str">
        <f t="shared" si="173"/>
        <v>1+267.782873983959i</v>
      </c>
      <c r="R214" s="17">
        <f t="shared" si="182"/>
        <v>267.78474116183105</v>
      </c>
      <c r="S214" s="17">
        <f t="shared" si="183"/>
        <v>1.5670619753904993</v>
      </c>
      <c r="T214" s="17" t="str">
        <f t="shared" si="174"/>
        <v>1+1.71909993174887E-08i</v>
      </c>
      <c r="U214" s="17">
        <f t="shared" si="184"/>
        <v>1</v>
      </c>
      <c r="V214" s="17">
        <f t="shared" si="185"/>
        <v>1.7190999317488696E-8</v>
      </c>
      <c r="W214" s="31" t="str">
        <f t="shared" si="175"/>
        <v>1-0.0092831396314439i</v>
      </c>
      <c r="X214" s="17">
        <f t="shared" si="186"/>
        <v>1.000043087412446</v>
      </c>
      <c r="Y214" s="17">
        <f t="shared" si="187"/>
        <v>-9.2828729818422943E-3</v>
      </c>
      <c r="Z214" s="31" t="str">
        <f t="shared" si="176"/>
        <v>0.999667294491559+0.566490649700734i</v>
      </c>
      <c r="AA214" s="17">
        <f t="shared" si="188"/>
        <v>1.1490197369385928</v>
      </c>
      <c r="AB214" s="17">
        <f t="shared" si="189"/>
        <v>0.51555848452245467</v>
      </c>
      <c r="AC214" s="66" t="str">
        <f t="shared" si="190"/>
        <v>-82.8479741849523-144.326239571269i</v>
      </c>
      <c r="AD214" s="64">
        <f t="shared" si="191"/>
        <v>44.423833395809488</v>
      </c>
      <c r="AE214" s="61">
        <f t="shared" si="192"/>
        <v>-119.85723113925066</v>
      </c>
      <c r="AF214" s="31" t="str">
        <f t="shared" si="177"/>
        <v>-0.332666666666667</v>
      </c>
      <c r="AG214" s="31" t="str">
        <f t="shared" si="193"/>
        <v>5730.33310582957i</v>
      </c>
      <c r="AH214" s="31">
        <f t="shared" si="194"/>
        <v>5730.3331058295698</v>
      </c>
      <c r="AI214" s="31">
        <f t="shared" si="195"/>
        <v>1.5707963267948966</v>
      </c>
      <c r="AJ214" s="31" t="str">
        <f t="shared" si="178"/>
        <v>-0.75194001591585+47.2550028562311i</v>
      </c>
      <c r="AK214" s="31">
        <f t="shared" si="196"/>
        <v>47.260985058819337</v>
      </c>
      <c r="AL214" s="31">
        <f t="shared" si="197"/>
        <v>1.586707373569513</v>
      </c>
      <c r="AM214" s="31" t="str">
        <f t="shared" si="179"/>
        <v>1+171928.55945415i</v>
      </c>
      <c r="AN214" s="31">
        <f t="shared" si="198"/>
        <v>171928.55945705817</v>
      </c>
      <c r="AO214" s="31">
        <f t="shared" si="199"/>
        <v>1.5707905104255677</v>
      </c>
      <c r="AP214" s="31" t="str">
        <f t="shared" si="180"/>
        <v>1+18.5662792628878i</v>
      </c>
      <c r="AQ214" s="31">
        <f t="shared" si="200"/>
        <v>18.593190303644437</v>
      </c>
      <c r="AR214" s="31">
        <f t="shared" si="201"/>
        <v>1.5169872323632048</v>
      </c>
      <c r="AS214" s="58" t="str">
        <f t="shared" si="202"/>
        <v>-3.9171664331186+0.273571666250774i</v>
      </c>
      <c r="AT214" s="49">
        <f t="shared" si="203"/>
        <v>11.880571751382876</v>
      </c>
      <c r="AU214" s="61">
        <f t="shared" si="204"/>
        <v>176.00499690840778</v>
      </c>
      <c r="AV214" s="58" t="str">
        <f t="shared" si="181"/>
        <v>364.012873372392+542.68504272353i</v>
      </c>
      <c r="AW214" s="64">
        <f t="shared" si="205"/>
        <v>56.304405147192369</v>
      </c>
      <c r="AX214" s="61">
        <f t="shared" si="206"/>
        <v>56.147765769157118</v>
      </c>
    </row>
    <row r="215" spans="14:50" x14ac:dyDescent="0.3">
      <c r="N215" s="10">
        <v>97</v>
      </c>
      <c r="O215" s="50">
        <f t="shared" si="171"/>
        <v>933.25430079699106</v>
      </c>
      <c r="P215" s="48" t="str">
        <f t="shared" si="172"/>
        <v>51201.9230769231</v>
      </c>
      <c r="Q215" s="17" t="str">
        <f t="shared" si="173"/>
        <v>1+274.020338400586i</v>
      </c>
      <c r="R215" s="17">
        <f t="shared" si="182"/>
        <v>274.02216307658705</v>
      </c>
      <c r="S215" s="17">
        <f t="shared" si="183"/>
        <v>1.567146978842894</v>
      </c>
      <c r="T215" s="17" t="str">
        <f t="shared" si="174"/>
        <v>1+1.75914291318894E-08i</v>
      </c>
      <c r="U215" s="17">
        <f t="shared" si="184"/>
        <v>1</v>
      </c>
      <c r="V215" s="17">
        <f t="shared" si="185"/>
        <v>1.7591429131889395E-8</v>
      </c>
      <c r="W215" s="31" t="str">
        <f t="shared" si="175"/>
        <v>1-0.00949937173122029i</v>
      </c>
      <c r="X215" s="17">
        <f t="shared" si="186"/>
        <v>1.0000451180138263</v>
      </c>
      <c r="Y215" s="17">
        <f t="shared" si="187"/>
        <v>-9.4990860117206369E-3</v>
      </c>
      <c r="Z215" s="31" t="str">
        <f t="shared" si="176"/>
        <v>0.999651614564018+0.579685912031333i</v>
      </c>
      <c r="AA215" s="17">
        <f t="shared" si="188"/>
        <v>1.1555687375089576</v>
      </c>
      <c r="AB215" s="17">
        <f t="shared" si="189"/>
        <v>0.52549993474633827</v>
      </c>
      <c r="AC215" s="66" t="str">
        <f t="shared" si="190"/>
        <v>-81.9356766947951-139.410062662053i</v>
      </c>
      <c r="AD215" s="64">
        <f t="shared" si="191"/>
        <v>44.174487852155565</v>
      </c>
      <c r="AE215" s="61">
        <f t="shared" si="192"/>
        <v>-120.44409268952951</v>
      </c>
      <c r="AF215" s="31" t="str">
        <f t="shared" si="177"/>
        <v>-0.332666666666667</v>
      </c>
      <c r="AG215" s="31" t="str">
        <f t="shared" si="193"/>
        <v>5863.80971062981i</v>
      </c>
      <c r="AH215" s="31">
        <f t="shared" si="194"/>
        <v>5863.8097106298101</v>
      </c>
      <c r="AI215" s="31">
        <f t="shared" si="195"/>
        <v>1.5707963267948966</v>
      </c>
      <c r="AJ215" s="31" t="str">
        <f t="shared" si="178"/>
        <v>-0.83450640513823+48.3557132729883i</v>
      </c>
      <c r="AK215" s="31">
        <f t="shared" si="196"/>
        <v>48.362913550360808</v>
      </c>
      <c r="AL215" s="31">
        <f t="shared" si="197"/>
        <v>1.5880522727284674</v>
      </c>
      <c r="AM215" s="31" t="str">
        <f t="shared" si="179"/>
        <v>1+175933.290062357i</v>
      </c>
      <c r="AN215" s="31">
        <f t="shared" si="198"/>
        <v>175933.29006519899</v>
      </c>
      <c r="AO215" s="31">
        <f t="shared" si="199"/>
        <v>1.5707906428222975</v>
      </c>
      <c r="AP215" s="31" t="str">
        <f t="shared" si="180"/>
        <v>1+18.9987434624406i</v>
      </c>
      <c r="AQ215" s="31">
        <f t="shared" si="200"/>
        <v>19.025042789745033</v>
      </c>
      <c r="AR215" s="31">
        <f t="shared" si="201"/>
        <v>1.5182097938567876</v>
      </c>
      <c r="AS215" s="58" t="str">
        <f t="shared" si="202"/>
        <v>-3.91679061302812+0.274026410475041i</v>
      </c>
      <c r="AT215" s="49">
        <f t="shared" si="203"/>
        <v>11.879812568080855</v>
      </c>
      <c r="AU215" s="61">
        <f t="shared" si="204"/>
        <v>175.9979950622803</v>
      </c>
      <c r="AV215" s="58" t="str">
        <f t="shared" si="181"/>
        <v>359.126928405663+523.587485421873i</v>
      </c>
      <c r="AW215" s="64">
        <f t="shared" si="205"/>
        <v>56.054300420236423</v>
      </c>
      <c r="AX215" s="61">
        <f t="shared" si="206"/>
        <v>55.553902372750812</v>
      </c>
    </row>
    <row r="216" spans="14:50" x14ac:dyDescent="0.3">
      <c r="N216" s="10">
        <v>98</v>
      </c>
      <c r="O216" s="50">
        <f t="shared" si="171"/>
        <v>954.99258602143675</v>
      </c>
      <c r="P216" s="48" t="str">
        <f t="shared" si="172"/>
        <v>51201.9230769231</v>
      </c>
      <c r="Q216" s="17" t="str">
        <f t="shared" si="173"/>
        <v>1+280.40309202772i</v>
      </c>
      <c r="R216" s="17">
        <f t="shared" si="182"/>
        <v>280.40487516929159</v>
      </c>
      <c r="S216" s="17">
        <f t="shared" si="183"/>
        <v>1.5672300474314436</v>
      </c>
      <c r="T216" s="17" t="str">
        <f t="shared" si="174"/>
        <v>1+1.8001186154866E-08i</v>
      </c>
      <c r="U216" s="17">
        <f t="shared" si="184"/>
        <v>1</v>
      </c>
      <c r="V216" s="17">
        <f t="shared" si="185"/>
        <v>1.8001186154865998E-8</v>
      </c>
      <c r="W216" s="31" t="str">
        <f t="shared" si="175"/>
        <v>1-0.00972064052362763i</v>
      </c>
      <c r="X216" s="17">
        <f t="shared" si="186"/>
        <v>1.0000472443100823</v>
      </c>
      <c r="Y216" s="17">
        <f t="shared" si="187"/>
        <v>-9.7203343704490124E-3</v>
      </c>
      <c r="Z216" s="31" t="str">
        <f t="shared" si="176"/>
        <v>0.999635195664258+0.593188531505541i</v>
      </c>
      <c r="AA216" s="17">
        <f t="shared" si="188"/>
        <v>1.1623868367804324</v>
      </c>
      <c r="AB216" s="17">
        <f t="shared" si="189"/>
        <v>0.53555612959960575</v>
      </c>
      <c r="AC216" s="66" t="str">
        <f t="shared" si="190"/>
        <v>-81.0000326663222-134.605957912513i</v>
      </c>
      <c r="AD216" s="64">
        <f t="shared" si="191"/>
        <v>43.923410939055721</v>
      </c>
      <c r="AE216" s="61">
        <f t="shared" si="192"/>
        <v>-121.03770626581917</v>
      </c>
      <c r="AF216" s="31" t="str">
        <f t="shared" si="177"/>
        <v>-0.332666666666667</v>
      </c>
      <c r="AG216" s="31" t="str">
        <f t="shared" si="193"/>
        <v>6000.39538495533i</v>
      </c>
      <c r="AH216" s="31">
        <f t="shared" si="194"/>
        <v>6000.39538495533</v>
      </c>
      <c r="AI216" s="31">
        <f t="shared" si="195"/>
        <v>1.5707963267948966</v>
      </c>
      <c r="AJ216" s="31" t="str">
        <f t="shared" si="178"/>
        <v>-0.92096402840248+49.4820625289864i</v>
      </c>
      <c r="AK216" s="31">
        <f t="shared" si="196"/>
        <v>49.49063231424843</v>
      </c>
      <c r="AL216" s="31">
        <f t="shared" si="197"/>
        <v>1.5894062565327491</v>
      </c>
      <c r="AM216" s="31" t="str">
        <f t="shared" si="179"/>
        <v>1+180031.302829707i</v>
      </c>
      <c r="AN216" s="31">
        <f t="shared" si="198"/>
        <v>180031.3028324843</v>
      </c>
      <c r="AO216" s="31">
        <f t="shared" si="199"/>
        <v>1.5707907722053098</v>
      </c>
      <c r="AP216" s="31" t="str">
        <f t="shared" si="180"/>
        <v>1+19.4412810472553i</v>
      </c>
      <c r="AQ216" s="31">
        <f t="shared" si="200"/>
        <v>19.466982528331606</v>
      </c>
      <c r="AR216" s="31">
        <f t="shared" si="201"/>
        <v>1.5194046785103998</v>
      </c>
      <c r="AS216" s="58" t="str">
        <f t="shared" si="202"/>
        <v>-3.91640837228781+0.274625313030373i</v>
      </c>
      <c r="AT216" s="49">
        <f t="shared" si="203"/>
        <v>11.879061581565821</v>
      </c>
      <c r="AU216" s="61">
        <f t="shared" si="204"/>
        <v>175.9888867655234</v>
      </c>
      <c r="AV216" s="58" t="str">
        <f t="shared" si="181"/>
        <v>354.195409417447+504.927241201927i</v>
      </c>
      <c r="AW216" s="64">
        <f t="shared" si="205"/>
        <v>55.802472520621542</v>
      </c>
      <c r="AX216" s="61">
        <f t="shared" si="206"/>
        <v>54.951180499704243</v>
      </c>
    </row>
    <row r="217" spans="14:50" x14ac:dyDescent="0.3">
      <c r="N217" s="10">
        <v>99</v>
      </c>
      <c r="O217" s="50">
        <f t="shared" si="171"/>
        <v>977.23722095581138</v>
      </c>
      <c r="P217" s="48" t="str">
        <f t="shared" si="172"/>
        <v>51201.9230769231</v>
      </c>
      <c r="Q217" s="17" t="str">
        <f t="shared" si="173"/>
        <v>1+286.934519085822i</v>
      </c>
      <c r="R217" s="17">
        <f t="shared" si="182"/>
        <v>286.93626163838536</v>
      </c>
      <c r="S217" s="17">
        <f t="shared" si="183"/>
        <v>1.5673112251956247</v>
      </c>
      <c r="T217" s="17" t="str">
        <f t="shared" si="174"/>
        <v>1+1.84204876450157E-08i</v>
      </c>
      <c r="U217" s="17">
        <f t="shared" si="184"/>
        <v>1.0000000000000002</v>
      </c>
      <c r="V217" s="17">
        <f t="shared" si="185"/>
        <v>1.8420487645015697E-8</v>
      </c>
      <c r="W217" s="31" t="str">
        <f t="shared" si="175"/>
        <v>1-0.00994706332830848i</v>
      </c>
      <c r="X217" s="17">
        <f t="shared" si="186"/>
        <v>1.0000494708107481</v>
      </c>
      <c r="Y217" s="17">
        <f t="shared" si="187"/>
        <v>-9.9467352801436842E-3</v>
      </c>
      <c r="Z217" s="31" t="str">
        <f t="shared" si="176"/>
        <v>0.999618002965591+0.607005667390932i</v>
      </c>
      <c r="AA217" s="17">
        <f t="shared" si="188"/>
        <v>1.1694836604662877</v>
      </c>
      <c r="AB217" s="17">
        <f t="shared" si="189"/>
        <v>0.54572429877883011</v>
      </c>
      <c r="AC217" s="66" t="str">
        <f t="shared" si="190"/>
        <v>-80.0413970535742-129.912689744171i</v>
      </c>
      <c r="AD217" s="64">
        <f t="shared" si="191"/>
        <v>43.670563259801852</v>
      </c>
      <c r="AE217" s="61">
        <f t="shared" si="192"/>
        <v>-121.63792238102064</v>
      </c>
      <c r="AF217" s="31" t="str">
        <f t="shared" si="177"/>
        <v>-0.332666666666667</v>
      </c>
      <c r="AG217" s="31" t="str">
        <f t="shared" si="193"/>
        <v>6140.16254833857i</v>
      </c>
      <c r="AH217" s="31">
        <f t="shared" si="194"/>
        <v>6140.1625483385696</v>
      </c>
      <c r="AI217" s="31">
        <f t="shared" si="195"/>
        <v>1.5707963267948966</v>
      </c>
      <c r="AJ217" s="31" t="str">
        <f t="shared" si="178"/>
        <v>-1.0114962739191+50.6346478295099i</v>
      </c>
      <c r="AK217" s="31">
        <f t="shared" si="196"/>
        <v>50.644749831849737</v>
      </c>
      <c r="AL217" s="31">
        <f t="shared" si="197"/>
        <v>1.5907700365343322</v>
      </c>
      <c r="AM217" s="31" t="str">
        <f t="shared" si="179"/>
        <v>1+184224.770576814i</v>
      </c>
      <c r="AN217" s="31">
        <f t="shared" si="198"/>
        <v>184224.77057952806</v>
      </c>
      <c r="AO217" s="31">
        <f t="shared" si="199"/>
        <v>1.5707908986432053</v>
      </c>
      <c r="AP217" s="31" t="str">
        <f t="shared" si="180"/>
        <v>1+19.894126656617i</v>
      </c>
      <c r="AQ217" s="31">
        <f t="shared" si="200"/>
        <v>19.919243846831112</v>
      </c>
      <c r="AR217" s="31">
        <f t="shared" si="201"/>
        <v>1.5205725062119921</v>
      </c>
      <c r="AS217" s="58" t="str">
        <f t="shared" si="202"/>
        <v>-3.91601890571055+0.275368642015061i</v>
      </c>
      <c r="AT217" s="49">
        <f t="shared" si="203"/>
        <v>11.878317210704466</v>
      </c>
      <c r="AU217" s="61">
        <f t="shared" si="204"/>
        <v>175.9776667701058</v>
      </c>
      <c r="AV217" s="58" t="str">
        <f t="shared" si="181"/>
        <v>349.217505056658+486.699658318252i</v>
      </c>
      <c r="AW217" s="64">
        <f t="shared" si="205"/>
        <v>55.548880470506319</v>
      </c>
      <c r="AX217" s="61">
        <f t="shared" si="206"/>
        <v>54.339744389085148</v>
      </c>
    </row>
    <row r="218" spans="14:50" x14ac:dyDescent="0.3">
      <c r="N218" s="10">
        <v>100</v>
      </c>
      <c r="O218" s="50">
        <f t="shared" si="171"/>
        <v>1000</v>
      </c>
      <c r="P218" s="48" t="str">
        <f t="shared" si="172"/>
        <v>51201.9230769231</v>
      </c>
      <c r="Q218" s="17" t="str">
        <f t="shared" si="173"/>
        <v>1+293.618082623969i</v>
      </c>
      <c r="R218" s="17">
        <f t="shared" si="182"/>
        <v>293.61978551142613</v>
      </c>
      <c r="S218" s="17">
        <f t="shared" si="183"/>
        <v>1.5673905551726806</v>
      </c>
      <c r="T218" s="17" t="str">
        <f t="shared" si="174"/>
        <v>1+1.88495559215388E-08i</v>
      </c>
      <c r="U218" s="17">
        <f t="shared" si="184"/>
        <v>1.0000000000000002</v>
      </c>
      <c r="V218" s="17">
        <f t="shared" si="185"/>
        <v>1.8849555921538796E-8</v>
      </c>
      <c r="W218" s="31" t="str">
        <f t="shared" si="175"/>
        <v>1-0.0101787601976309i</v>
      </c>
      <c r="X218" s="17">
        <f t="shared" si="186"/>
        <v>1.0000518022378446</v>
      </c>
      <c r="Y218" s="17">
        <f t="shared" si="187"/>
        <v>-1.0178408688672662E-2</v>
      </c>
      <c r="Z218" s="31" t="str">
        <f t="shared" si="176"/>
        <v>0.9996+0.621144645715842i</v>
      </c>
      <c r="AA218" s="17">
        <f t="shared" si="188"/>
        <v>1.1768690797626808</v>
      </c>
      <c r="AB218" s="17">
        <f t="shared" si="189"/>
        <v>0.55600145819037439</v>
      </c>
      <c r="AC218" s="66" t="str">
        <f t="shared" si="190"/>
        <v>-79.0601817881466-125.329076394174i</v>
      </c>
      <c r="AD218" s="64">
        <f t="shared" si="191"/>
        <v>43.415905998566686</v>
      </c>
      <c r="AE218" s="61">
        <f t="shared" si="192"/>
        <v>-122.24457939750978</v>
      </c>
      <c r="AF218" s="31" t="str">
        <f t="shared" si="177"/>
        <v>-0.332666666666667</v>
      </c>
      <c r="AG218" s="31" t="str">
        <f t="shared" si="193"/>
        <v>6283.18530717959i</v>
      </c>
      <c r="AH218" s="31">
        <f t="shared" si="194"/>
        <v>6283.1853071795904</v>
      </c>
      <c r="AI218" s="31">
        <f t="shared" si="195"/>
        <v>1.5707963267948966</v>
      </c>
      <c r="AJ218" s="31" t="str">
        <f t="shared" si="178"/>
        <v>-1.10629517271869+51.8140802905413i</v>
      </c>
      <c r="AK218" s="31">
        <f t="shared" si="196"/>
        <v>51.825889335001676</v>
      </c>
      <c r="AL218" s="31">
        <f t="shared" si="197"/>
        <v>1.5921443291420108</v>
      </c>
      <c r="AM218" s="31" t="str">
        <f t="shared" si="179"/>
        <v>1+188515.916735783i</v>
      </c>
      <c r="AN218" s="31">
        <f t="shared" si="198"/>
        <v>188515.91673843525</v>
      </c>
      <c r="AO218" s="31">
        <f t="shared" si="199"/>
        <v>1.5707910222030228</v>
      </c>
      <c r="AP218" s="31" t="str">
        <f t="shared" si="180"/>
        <v>1+20.3575203952619i</v>
      </c>
      <c r="AQ218" s="31">
        <f t="shared" si="200"/>
        <v>20.382066544968009</v>
      </c>
      <c r="AR218" s="31">
        <f t="shared" si="201"/>
        <v>1.5217138834103676</v>
      </c>
      <c r="AS218" s="58" t="str">
        <f t="shared" si="202"/>
        <v>-3.91562139320602+0.2762567364939i</v>
      </c>
      <c r="AT218" s="49">
        <f t="shared" si="203"/>
        <v>11.877577887868561</v>
      </c>
      <c r="AU218" s="61">
        <f t="shared" si="204"/>
        <v>175.96432877962525</v>
      </c>
      <c r="AV218" s="58" t="str">
        <f t="shared" si="181"/>
        <v>344.192740792873+468.900304912371i</v>
      </c>
      <c r="AW218" s="64">
        <f t="shared" si="205"/>
        <v>55.29348388643524</v>
      </c>
      <c r="AX218" s="61">
        <f t="shared" si="206"/>
        <v>53.719749382115424</v>
      </c>
    </row>
    <row r="219" spans="14:50" x14ac:dyDescent="0.3">
      <c r="N219" s="10">
        <v>1</v>
      </c>
      <c r="O219" s="50">
        <f>10^(3+(N219/100))</f>
        <v>1023.2929922807547</v>
      </c>
      <c r="P219" s="48" t="str">
        <f t="shared" si="172"/>
        <v>51201.9230769231</v>
      </c>
      <c r="Q219" s="17" t="str">
        <f t="shared" si="173"/>
        <v>1+300.457326356019i</v>
      </c>
      <c r="R219" s="17">
        <f t="shared" si="182"/>
        <v>300.45899048124244</v>
      </c>
      <c r="S219" s="17">
        <f t="shared" si="183"/>
        <v>1.5674680794204188</v>
      </c>
      <c r="T219" s="17" t="str">
        <f t="shared" si="174"/>
        <v>1+1.92886184821148E-08i</v>
      </c>
      <c r="U219" s="17">
        <f t="shared" si="184"/>
        <v>1.0000000000000002</v>
      </c>
      <c r="V219" s="17">
        <f t="shared" si="185"/>
        <v>1.9288618482114797E-8</v>
      </c>
      <c r="W219" s="31" t="str">
        <f t="shared" si="175"/>
        <v>1-0.010415853980342i</v>
      </c>
      <c r="X219" s="17">
        <f t="shared" si="186"/>
        <v>1.0000542435358892</v>
      </c>
      <c r="Y219" s="17">
        <f t="shared" si="187"/>
        <v>-1.0415477332810659E-2</v>
      </c>
      <c r="Z219" s="31" t="str">
        <f t="shared" si="176"/>
        <v>0.99958114858078+0.635612963153733i</v>
      </c>
      <c r="AA219" s="17">
        <f t="shared" si="188"/>
        <v>1.1845532117752835</v>
      </c>
      <c r="AB219" s="17">
        <f t="shared" si="189"/>
        <v>0.56638440986163729</v>
      </c>
      <c r="AC219" s="66" t="str">
        <f t="shared" si="190"/>
        <v>-78.0568572206935-120.853984754127i</v>
      </c>
      <c r="AD219" s="64">
        <f t="shared" si="191"/>
        <v>43.159401030341122</v>
      </c>
      <c r="AE219" s="61">
        <f t="shared" si="192"/>
        <v>-122.85750352697437</v>
      </c>
      <c r="AF219" s="31" t="str">
        <f t="shared" si="177"/>
        <v>-0.332666666666667</v>
      </c>
      <c r="AG219" s="31" t="str">
        <f t="shared" si="193"/>
        <v>6429.53949403827i</v>
      </c>
      <c r="AH219" s="31">
        <f t="shared" si="194"/>
        <v>6429.5394940382703</v>
      </c>
      <c r="AI219" s="31">
        <f t="shared" si="195"/>
        <v>1.5707963267948966</v>
      </c>
      <c r="AJ219" s="31" t="str">
        <f t="shared" si="178"/>
        <v>-1.20556180597554+53.0209852627833i</v>
      </c>
      <c r="AK219" s="31">
        <f t="shared" si="196"/>
        <v>53.034689190230111</v>
      </c>
      <c r="AL219" s="31">
        <f t="shared" si="197"/>
        <v>1.5935298559695734</v>
      </c>
      <c r="AM219" s="31" t="str">
        <f t="shared" si="179"/>
        <v>1+192907.016529109i</v>
      </c>
      <c r="AN219" s="31">
        <f t="shared" si="198"/>
        <v>192907.01653170094</v>
      </c>
      <c r="AO219" s="31">
        <f t="shared" si="199"/>
        <v>1.5707911429502757</v>
      </c>
      <c r="AP219" s="31" t="str">
        <f t="shared" si="180"/>
        <v>1+20.831707960684i</v>
      </c>
      <c r="AQ219" s="31">
        <f t="shared" si="200"/>
        <v>20.85569602193188</v>
      </c>
      <c r="AR219" s="31">
        <f t="shared" si="201"/>
        <v>1.5228294033767096</v>
      </c>
      <c r="AS219" s="58" t="str">
        <f t="shared" si="202"/>
        <v>-3.91521499809193+0.277290006419441i</v>
      </c>
      <c r="AT219" s="49">
        <f t="shared" si="203"/>
        <v>11.876842055704893</v>
      </c>
      <c r="AU219" s="61">
        <f t="shared" si="204"/>
        <v>175.9488654443457</v>
      </c>
      <c r="AV219" s="58" t="str">
        <f t="shared" si="181"/>
        <v>339.120980302666+451.524947248724i</v>
      </c>
      <c r="AW219" s="64">
        <f t="shared" si="205"/>
        <v>55.036243086046007</v>
      </c>
      <c r="AX219" s="61">
        <f t="shared" si="206"/>
        <v>53.091361917371366</v>
      </c>
    </row>
    <row r="220" spans="14:50" x14ac:dyDescent="0.3">
      <c r="N220" s="10">
        <v>2</v>
      </c>
      <c r="O220" s="50">
        <f t="shared" ref="O220:O283" si="207">10^(3+(N220/100))</f>
        <v>1047.1285480509</v>
      </c>
      <c r="P220" s="48" t="str">
        <f t="shared" si="172"/>
        <v>51201.9230769231</v>
      </c>
      <c r="Q220" s="17" t="str">
        <f t="shared" si="173"/>
        <v>1+307.455876539526i</v>
      </c>
      <c r="R220" s="17">
        <f t="shared" si="182"/>
        <v>307.45750278483729</v>
      </c>
      <c r="S220" s="17">
        <f t="shared" si="183"/>
        <v>1.567543839039492</v>
      </c>
      <c r="T220" s="17" t="str">
        <f t="shared" si="174"/>
        <v>1+1.97379081235251E-08i</v>
      </c>
      <c r="U220" s="17">
        <f t="shared" si="184"/>
        <v>1.0000000000000002</v>
      </c>
      <c r="V220" s="17">
        <f t="shared" si="185"/>
        <v>1.9737908123525096E-8</v>
      </c>
      <c r="W220" s="31" t="str">
        <f t="shared" si="175"/>
        <v>1-0.0106584703867036i</v>
      </c>
      <c r="X220" s="17">
        <f t="shared" si="186"/>
        <v>1.0000567998823788</v>
      </c>
      <c r="Y220" s="17">
        <f t="shared" si="187"/>
        <v>-1.0658066802840494E-2</v>
      </c>
      <c r="Z220" s="31" t="str">
        <f t="shared" si="176"/>
        <v>0.999561408721543+0.650418290998021i</v>
      </c>
      <c r="AA220" s="17">
        <f t="shared" si="188"/>
        <v>1.1925464196710256</v>
      </c>
      <c r="AB220" s="17">
        <f t="shared" si="189"/>
        <v>0.57686974270687474</v>
      </c>
      <c r="AC220" s="66" t="str">
        <f t="shared" si="190"/>
        <v>-77.0319532588866-116.486325037812i</v>
      </c>
      <c r="AD220" s="64">
        <f t="shared" si="191"/>
        <v>42.901011032983803</v>
      </c>
      <c r="AE220" s="61">
        <f t="shared" si="192"/>
        <v>-123.47650887927145</v>
      </c>
      <c r="AF220" s="31" t="str">
        <f t="shared" si="177"/>
        <v>-0.332666666666667</v>
      </c>
      <c r="AG220" s="31" t="str">
        <f t="shared" si="193"/>
        <v>6579.30270784171i</v>
      </c>
      <c r="AH220" s="31">
        <f t="shared" si="194"/>
        <v>6579.3027078417099</v>
      </c>
      <c r="AI220" s="31">
        <f t="shared" si="195"/>
        <v>1.5707963267948966</v>
      </c>
      <c r="AJ220" s="31" t="str">
        <f t="shared" si="178"/>
        <v>-1.30950673152769+54.2560026632273i</v>
      </c>
      <c r="AK220" s="31">
        <f t="shared" si="196"/>
        <v>54.271803294823769</v>
      </c>
      <c r="AL220" s="31">
        <f t="shared" si="197"/>
        <v>1.5949273441850054</v>
      </c>
      <c r="AM220" s="31" t="str">
        <f t="shared" si="179"/>
        <v>1+197400.398176025i</v>
      </c>
      <c r="AN220" s="31">
        <f t="shared" si="198"/>
        <v>197400.39817855792</v>
      </c>
      <c r="AO220" s="31">
        <f t="shared" si="199"/>
        <v>1.5707912609489854</v>
      </c>
      <c r="AP220" s="31" t="str">
        <f t="shared" si="180"/>
        <v>1+21.3169407734071i</v>
      </c>
      <c r="AQ220" s="31">
        <f t="shared" si="200"/>
        <v>21.340383406512316</v>
      </c>
      <c r="AR220" s="31">
        <f t="shared" si="201"/>
        <v>1.5239196464630702</v>
      </c>
      <c r="AS220" s="58" t="str">
        <f t="shared" si="202"/>
        <v>-3.914798865374+0.27846893256337i</v>
      </c>
      <c r="AT220" s="49">
        <f t="shared" si="203"/>
        <v>11.876108163923259</v>
      </c>
      <c r="AU220" s="61">
        <f t="shared" si="204"/>
        <v>175.93126835600199</v>
      </c>
      <c r="AV220" s="58" t="str">
        <f t="shared" si="181"/>
        <v>334.002425806942+434.56952729234i</v>
      </c>
      <c r="AW220" s="64">
        <f t="shared" si="205"/>
        <v>54.777119196907066</v>
      </c>
      <c r="AX220" s="61">
        <f t="shared" si="206"/>
        <v>52.454759476730516</v>
      </c>
    </row>
    <row r="221" spans="14:50" x14ac:dyDescent="0.3">
      <c r="N221" s="10">
        <v>3</v>
      </c>
      <c r="O221" s="50">
        <f t="shared" si="207"/>
        <v>1071.5193052376069</v>
      </c>
      <c r="P221" s="48" t="str">
        <f t="shared" si="172"/>
        <v>51201.9230769231</v>
      </c>
      <c r="Q221" s="17" t="str">
        <f t="shared" si="173"/>
        <v>1+314.617443898434i</v>
      </c>
      <c r="R221" s="17">
        <f t="shared" si="182"/>
        <v>314.61903312607177</v>
      </c>
      <c r="S221" s="17">
        <f t="shared" si="183"/>
        <v>1.567617874195173</v>
      </c>
      <c r="T221" s="17" t="str">
        <f t="shared" si="174"/>
        <v>1+2.01976630650847E-08i</v>
      </c>
      <c r="U221" s="17">
        <f t="shared" si="184"/>
        <v>1.0000000000000002</v>
      </c>
      <c r="V221" s="17">
        <f t="shared" si="185"/>
        <v>2.0197663065084696E-8</v>
      </c>
      <c r="W221" s="31" t="str">
        <f t="shared" si="175"/>
        <v>1-0.0109067380551457i</v>
      </c>
      <c r="X221" s="17">
        <f t="shared" si="186"/>
        <v>1.0000594766987629</v>
      </c>
      <c r="Y221" s="17">
        <f t="shared" si="187"/>
        <v>-1.0906305608634145E-2</v>
      </c>
      <c r="Z221" s="31" t="str">
        <f t="shared" si="176"/>
        <v>0.999540738551401+0.665568479229499i</v>
      </c>
      <c r="AA221" s="17">
        <f t="shared" si="188"/>
        <v>1.2008593125623619</v>
      </c>
      <c r="AB221" s="17">
        <f t="shared" si="189"/>
        <v>0.58745383418644515</v>
      </c>
      <c r="AC221" s="66" t="str">
        <f t="shared" si="190"/>
        <v>-75.9860601756798-112.225045300848i</v>
      </c>
      <c r="AD221" s="64">
        <f t="shared" si="191"/>
        <v>42.640699600818465</v>
      </c>
      <c r="AE221" s="61">
        <f t="shared" si="192"/>
        <v>-124.10139756252865</v>
      </c>
      <c r="AF221" s="31" t="str">
        <f t="shared" si="177"/>
        <v>-0.332666666666667</v>
      </c>
      <c r="AG221" s="31" t="str">
        <f t="shared" si="193"/>
        <v>6732.55435502821i</v>
      </c>
      <c r="AH221" s="31">
        <f t="shared" si="194"/>
        <v>6732.55435502821</v>
      </c>
      <c r="AI221" s="31">
        <f t="shared" si="195"/>
        <v>1.5707963267948966</v>
      </c>
      <c r="AJ221" s="31" t="str">
        <f t="shared" si="178"/>
        <v>-1.41835043049837+55.5197873144464i</v>
      </c>
      <c r="AK221" s="31">
        <f t="shared" si="196"/>
        <v>55.537901485247517</v>
      </c>
      <c r="AL221" s="31">
        <f t="shared" si="197"/>
        <v>1.5963375268607454</v>
      </c>
      <c r="AM221" s="31" t="str">
        <f t="shared" si="179"/>
        <v>1+201998.444126957i</v>
      </c>
      <c r="AN221" s="31">
        <f t="shared" si="198"/>
        <v>201998.44412943226</v>
      </c>
      <c r="AO221" s="31">
        <f t="shared" si="199"/>
        <v>1.5707913762617165</v>
      </c>
      <c r="AP221" s="31" t="str">
        <f t="shared" si="180"/>
        <v>1+21.8134761102914i</v>
      </c>
      <c r="AQ221" s="31">
        <f t="shared" si="200"/>
        <v>21.836385690270575</v>
      </c>
      <c r="AR221" s="31">
        <f t="shared" si="201"/>
        <v>1.5249851803577057</v>
      </c>
      <c r="AS221" s="58" t="str">
        <f t="shared" si="202"/>
        <v>-3.9143721199916+0.279794066456716i</v>
      </c>
      <c r="AT221" s="49">
        <f t="shared" si="203"/>
        <v>11.875374666096768</v>
      </c>
      <c r="AU221" s="61">
        <f t="shared" si="204"/>
        <v>175.91152804236322</v>
      </c>
      <c r="AV221" s="58" t="str">
        <f t="shared" si="181"/>
        <v>328.837617242698+418.030139719856i</v>
      </c>
      <c r="AW221" s="64">
        <f t="shared" si="205"/>
        <v>54.516074266915233</v>
      </c>
      <c r="AX221" s="61">
        <f t="shared" si="206"/>
        <v>51.810130479834633</v>
      </c>
    </row>
    <row r="222" spans="14:50" x14ac:dyDescent="0.3">
      <c r="N222" s="10">
        <v>4</v>
      </c>
      <c r="O222" s="50">
        <f t="shared" si="207"/>
        <v>1096.4781961431863</v>
      </c>
      <c r="P222" s="48" t="str">
        <f t="shared" si="172"/>
        <v>51201.9230769231</v>
      </c>
      <c r="Q222" s="17" t="str">
        <f t="shared" si="173"/>
        <v>1+321.945825590551i</v>
      </c>
      <c r="R222" s="17">
        <f t="shared" si="182"/>
        <v>321.94737864312776</v>
      </c>
      <c r="S222" s="17">
        <f t="shared" si="183"/>
        <v>1.5676902241386323</v>
      </c>
      <c r="T222" s="17" t="str">
        <f t="shared" si="174"/>
        <v>1+2.06681270749489E-08i</v>
      </c>
      <c r="U222" s="17">
        <f t="shared" si="184"/>
        <v>1.0000000000000002</v>
      </c>
      <c r="V222" s="17">
        <f t="shared" si="185"/>
        <v>2.0668127074948897E-8</v>
      </c>
      <c r="W222" s="31" t="str">
        <f t="shared" si="175"/>
        <v>1-0.0111607886204724i</v>
      </c>
      <c r="X222" s="17">
        <f t="shared" si="186"/>
        <v>1.0000622796619372</v>
      </c>
      <c r="Y222" s="17">
        <f t="shared" si="187"/>
        <v>-1.1160325247245308E-2</v>
      </c>
      <c r="Z222" s="31" t="str">
        <f t="shared" si="176"/>
        <v>0.999519094226153+0.681071560678505i</v>
      </c>
      <c r="AA222" s="17">
        <f t="shared" si="188"/>
        <v>1.2095027451344307</v>
      </c>
      <c r="AB222" s="17">
        <f t="shared" si="189"/>
        <v>0.59813285289298435</v>
      </c>
      <c r="AC222" s="66" t="str">
        <f t="shared" si="190"/>
        <v>-74.9198290636464-108.069125838936i</v>
      </c>
      <c r="AD222" s="64">
        <f t="shared" si="191"/>
        <v>42.378431359169596</v>
      </c>
      <c r="AE222" s="61">
        <f t="shared" si="192"/>
        <v>-124.73195983641287</v>
      </c>
      <c r="AF222" s="31" t="str">
        <f t="shared" si="177"/>
        <v>-0.332666666666667</v>
      </c>
      <c r="AG222" s="31" t="str">
        <f t="shared" si="193"/>
        <v>6889.37569164964i</v>
      </c>
      <c r="AH222" s="31">
        <f t="shared" si="194"/>
        <v>6889.3756916496404</v>
      </c>
      <c r="AI222" s="31">
        <f t="shared" si="195"/>
        <v>1.5707963267948966</v>
      </c>
      <c r="AJ222" s="31" t="str">
        <f t="shared" si="178"/>
        <v>-1.53232377496603+56.813009291791i</v>
      </c>
      <c r="AK222" s="31">
        <f t="shared" si="196"/>
        <v>56.833669958401032</v>
      </c>
      <c r="AL222" s="31">
        <f t="shared" si="197"/>
        <v>1.5977611433250194</v>
      </c>
      <c r="AM222" s="31" t="str">
        <f t="shared" si="179"/>
        <v>1+206703.59232673i</v>
      </c>
      <c r="AN222" s="31">
        <f t="shared" si="198"/>
        <v>206703.59232914893</v>
      </c>
      <c r="AO222" s="31">
        <f t="shared" si="199"/>
        <v>1.5707914889496093</v>
      </c>
      <c r="AP222" s="31" t="str">
        <f t="shared" si="180"/>
        <v>1+22.3215772409448i</v>
      </c>
      <c r="AQ222" s="31">
        <f t="shared" si="200"/>
        <v>22.343965863818021</v>
      </c>
      <c r="AR222" s="31">
        <f t="shared" si="201"/>
        <v>1.5260265603371483</v>
      </c>
      <c r="AS222" s="58" t="str">
        <f t="shared" si="202"/>
        <v>-3.91393386502563+0.281266030337393i</v>
      </c>
      <c r="AT222" s="49">
        <f t="shared" si="203"/>
        <v>11.87464001646793</v>
      </c>
      <c r="AU222" s="61">
        <f t="shared" si="204"/>
        <v>175.88963396154713</v>
      </c>
      <c r="AV222" s="58" t="str">
        <f t="shared" si="181"/>
        <v>323.627430160887+401.90300847044i</v>
      </c>
      <c r="AW222" s="64">
        <f t="shared" si="205"/>
        <v>54.253071375637525</v>
      </c>
      <c r="AX222" s="61">
        <f t="shared" si="206"/>
        <v>51.157674125134236</v>
      </c>
    </row>
    <row r="223" spans="14:50" x14ac:dyDescent="0.3">
      <c r="N223" s="10">
        <v>5</v>
      </c>
      <c r="O223" s="50">
        <f t="shared" si="207"/>
        <v>1122.0184543019636</v>
      </c>
      <c r="P223" s="48" t="str">
        <f t="shared" si="172"/>
        <v>51201.9230769231</v>
      </c>
      <c r="Q223" s="17" t="str">
        <f t="shared" si="173"/>
        <v>1+329.444907220852i</v>
      </c>
      <c r="R223" s="17">
        <f t="shared" si="182"/>
        <v>329.44642492180088</v>
      </c>
      <c r="S223" s="17">
        <f t="shared" si="183"/>
        <v>1.5677609272277366</v>
      </c>
      <c r="T223" s="17" t="str">
        <f t="shared" si="174"/>
        <v>1+2.11495495993634E-08i</v>
      </c>
      <c r="U223" s="17">
        <f t="shared" si="184"/>
        <v>1.0000000000000002</v>
      </c>
      <c r="V223" s="17">
        <f t="shared" si="185"/>
        <v>2.1149549599363398E-8</v>
      </c>
      <c r="W223" s="31" t="str">
        <f t="shared" si="175"/>
        <v>1-0.0114207567836562i</v>
      </c>
      <c r="X223" s="17">
        <f t="shared" si="186"/>
        <v>1.0000652147162761</v>
      </c>
      <c r="Y223" s="17">
        <f t="shared" si="187"/>
        <v>-1.1420260272046517E-2</v>
      </c>
      <c r="Z223" s="31" t="str">
        <f t="shared" si="176"/>
        <v>0.999496429835282+0.69693575528403i</v>
      </c>
      <c r="AA223" s="17">
        <f t="shared" si="188"/>
        <v>1.2184878170284659</v>
      </c>
      <c r="AB223" s="17">
        <f t="shared" si="189"/>
        <v>0.60890276209197547</v>
      </c>
      <c r="AC223" s="66" t="str">
        <f t="shared" si="190"/>
        <v>-73.8339719135441-104.017573494777i</v>
      </c>
      <c r="AD223" s="64">
        <f t="shared" si="191"/>
        <v>42.114172079184939</v>
      </c>
      <c r="AE223" s="61">
        <f t="shared" si="192"/>
        <v>-125.36797432014366</v>
      </c>
      <c r="AF223" s="31" t="str">
        <f t="shared" si="177"/>
        <v>-0.332666666666667</v>
      </c>
      <c r="AG223" s="31" t="str">
        <f t="shared" si="193"/>
        <v>7049.84986645445i</v>
      </c>
      <c r="AH223" s="31">
        <f t="shared" si="194"/>
        <v>7049.8498664544504</v>
      </c>
      <c r="AI223" s="31">
        <f t="shared" si="195"/>
        <v>1.5707963267948966</v>
      </c>
      <c r="AJ223" s="31" t="str">
        <f t="shared" si="178"/>
        <v>-1.65166851767495+58.136354278671i</v>
      </c>
      <c r="AK223" s="31">
        <f t="shared" si="196"/>
        <v>58.159811706258353</v>
      </c>
      <c r="AL223" s="31">
        <f t="shared" si="197"/>
        <v>1.5991989395142621</v>
      </c>
      <c r="AM223" s="31" t="str">
        <f t="shared" si="179"/>
        <v>1+211518.337507201i</v>
      </c>
      <c r="AN223" s="31">
        <f t="shared" si="198"/>
        <v>211518.33750956488</v>
      </c>
      <c r="AO223" s="31">
        <f t="shared" si="199"/>
        <v>1.5707915990724126</v>
      </c>
      <c r="AP223" s="31" t="str">
        <f t="shared" si="180"/>
        <v>1+22.8415135673124i</v>
      </c>
      <c r="AQ223" s="31">
        <f t="shared" si="200"/>
        <v>22.863393056274838</v>
      </c>
      <c r="AR223" s="31">
        <f t="shared" si="201"/>
        <v>1.5270443295149243</v>
      </c>
      <c r="AS223" s="58" t="str">
        <f t="shared" si="202"/>
        <v>-3.91348317986565+0.282885517103508i</v>
      </c>
      <c r="AT223" s="49">
        <f t="shared" si="203"/>
        <v>11.873902666755169</v>
      </c>
      <c r="AU223" s="61">
        <f t="shared" si="204"/>
        <v>175.86557449608043</v>
      </c>
      <c r="AV223" s="58" t="str">
        <f t="shared" si="181"/>
        <v>318.37307225225+386.18446295768i</v>
      </c>
      <c r="AW223" s="64">
        <f t="shared" si="205"/>
        <v>53.988074745940111</v>
      </c>
      <c r="AX223" s="61">
        <f t="shared" si="206"/>
        <v>50.497600175936768</v>
      </c>
    </row>
    <row r="224" spans="14:50" x14ac:dyDescent="0.3">
      <c r="N224" s="10">
        <v>6</v>
      </c>
      <c r="O224" s="50">
        <f t="shared" si="207"/>
        <v>1148.1536214968839</v>
      </c>
      <c r="P224" s="48" t="str">
        <f t="shared" si="172"/>
        <v>51201.9230769231</v>
      </c>
      <c r="Q224" s="17" t="str">
        <f t="shared" si="173"/>
        <v>1+337.118664901681i</v>
      </c>
      <c r="R224" s="17">
        <f t="shared" si="182"/>
        <v>337.12014805569225</v>
      </c>
      <c r="S224" s="17">
        <f t="shared" si="183"/>
        <v>1.5678300209473701</v>
      </c>
      <c r="T224" s="17" t="str">
        <f t="shared" si="174"/>
        <v>1+2.16421858949228E-08i</v>
      </c>
      <c r="U224" s="17">
        <f t="shared" si="184"/>
        <v>1.0000000000000002</v>
      </c>
      <c r="V224" s="17">
        <f t="shared" si="185"/>
        <v>2.1642185894922796E-8</v>
      </c>
      <c r="W224" s="31" t="str">
        <f t="shared" si="175"/>
        <v>1-0.0116867803832583i</v>
      </c>
      <c r="X224" s="17">
        <f t="shared" si="186"/>
        <v>1.0000682880862319</v>
      </c>
      <c r="Y224" s="17">
        <f t="shared" si="187"/>
        <v>-1.1686248363445279E-2</v>
      </c>
      <c r="Z224" s="31" t="str">
        <f t="shared" si="176"/>
        <v>0.999472697304577+0.713169474452043i</v>
      </c>
      <c r="AA224" s="17">
        <f t="shared" si="188"/>
        <v>1.2278258719979354</v>
      </c>
      <c r="AB224" s="17">
        <f t="shared" si="189"/>
        <v>0.61975932423745805</v>
      </c>
      <c r="AC224" s="66" t="str">
        <f t="shared" si="190"/>
        <v>-72.7292612981401-100.069415906969i</v>
      </c>
      <c r="AD224" s="64">
        <f t="shared" si="191"/>
        <v>41.8478887922548</v>
      </c>
      <c r="AE224" s="61">
        <f t="shared" si="192"/>
        <v>-126.00920825643934</v>
      </c>
      <c r="AF224" s="31" t="str">
        <f t="shared" si="177"/>
        <v>-0.332666666666667</v>
      </c>
      <c r="AG224" s="31" t="str">
        <f t="shared" si="193"/>
        <v>7214.06196497425i</v>
      </c>
      <c r="AH224" s="31">
        <f t="shared" si="194"/>
        <v>7214.0619649742503</v>
      </c>
      <c r="AI224" s="31">
        <f t="shared" si="195"/>
        <v>1.5707963267948966</v>
      </c>
      <c r="AJ224" s="31" t="str">
        <f t="shared" si="178"/>
        <v>-1.77663780482525+59.4905239301153i</v>
      </c>
      <c r="AK224" s="31">
        <f t="shared" si="196"/>
        <v>59.517046964455112</v>
      </c>
      <c r="AL224" s="31">
        <f t="shared" si="197"/>
        <v>1.600651668326631</v>
      </c>
      <c r="AM224" s="31" t="str">
        <f t="shared" si="179"/>
        <v>1+216445.232509994i</v>
      </c>
      <c r="AN224" s="31">
        <f t="shared" si="198"/>
        <v>216445.23251230409</v>
      </c>
      <c r="AO224" s="31">
        <f t="shared" si="199"/>
        <v>1.5707917066885151</v>
      </c>
      <c r="AP224" s="31" t="str">
        <f t="shared" si="180"/>
        <v>1+23.3735607665166i</v>
      </c>
      <c r="AQ224" s="31">
        <f t="shared" si="200"/>
        <v>23.394942677981582</v>
      </c>
      <c r="AR224" s="31">
        <f t="shared" si="201"/>
        <v>1.5280390190868387</v>
      </c>
      <c r="AS224" s="58" t="str">
        <f t="shared" si="202"/>
        <v>-3.91301911833266+0.284653290270677i</v>
      </c>
      <c r="AT224" s="49">
        <f t="shared" si="203"/>
        <v>11.873161062952954</v>
      </c>
      <c r="AU224" s="61">
        <f t="shared" si="204"/>
        <v>175.83933694669952</v>
      </c>
      <c r="AV224" s="58" t="str">
        <f t="shared" si="181"/>
        <v>313.076078415217+370.870914076881i</v>
      </c>
      <c r="AW224" s="64">
        <f t="shared" si="205"/>
        <v>53.721049855207752</v>
      </c>
      <c r="AX224" s="61">
        <f t="shared" si="206"/>
        <v>49.830128690260224</v>
      </c>
    </row>
    <row r="225" spans="14:50" x14ac:dyDescent="0.3">
      <c r="N225" s="10">
        <v>7</v>
      </c>
      <c r="O225" s="50">
        <f t="shared" si="207"/>
        <v>1174.8975549395295</v>
      </c>
      <c r="P225" s="48" t="str">
        <f t="shared" si="172"/>
        <v>51201.9230769231</v>
      </c>
      <c r="Q225" s="17" t="str">
        <f t="shared" si="173"/>
        <v>1+344.971167360934i</v>
      </c>
      <c r="R225" s="17">
        <f t="shared" si="182"/>
        <v>344.9726167543817</v>
      </c>
      <c r="S225" s="17">
        <f t="shared" si="183"/>
        <v>1.5678975419292978</v>
      </c>
      <c r="T225" s="17" t="str">
        <f t="shared" si="174"/>
        <v>1+2.21462971639118E-08i</v>
      </c>
      <c r="U225" s="17">
        <f t="shared" si="184"/>
        <v>1.0000000000000002</v>
      </c>
      <c r="V225" s="17">
        <f t="shared" si="185"/>
        <v>2.2146297163911798E-8</v>
      </c>
      <c r="W225" s="31" t="str">
        <f t="shared" si="175"/>
        <v>1-0.0119590004685124i</v>
      </c>
      <c r="X225" s="17">
        <f t="shared" si="186"/>
        <v>1.0000715062895282</v>
      </c>
      <c r="Y225" s="17">
        <f t="shared" si="187"/>
        <v>-1.1958430401213395E-2</v>
      </c>
      <c r="Z225" s="31" t="str">
        <f t="shared" si="176"/>
        <v>0.999447846294159+0.729781325515323i</v>
      </c>
      <c r="AA225" s="17">
        <f t="shared" si="188"/>
        <v>1.2375284968569147</v>
      </c>
      <c r="AB225" s="17">
        <f t="shared" si="189"/>
        <v>0.63069810647622093</v>
      </c>
      <c r="AC225" s="66" t="str">
        <f t="shared" si="190"/>
        <v>-71.6065296457177-96.2236957371424i</v>
      </c>
      <c r="AD225" s="64">
        <f t="shared" si="191"/>
        <v>41.579549903307566</v>
      </c>
      <c r="AE225" s="61">
        <f t="shared" si="192"/>
        <v>-126.65541783216595</v>
      </c>
      <c r="AF225" s="31" t="str">
        <f t="shared" si="177"/>
        <v>-0.332666666666667</v>
      </c>
      <c r="AG225" s="31" t="str">
        <f t="shared" si="193"/>
        <v>7382.09905463727i</v>
      </c>
      <c r="AH225" s="31">
        <f t="shared" si="194"/>
        <v>7382.0990546372695</v>
      </c>
      <c r="AI225" s="31">
        <f t="shared" si="195"/>
        <v>1.5707963267948966</v>
      </c>
      <c r="AJ225" s="31" t="str">
        <f t="shared" si="178"/>
        <v>-1.9074967130299+60.8762362447975i</v>
      </c>
      <c r="AK225" s="31">
        <f t="shared" si="196"/>
        <v>60.906113675415341</v>
      </c>
      <c r="AL225" s="31">
        <f t="shared" si="197"/>
        <v>1.6021200899766037</v>
      </c>
      <c r="AM225" s="31" t="str">
        <f t="shared" si="179"/>
        <v>1+221486.889640055i</v>
      </c>
      <c r="AN225" s="31">
        <f t="shared" si="198"/>
        <v>221486.88964231245</v>
      </c>
      <c r="AO225" s="31">
        <f t="shared" si="199"/>
        <v>1.5707918118549757</v>
      </c>
      <c r="AP225" s="31" t="str">
        <f t="shared" si="180"/>
        <v>1+23.9180009370248i</v>
      </c>
      <c r="AQ225" s="31">
        <f t="shared" si="200"/>
        <v>23.938896566540393</v>
      </c>
      <c r="AR225" s="31">
        <f t="shared" si="201"/>
        <v>1.5290111485727593</v>
      </c>
      <c r="AS225" s="58" t="str">
        <f t="shared" si="202"/>
        <v>-3.91254070675442+0.286570183931511i</v>
      </c>
      <c r="AT225" s="49">
        <f t="shared" si="203"/>
        <v>11.872413642120083</v>
      </c>
      <c r="AU225" s="61">
        <f t="shared" si="204"/>
        <v>175.81090752588827</v>
      </c>
      <c r="AV225" s="58" t="str">
        <f t="shared" si="181"/>
        <v>307.73830429425+355.958830154651i</v>
      </c>
      <c r="AW225" s="64">
        <f t="shared" si="205"/>
        <v>53.451963545427645</v>
      </c>
      <c r="AX225" s="61">
        <f t="shared" si="206"/>
        <v>49.155489693722338</v>
      </c>
    </row>
    <row r="226" spans="14:50" x14ac:dyDescent="0.3">
      <c r="N226" s="10">
        <v>8</v>
      </c>
      <c r="O226" s="50">
        <f t="shared" si="207"/>
        <v>1202.2644346174138</v>
      </c>
      <c r="P226" s="48" t="str">
        <f t="shared" si="172"/>
        <v>51201.9230769231</v>
      </c>
      <c r="Q226" s="17" t="str">
        <f t="shared" si="173"/>
        <v>1+353.006578099356i</v>
      </c>
      <c r="R226" s="17">
        <f t="shared" si="182"/>
        <v>353.00799450071486</v>
      </c>
      <c r="S226" s="17">
        <f t="shared" si="183"/>
        <v>1.5679635259715734</v>
      </c>
      <c r="T226" s="17" t="str">
        <f t="shared" si="174"/>
        <v>1+2.26621506927982E-08i</v>
      </c>
      <c r="U226" s="17">
        <f t="shared" si="184"/>
        <v>1.0000000000000002</v>
      </c>
      <c r="V226" s="17">
        <f t="shared" si="185"/>
        <v>2.2662150692798196E-8</v>
      </c>
      <c r="W226" s="31" t="str">
        <f t="shared" si="175"/>
        <v>1-0.012237561374111i</v>
      </c>
      <c r="X226" s="17">
        <f t="shared" si="186"/>
        <v>1.0000748761509735</v>
      </c>
      <c r="Y226" s="17">
        <f t="shared" si="187"/>
        <v>-1.2236950538464835E-2</v>
      </c>
      <c r="Z226" s="31" t="str">
        <f t="shared" si="176"/>
        <v>0.999421824091702+0.746780116297191i</v>
      </c>
      <c r="AA226" s="17">
        <f t="shared" si="188"/>
        <v>1.2476075202432979</v>
      </c>
      <c r="AB226" s="17">
        <f t="shared" si="189"/>
        <v>0.64171448714590185</v>
      </c>
      <c r="AC226" s="66" t="str">
        <f t="shared" si="190"/>
        <v>-70.4666680914988-92.4794649141572i</v>
      </c>
      <c r="AD226" s="64">
        <f t="shared" si="191"/>
        <v>41.309125302233767</v>
      </c>
      <c r="AE226" s="61">
        <f t="shared" si="192"/>
        <v>-127.30634855600353</v>
      </c>
      <c r="AF226" s="31" t="str">
        <f t="shared" si="177"/>
        <v>-0.332666666666667</v>
      </c>
      <c r="AG226" s="31" t="str">
        <f t="shared" si="193"/>
        <v>7554.05023093271i</v>
      </c>
      <c r="AH226" s="31">
        <f t="shared" si="194"/>
        <v>7554.0502309327103</v>
      </c>
      <c r="AI226" s="31">
        <f t="shared" si="195"/>
        <v>1.5707963267948966</v>
      </c>
      <c r="AJ226" s="31" t="str">
        <f t="shared" si="178"/>
        <v>-2.04452281157776+62.294225945729i</v>
      </c>
      <c r="AK226" s="31">
        <f t="shared" si="196"/>
        <v>62.327767966650299</v>
      </c>
      <c r="AL226" s="31">
        <f t="shared" si="197"/>
        <v>1.6036049723506407</v>
      </c>
      <c r="AM226" s="31" t="str">
        <f t="shared" si="179"/>
        <v>1+226645.98205073i</v>
      </c>
      <c r="AN226" s="31">
        <f t="shared" si="198"/>
        <v>226645.98205293607</v>
      </c>
      <c r="AO226" s="31">
        <f t="shared" si="199"/>
        <v>1.5707919146275555</v>
      </c>
      <c r="AP226" s="31" t="str">
        <f t="shared" si="180"/>
        <v>1+24.475122748222i</v>
      </c>
      <c r="AQ226" s="31">
        <f t="shared" si="200"/>
        <v>24.495543136263258</v>
      </c>
      <c r="AR226" s="31">
        <f t="shared" si="201"/>
        <v>1.529961226054843</v>
      </c>
      <c r="AS226" s="58" t="str">
        <f t="shared" si="202"/>
        <v>-3.9120469419897+0.288637102715196i</v>
      </c>
      <c r="AT226" s="49">
        <f t="shared" si="203"/>
        <v>11.871658829149528</v>
      </c>
      <c r="AU226" s="61">
        <f t="shared" si="204"/>
        <v>175.78027135115144</v>
      </c>
      <c r="AV226" s="58" t="str">
        <f t="shared" si="181"/>
        <v>302.361918233025+341.444712998349i</v>
      </c>
      <c r="AW226" s="64">
        <f t="shared" si="205"/>
        <v>53.180784131383298</v>
      </c>
      <c r="AX226" s="61">
        <f t="shared" si="206"/>
        <v>48.473922795147899</v>
      </c>
    </row>
    <row r="227" spans="14:50" x14ac:dyDescent="0.3">
      <c r="N227" s="10">
        <v>9</v>
      </c>
      <c r="O227" s="50">
        <f t="shared" si="207"/>
        <v>1230.2687708123824</v>
      </c>
      <c r="P227" s="48" t="str">
        <f t="shared" si="172"/>
        <v>51201.9230769231</v>
      </c>
      <c r="Q227" s="17" t="str">
        <f t="shared" si="173"/>
        <v>1+361.229157598079i</v>
      </c>
      <c r="R227" s="17">
        <f t="shared" si="182"/>
        <v>361.23054175833164</v>
      </c>
      <c r="S227" s="17">
        <f t="shared" si="183"/>
        <v>1.56802800805751</v>
      </c>
      <c r="T227" s="17" t="str">
        <f t="shared" si="174"/>
        <v>1+2.31900199939508E-08i</v>
      </c>
      <c r="U227" s="17">
        <f t="shared" si="184"/>
        <v>1.0000000000000002</v>
      </c>
      <c r="V227" s="17">
        <f t="shared" si="185"/>
        <v>2.3190019993950796E-8</v>
      </c>
      <c r="W227" s="31" t="str">
        <f t="shared" si="175"/>
        <v>1-0.0125226107967334i</v>
      </c>
      <c r="X227" s="17">
        <f t="shared" si="186"/>
        <v>1.0000784048169256</v>
      </c>
      <c r="Y227" s="17">
        <f t="shared" si="187"/>
        <v>-1.2521956277317569E-2</v>
      </c>
      <c r="Z227" s="31" t="str">
        <f t="shared" si="176"/>
        <v>0.999394575500625+0.764174859781522i</v>
      </c>
      <c r="AA227" s="17">
        <f t="shared" si="188"/>
        <v>1.2580750112223766</v>
      </c>
      <c r="AB227" s="17">
        <f t="shared" si="189"/>
        <v>0.65280366326391426</v>
      </c>
      <c r="AC227" s="66" t="str">
        <f t="shared" si="190"/>
        <v>-69.3106248994601-88.8357789363723i</v>
      </c>
      <c r="AD227" s="64">
        <f t="shared" si="191"/>
        <v>41.036586472676007</v>
      </c>
      <c r="AE227" s="61">
        <f t="shared" si="192"/>
        <v>-127.96173569294983</v>
      </c>
      <c r="AF227" s="31" t="str">
        <f t="shared" si="177"/>
        <v>-0.332666666666667</v>
      </c>
      <c r="AG227" s="31" t="str">
        <f t="shared" si="193"/>
        <v>7730.00666465025i</v>
      </c>
      <c r="AH227" s="31">
        <f t="shared" si="194"/>
        <v>7730.0066646502501</v>
      </c>
      <c r="AI227" s="31">
        <f t="shared" si="195"/>
        <v>1.5707963267948966</v>
      </c>
      <c r="AJ227" s="31" t="str">
        <f t="shared" si="178"/>
        <v>-2.18800675119526+63.7452448698184i</v>
      </c>
      <c r="AK227" s="31">
        <f t="shared" si="196"/>
        <v>63.782784644889759</v>
      </c>
      <c r="AL227" s="31">
        <f t="shared" si="197"/>
        <v>1.6051070913638823</v>
      </c>
      <c r="AM227" s="31" t="str">
        <f t="shared" si="179"/>
        <v>1+231925.245161101i</v>
      </c>
      <c r="AN227" s="31">
        <f t="shared" si="198"/>
        <v>231925.24516325688</v>
      </c>
      <c r="AO227" s="31">
        <f t="shared" si="199"/>
        <v>1.5707920150607457</v>
      </c>
      <c r="AP227" s="31" t="str">
        <f t="shared" si="180"/>
        <v>1+25.0452215934668i</v>
      </c>
      <c r="AQ227" s="31">
        <f t="shared" si="200"/>
        <v>25.065177531105888</v>
      </c>
      <c r="AR227" s="31">
        <f t="shared" si="201"/>
        <v>1.5308897484121571</v>
      </c>
      <c r="AS227" s="58" t="str">
        <f t="shared" si="202"/>
        <v>-3.91153678939819+0.290855021745008i</v>
      </c>
      <c r="AT227" s="49">
        <f t="shared" si="203"/>
        <v>11.87089503351406</v>
      </c>
      <c r="AU227" s="61">
        <f t="shared" si="204"/>
        <v>175.74741243802191</v>
      </c>
      <c r="AV227" s="58" t="str">
        <f t="shared" si="181"/>
        <v>296.94939160469+327.325074212172i</v>
      </c>
      <c r="AW227" s="64">
        <f t="shared" si="205"/>
        <v>52.907481506190067</v>
      </c>
      <c r="AX227" s="61">
        <f t="shared" si="206"/>
        <v>47.78567674507201</v>
      </c>
    </row>
    <row r="228" spans="14:50" x14ac:dyDescent="0.3">
      <c r="N228" s="10">
        <v>10</v>
      </c>
      <c r="O228" s="50">
        <f t="shared" si="207"/>
        <v>1258.925411794168</v>
      </c>
      <c r="P228" s="48" t="str">
        <f t="shared" si="172"/>
        <v>51201.9230769231</v>
      </c>
      <c r="Q228" s="17" t="str">
        <f t="shared" si="173"/>
        <v>1+369.643265577595i</v>
      </c>
      <c r="R228" s="17">
        <f t="shared" si="182"/>
        <v>369.64461823063033</v>
      </c>
      <c r="S228" s="17">
        <f t="shared" si="183"/>
        <v>1.568091022374217</v>
      </c>
      <c r="T228" s="17" t="str">
        <f t="shared" si="174"/>
        <v>1+2.37301849506604E-08i</v>
      </c>
      <c r="U228" s="17">
        <f t="shared" si="184"/>
        <v>1.0000000000000004</v>
      </c>
      <c r="V228" s="17">
        <f t="shared" si="185"/>
        <v>2.3730184950660398E-8</v>
      </c>
      <c r="W228" s="31" t="str">
        <f t="shared" si="175"/>
        <v>1-0.0128142998733566i</v>
      </c>
      <c r="X228" s="17">
        <f t="shared" si="186"/>
        <v>1.0000820997704361</v>
      </c>
      <c r="Y228" s="17">
        <f t="shared" si="187"/>
        <v>-1.2813598546276372E-2</v>
      </c>
      <c r="Z228" s="31" t="str">
        <f t="shared" si="176"/>
        <v>0.999366042723016+0.78197477889156i</v>
      </c>
      <c r="AA228" s="17">
        <f t="shared" si="188"/>
        <v>1.2689432777592407</v>
      </c>
      <c r="AB228" s="17">
        <f t="shared" si="189"/>
        <v>0.66396065899535006</v>
      </c>
      <c r="AC228" s="66" t="str">
        <f t="shared" si="190"/>
        <v>-68.1394034516307-85.2916912745884i</v>
      </c>
      <c r="AD228" s="64">
        <f t="shared" si="191"/>
        <v>40.761906597408867</v>
      </c>
      <c r="AE228" s="61">
        <f t="shared" si="192"/>
        <v>-128.62130475499256</v>
      </c>
      <c r="AF228" s="31" t="str">
        <f t="shared" si="177"/>
        <v>-0.332666666666667</v>
      </c>
      <c r="AG228" s="31" t="str">
        <f t="shared" si="193"/>
        <v>7910.06165022013i</v>
      </c>
      <c r="AH228" s="31">
        <f t="shared" si="194"/>
        <v>7910.0616502201301</v>
      </c>
      <c r="AI228" s="31">
        <f t="shared" si="195"/>
        <v>1.5707963267948966</v>
      </c>
      <c r="AJ228" s="31" t="str">
        <f t="shared" si="178"/>
        <v>-2.33825288055556+65.2300623665058i</v>
      </c>
      <c r="AK228" s="31">
        <f t="shared" si="196"/>
        <v>65.271957706749248</v>
      </c>
      <c r="AL228" s="31">
        <f t="shared" si="197"/>
        <v>1.606627231317836</v>
      </c>
      <c r="AM228" s="31" t="str">
        <f t="shared" si="179"/>
        <v>1+237327.478106351i</v>
      </c>
      <c r="AN228" s="31">
        <f t="shared" si="198"/>
        <v>237327.47810845778</v>
      </c>
      <c r="AO228" s="31">
        <f t="shared" si="199"/>
        <v>1.5707921132077975</v>
      </c>
      <c r="AP228" s="31" t="str">
        <f t="shared" si="180"/>
        <v>1+25.6285997467132i</v>
      </c>
      <c r="AQ228" s="31">
        <f t="shared" si="200"/>
        <v>25.648101781169458</v>
      </c>
      <c r="AR228" s="31">
        <f t="shared" si="201"/>
        <v>1.5317972015516625</v>
      </c>
      <c r="AS228" s="58" t="str">
        <f t="shared" si="202"/>
        <v>-3.91100918075248+0.293224986591383i</v>
      </c>
      <c r="AT228" s="49">
        <f t="shared" si="203"/>
        <v>11.870120645981341</v>
      </c>
      <c r="AU228" s="61">
        <f t="shared" si="204"/>
        <v>175.71231369280255</v>
      </c>
      <c r="AV228" s="58" t="str">
        <f t="shared" si="181"/>
        <v>291.503487500672+313.596411953372i</v>
      </c>
      <c r="AW228" s="64">
        <f t="shared" si="205"/>
        <v>52.632027243390198</v>
      </c>
      <c r="AX228" s="61">
        <f t="shared" si="206"/>
        <v>47.091008937809995</v>
      </c>
    </row>
    <row r="229" spans="14:50" x14ac:dyDescent="0.3">
      <c r="N229" s="10">
        <v>11</v>
      </c>
      <c r="O229" s="50">
        <f t="shared" si="207"/>
        <v>1288.2495516931347</v>
      </c>
      <c r="P229" s="48" t="str">
        <f t="shared" si="172"/>
        <v>51201.9230769231</v>
      </c>
      <c r="Q229" s="17" t="str">
        <f t="shared" si="173"/>
        <v>1+378.253363309326i</v>
      </c>
      <c r="R229" s="17">
        <f t="shared" si="182"/>
        <v>378.25468517232798</v>
      </c>
      <c r="S229" s="17">
        <f t="shared" si="183"/>
        <v>1.5681526023307166</v>
      </c>
      <c r="T229" s="17" t="str">
        <f t="shared" si="174"/>
        <v>1+2.4282931965537E-08i</v>
      </c>
      <c r="U229" s="17">
        <f t="shared" si="184"/>
        <v>1.0000000000000004</v>
      </c>
      <c r="V229" s="17">
        <f t="shared" si="185"/>
        <v>2.4282931965536997E-8</v>
      </c>
      <c r="W229" s="31" t="str">
        <f t="shared" si="175"/>
        <v>1-0.01311278326139i</v>
      </c>
      <c r="X229" s="17">
        <f t="shared" si="186"/>
        <v>1.0000859688471089</v>
      </c>
      <c r="Y229" s="17">
        <f t="shared" si="187"/>
        <v>-1.3112031779373114E-2</v>
      </c>
      <c r="Z229" s="31" t="str">
        <f t="shared" si="176"/>
        <v>0.999336165237025+0.800189311380024i</v>
      </c>
      <c r="AA229" s="17">
        <f t="shared" si="188"/>
        <v>1.2802248650910821</v>
      </c>
      <c r="AB229" s="17">
        <f t="shared" si="189"/>
        <v>0.6751803350788218</v>
      </c>
      <c r="AC229" s="66" t="str">
        <f t="shared" si="190"/>
        <v>-66.9540598068472-81.8462479193886i</v>
      </c>
      <c r="AD229" s="64">
        <f t="shared" si="191"/>
        <v>40.485060659534604</v>
      </c>
      <c r="AE229" s="61">
        <f t="shared" si="192"/>
        <v>-129.28477204674223</v>
      </c>
      <c r="AF229" s="31" t="str">
        <f t="shared" si="177"/>
        <v>-0.332666666666667</v>
      </c>
      <c r="AG229" s="31" t="str">
        <f t="shared" si="193"/>
        <v>8094.31065517899i</v>
      </c>
      <c r="AH229" s="31">
        <f t="shared" si="194"/>
        <v>8094.3106551789897</v>
      </c>
      <c r="AI229" s="31">
        <f t="shared" si="195"/>
        <v>1.5707963267948966</v>
      </c>
      <c r="AJ229" s="31" t="str">
        <f t="shared" si="178"/>
        <v>-2.49557989184287+66.7494657056819i</v>
      </c>
      <c r="AK229" s="31">
        <f t="shared" si="196"/>
        <v>66.796100866671665</v>
      </c>
      <c r="AL229" s="31">
        <f t="shared" si="197"/>
        <v>1.6081661852589957</v>
      </c>
      <c r="AM229" s="31" t="str">
        <f t="shared" si="179"/>
        <v>1+242855.545221893i</v>
      </c>
      <c r="AN229" s="31">
        <f t="shared" si="198"/>
        <v>242855.54522395183</v>
      </c>
      <c r="AO229" s="31">
        <f t="shared" si="199"/>
        <v>1.5707922091207498</v>
      </c>
      <c r="AP229" s="31" t="str">
        <f t="shared" si="180"/>
        <v>1+26.2255665227799i</v>
      </c>
      <c r="AQ229" s="31">
        <f t="shared" si="200"/>
        <v>26.244624962851994</v>
      </c>
      <c r="AR229" s="31">
        <f t="shared" si="201"/>
        <v>1.532684060635523</v>
      </c>
      <c r="AS229" s="58" t="str">
        <f t="shared" si="202"/>
        <v>-3.91046301208854+0.295748113217977i</v>
      </c>
      <c r="AT229" s="49">
        <f t="shared" si="203"/>
        <v>11.869334035292134</v>
      </c>
      <c r="AU229" s="61">
        <f t="shared" si="204"/>
        <v>175.67495690504447</v>
      </c>
      <c r="AV229" s="58" t="str">
        <f t="shared" si="181"/>
        <v>286.02724777997+300.255188306839i</v>
      </c>
      <c r="AW229" s="64">
        <f t="shared" si="205"/>
        <v>52.354394694826738</v>
      </c>
      <c r="AX229" s="61">
        <f t="shared" si="206"/>
        <v>46.39018485830222</v>
      </c>
    </row>
    <row r="230" spans="14:50" x14ac:dyDescent="0.3">
      <c r="N230" s="10">
        <v>12</v>
      </c>
      <c r="O230" s="50">
        <f t="shared" si="207"/>
        <v>1318.2567385564089</v>
      </c>
      <c r="P230" s="48" t="str">
        <f t="shared" si="172"/>
        <v>51201.9230769231</v>
      </c>
      <c r="Q230" s="17" t="str">
        <f t="shared" si="173"/>
        <v>1+387.06401598106i</v>
      </c>
      <c r="R230" s="17">
        <f t="shared" si="182"/>
        <v>387.06530775488812</v>
      </c>
      <c r="S230" s="17">
        <f t="shared" si="183"/>
        <v>1.5682127805756474</v>
      </c>
      <c r="T230" s="17" t="str">
        <f t="shared" si="174"/>
        <v>1+2.48485541123644E-08i</v>
      </c>
      <c r="U230" s="17">
        <f t="shared" si="184"/>
        <v>1.0000000000000004</v>
      </c>
      <c r="V230" s="17">
        <f t="shared" si="185"/>
        <v>2.4848554112364393E-8</v>
      </c>
      <c r="W230" s="31" t="str">
        <f t="shared" si="175"/>
        <v>1-0.0134182192206767i</v>
      </c>
      <c r="X230" s="17">
        <f t="shared" si="186"/>
        <v>1.0000900202517042</v>
      </c>
      <c r="Y230" s="17">
        <f t="shared" si="187"/>
        <v>-1.3417413997102596E-2</v>
      </c>
      <c r="Z230" s="31" t="str">
        <f t="shared" si="176"/>
        <v>0.9993048796685+0.818828114833142i</v>
      </c>
      <c r="AA230" s="17">
        <f t="shared" si="188"/>
        <v>1.2919325540330937</v>
      </c>
      <c r="AB230" s="17">
        <f t="shared" si="189"/>
        <v>0.68645739917996451</v>
      </c>
      <c r="AC230" s="66" t="str">
        <f t="shared" si="190"/>
        <v>-65.7556998360646-78.4984821170247i</v>
      </c>
      <c r="AD230" s="64">
        <f t="shared" si="191"/>
        <v>40.206025538726131</v>
      </c>
      <c r="AE230" s="61">
        <f t="shared" si="192"/>
        <v>-129.95184526429566</v>
      </c>
      <c r="AF230" s="31" t="str">
        <f t="shared" si="177"/>
        <v>-0.332666666666667</v>
      </c>
      <c r="AG230" s="31" t="str">
        <f t="shared" si="193"/>
        <v>8282.85137078811i</v>
      </c>
      <c r="AH230" s="31">
        <f t="shared" si="194"/>
        <v>8282.8513707881102</v>
      </c>
      <c r="AI230" s="31">
        <f t="shared" si="195"/>
        <v>1.5707963267948966</v>
      </c>
      <c r="AJ230" s="31" t="str">
        <f t="shared" si="178"/>
        <v>-2.66032149674136+68.3042604951089i</v>
      </c>
      <c r="AK230" s="31">
        <f t="shared" si="196"/>
        <v>68.35604810292736</v>
      </c>
      <c r="AL230" s="31">
        <f t="shared" si="197"/>
        <v>1.60972475533832</v>
      </c>
      <c r="AM230" s="31" t="str">
        <f t="shared" si="179"/>
        <v>1+248512.377562085i</v>
      </c>
      <c r="AN230" s="31">
        <f t="shared" si="198"/>
        <v>248512.377564097</v>
      </c>
      <c r="AO230" s="31">
        <f t="shared" si="199"/>
        <v>1.5707923028504565</v>
      </c>
      <c r="AP230" s="31" t="str">
        <f t="shared" si="180"/>
        <v>1+26.8364384413535i</v>
      </c>
      <c r="AQ230" s="31">
        <f t="shared" si="200"/>
        <v>26.855063362735823</v>
      </c>
      <c r="AR230" s="31">
        <f t="shared" si="201"/>
        <v>1.5335507903047279</v>
      </c>
      <c r="AS230" s="58" t="str">
        <f t="shared" si="202"/>
        <v>-3.90989714149124+0.298425587917996i</v>
      </c>
      <c r="AT230" s="49">
        <f t="shared" si="203"/>
        <v>11.868533544795694</v>
      </c>
      <c r="AU230" s="61">
        <f t="shared" si="204"/>
        <v>175.63532273976463</v>
      </c>
      <c r="AV230" s="58" t="str">
        <f t="shared" si="181"/>
        <v>280.523978502228+287.297807458219i</v>
      </c>
      <c r="AW230" s="64">
        <f t="shared" si="205"/>
        <v>52.074559083521812</v>
      </c>
      <c r="AX230" s="61">
        <f t="shared" si="206"/>
        <v>45.683477475468976</v>
      </c>
    </row>
    <row r="231" spans="14:50" x14ac:dyDescent="0.3">
      <c r="N231" s="10">
        <v>13</v>
      </c>
      <c r="O231" s="50">
        <f t="shared" si="207"/>
        <v>1348.9628825916541</v>
      </c>
      <c r="P231" s="48" t="str">
        <f t="shared" si="172"/>
        <v>51201.9230769231</v>
      </c>
      <c r="Q231" s="17" t="str">
        <f t="shared" si="173"/>
        <v>1+396.079895117464i</v>
      </c>
      <c r="R231" s="17">
        <f t="shared" si="182"/>
        <v>396.08115748702465</v>
      </c>
      <c r="S231" s="17">
        <f t="shared" si="183"/>
        <v>1.5682715890145669</v>
      </c>
      <c r="T231" s="17" t="str">
        <f t="shared" si="174"/>
        <v>1+2.54273512914915E-08i</v>
      </c>
      <c r="U231" s="17">
        <f t="shared" si="184"/>
        <v>1.0000000000000004</v>
      </c>
      <c r="V231" s="17">
        <f t="shared" si="185"/>
        <v>2.5427351291491492E-8</v>
      </c>
      <c r="W231" s="31" t="str">
        <f t="shared" si="175"/>
        <v>1-0.0137307696974054i</v>
      </c>
      <c r="X231" s="17">
        <f t="shared" si="186"/>
        <v>1.0000942625755249</v>
      </c>
      <c r="Y231" s="17">
        <f t="shared" si="187"/>
        <v>-1.3729906889192834E-2</v>
      </c>
      <c r="Z231" s="31" t="str">
        <f t="shared" si="176"/>
        <v>0.999272119656556+0.837901071791214i</v>
      </c>
      <c r="AA231" s="17">
        <f t="shared" si="188"/>
        <v>1.3040793592537885</v>
      </c>
      <c r="AB231" s="17">
        <f t="shared" si="189"/>
        <v>0.69778641713297962</v>
      </c>
      <c r="AC231" s="66" t="str">
        <f t="shared" si="190"/>
        <v>-64.545475946579-75.2474093378175i</v>
      </c>
      <c r="AD231" s="64">
        <f t="shared" si="191"/>
        <v>39.924780101767858</v>
      </c>
      <c r="AE231" s="61">
        <f t="shared" si="192"/>
        <v>-130.62222414506311</v>
      </c>
      <c r="AF231" s="31" t="str">
        <f t="shared" si="177"/>
        <v>-0.332666666666667</v>
      </c>
      <c r="AG231" s="31" t="str">
        <f t="shared" si="193"/>
        <v>8475.7837638305i</v>
      </c>
      <c r="AH231" s="31">
        <f t="shared" si="194"/>
        <v>8475.7837638305009</v>
      </c>
      <c r="AI231" s="31">
        <f t="shared" si="195"/>
        <v>1.5707963267948966</v>
      </c>
      <c r="AJ231" s="31" t="str">
        <f t="shared" si="178"/>
        <v>-2.83282713428226+69.895271107564i</v>
      </c>
      <c r="AK231" s="31">
        <f t="shared" si="196"/>
        <v>69.952654222499646</v>
      </c>
      <c r="AL231" s="31">
        <f t="shared" si="197"/>
        <v>1.6113037531714787</v>
      </c>
      <c r="AM231" s="31" t="str">
        <f t="shared" si="179"/>
        <v>1+254300.97445431i</v>
      </c>
      <c r="AN231" s="31">
        <f t="shared" si="198"/>
        <v>254300.97445627613</v>
      </c>
      <c r="AO231" s="31">
        <f t="shared" si="199"/>
        <v>1.5707923944466147</v>
      </c>
      <c r="AP231" s="31" t="str">
        <f t="shared" si="180"/>
        <v>1+27.4615393948108i</v>
      </c>
      <c r="AQ231" s="31">
        <f t="shared" si="200"/>
        <v>27.479740645296229</v>
      </c>
      <c r="AR231" s="31">
        <f t="shared" si="201"/>
        <v>1.5343978448990072</v>
      </c>
      <c r="AS231" s="58" t="str">
        <f t="shared" si="202"/>
        <v>-3.90931038681099+0.301258667237804i</v>
      </c>
      <c r="AT231" s="49">
        <f t="shared" si="203"/>
        <v>11.867717489035407</v>
      </c>
      <c r="AU231" s="61">
        <f t="shared" si="204"/>
        <v>175.59339072940696</v>
      </c>
      <c r="AV231" s="58" t="str">
        <f t="shared" si="181"/>
        <v>274.997233789829+274.720594845052i</v>
      </c>
      <c r="AW231" s="64">
        <f t="shared" si="205"/>
        <v>51.792497590803272</v>
      </c>
      <c r="AX231" s="61">
        <f t="shared" si="206"/>
        <v>44.971166584343798</v>
      </c>
    </row>
    <row r="232" spans="14:50" x14ac:dyDescent="0.3">
      <c r="N232" s="10">
        <v>14</v>
      </c>
      <c r="O232" s="50">
        <f t="shared" si="207"/>
        <v>1380.3842646028863</v>
      </c>
      <c r="P232" s="48" t="str">
        <f t="shared" si="172"/>
        <v>51201.9230769231</v>
      </c>
      <c r="Q232" s="17" t="str">
        <f t="shared" si="173"/>
        <v>1+405.305781056997i</v>
      </c>
      <c r="R232" s="17">
        <f t="shared" si="182"/>
        <v>405.30701469160681</v>
      </c>
      <c r="S232" s="17">
        <f t="shared" si="183"/>
        <v>1.5683290588268597</v>
      </c>
      <c r="T232" s="17" t="str">
        <f t="shared" si="174"/>
        <v>1+2.60196303888443E-08i</v>
      </c>
      <c r="U232" s="17">
        <f t="shared" si="184"/>
        <v>1.0000000000000004</v>
      </c>
      <c r="V232" s="17">
        <f t="shared" si="185"/>
        <v>2.6019630388844294E-8</v>
      </c>
      <c r="W232" s="31" t="str">
        <f t="shared" si="175"/>
        <v>1-0.0140506004099759i</v>
      </c>
      <c r="X232" s="17">
        <f t="shared" si="186"/>
        <v>1.0000987048146202</v>
      </c>
      <c r="Y232" s="17">
        <f t="shared" si="187"/>
        <v>-1.4049675899247398E-2</v>
      </c>
      <c r="Z232" s="31" t="str">
        <f t="shared" si="176"/>
        <v>0.999237815712815+0.857418294988483i</v>
      </c>
      <c r="AA232" s="17">
        <f t="shared" si="188"/>
        <v>1.3166785275576856</v>
      </c>
      <c r="AB232" s="17">
        <f t="shared" si="189"/>
        <v>0.70916182502146019</v>
      </c>
      <c r="AC232" s="66" t="str">
        <f t="shared" si="190"/>
        <v>-63.3245834127992-72.0920225201221i</v>
      </c>
      <c r="AD232" s="64">
        <f t="shared" si="191"/>
        <v>39.641305286670033</v>
      </c>
      <c r="AE232" s="61">
        <f t="shared" si="192"/>
        <v>-131.29560116576684</v>
      </c>
      <c r="AF232" s="31" t="str">
        <f t="shared" si="177"/>
        <v>-0.332666666666667</v>
      </c>
      <c r="AG232" s="31" t="str">
        <f t="shared" si="193"/>
        <v>8673.21012961475i</v>
      </c>
      <c r="AH232" s="31">
        <f t="shared" si="194"/>
        <v>8673.2101296147503</v>
      </c>
      <c r="AI232" s="31">
        <f t="shared" si="195"/>
        <v>1.5707963267948966</v>
      </c>
      <c r="AJ232" s="31" t="str">
        <f t="shared" si="178"/>
        <v>-3.01346271205108+71.5233411179338i</v>
      </c>
      <c r="AK232" s="31">
        <f t="shared" si="196"/>
        <v>71.586795445733159</v>
      </c>
      <c r="AL232" s="31">
        <f t="shared" si="197"/>
        <v>1.6129040001997617</v>
      </c>
      <c r="AM232" s="31" t="str">
        <f t="shared" si="179"/>
        <v>1+260224.405089263i</v>
      </c>
      <c r="AN232" s="31">
        <f t="shared" si="198"/>
        <v>260224.4050911844</v>
      </c>
      <c r="AO232" s="31">
        <f t="shared" si="199"/>
        <v>1.5707924839577898</v>
      </c>
      <c r="AP232" s="31" t="str">
        <f t="shared" si="180"/>
        <v>1+28.1012008199518i</v>
      </c>
      <c r="AQ232" s="31">
        <f t="shared" si="200"/>
        <v>28.118988024522857</v>
      </c>
      <c r="AR232" s="31">
        <f t="shared" si="201"/>
        <v>1.5352256686730401</v>
      </c>
      <c r="AS232" s="58" t="str">
        <f t="shared" si="202"/>
        <v>-3.90870152330818+0.304248677884682i</v>
      </c>
      <c r="AT232" s="49">
        <f t="shared" si="203"/>
        <v>11.866884150279077</v>
      </c>
      <c r="AU232" s="61">
        <f t="shared" si="204"/>
        <v>175.54913926555326</v>
      </c>
      <c r="AV232" s="58" t="str">
        <f t="shared" si="181"/>
        <v>269.450798186244+262.519777461826i</v>
      </c>
      <c r="AW232" s="64">
        <f t="shared" si="205"/>
        <v>51.50818943694911</v>
      </c>
      <c r="AX232" s="61">
        <f t="shared" si="206"/>
        <v>44.253538099786383</v>
      </c>
    </row>
    <row r="233" spans="14:50" x14ac:dyDescent="0.3">
      <c r="N233" s="10">
        <v>15</v>
      </c>
      <c r="O233" s="50">
        <f t="shared" si="207"/>
        <v>1412.5375446227545</v>
      </c>
      <c r="P233" s="48" t="str">
        <f t="shared" si="172"/>
        <v>51201.9230769231</v>
      </c>
      <c r="Q233" s="17" t="str">
        <f t="shared" si="173"/>
        <v>1+414.746565486503i</v>
      </c>
      <c r="R233" s="17">
        <f t="shared" si="182"/>
        <v>414.74777104024338</v>
      </c>
      <c r="S233" s="17">
        <f t="shared" si="183"/>
        <v>1.5683852204822619</v>
      </c>
      <c r="T233" s="17" t="str">
        <f t="shared" si="174"/>
        <v>1+2.66257054386397E-08i</v>
      </c>
      <c r="U233" s="17">
        <f t="shared" si="184"/>
        <v>1.0000000000000004</v>
      </c>
      <c r="V233" s="17">
        <f t="shared" si="185"/>
        <v>2.6625705438639693E-8</v>
      </c>
      <c r="W233" s="31" t="str">
        <f t="shared" si="175"/>
        <v>1-0.0143778809368654i</v>
      </c>
      <c r="X233" s="17">
        <f t="shared" si="186"/>
        <v>1.0001033563888457</v>
      </c>
      <c r="Y233" s="17">
        <f t="shared" si="187"/>
        <v>-1.437689031130112E-2</v>
      </c>
      <c r="Z233" s="31" t="str">
        <f t="shared" si="176"/>
        <v>0.999201895074012+0.877390132715026i</v>
      </c>
      <c r="AA233" s="17">
        <f t="shared" si="188"/>
        <v>1.3297435362148551</v>
      </c>
      <c r="AB233" s="17">
        <f t="shared" si="189"/>
        <v>0.72057794204073766</v>
      </c>
      <c r="AC233" s="66" t="str">
        <f t="shared" si="190"/>
        <v>-62.0942563364515-69.0312876313353i</v>
      </c>
      <c r="AD233" s="64">
        <f t="shared" si="191"/>
        <v>39.355584179670934</v>
      </c>
      <c r="AE233" s="61">
        <f t="shared" si="192"/>
        <v>-131.97166228530492</v>
      </c>
      <c r="AF233" s="31" t="str">
        <f t="shared" si="177"/>
        <v>-0.332666666666667</v>
      </c>
      <c r="AG233" s="31" t="str">
        <f t="shared" si="193"/>
        <v>8875.23514621322i</v>
      </c>
      <c r="AH233" s="31">
        <f t="shared" si="194"/>
        <v>8875.2351462132192</v>
      </c>
      <c r="AI233" s="31">
        <f t="shared" si="195"/>
        <v>1.5707963267948966</v>
      </c>
      <c r="AJ233" s="31" t="str">
        <f t="shared" si="178"/>
        <v>-3.20261138232647+73.1893337504875i</v>
      </c>
      <c r="AK233" s="31">
        <f t="shared" si="196"/>
        <v>73.259370011667826</v>
      </c>
      <c r="AL233" s="31">
        <f t="shared" si="197"/>
        <v>1.6145263280515212</v>
      </c>
      <c r="AM233" s="31" t="str">
        <f t="shared" si="179"/>
        <v>1+266285.810148271i</v>
      </c>
      <c r="AN233" s="31">
        <f t="shared" si="198"/>
        <v>266285.81015014864</v>
      </c>
      <c r="AO233" s="31">
        <f t="shared" si="199"/>
        <v>1.5707925714314417</v>
      </c>
      <c r="AP233" s="31" t="str">
        <f t="shared" si="180"/>
        <v>1+28.7557618737308i</v>
      </c>
      <c r="AQ233" s="31">
        <f t="shared" si="200"/>
        <v>28.773144439541362</v>
      </c>
      <c r="AR233" s="31">
        <f t="shared" si="201"/>
        <v>1.5360346960089479</v>
      </c>
      <c r="AS233" s="58" t="str">
        <f t="shared" si="202"/>
        <v>-3.90806928122128+0.307397016615278i</v>
      </c>
      <c r="AT233" s="49">
        <f t="shared" si="203"/>
        <v>11.866031774986535</v>
      </c>
      <c r="AU233" s="61">
        <f t="shared" si="204"/>
        <v>175.50254559039021</v>
      </c>
      <c r="AV233" s="58" t="str">
        <f t="shared" si="181"/>
        <v>263.88866759975+250.691465488402i</v>
      </c>
      <c r="AW233" s="64">
        <f t="shared" si="205"/>
        <v>51.221615954657473</v>
      </c>
      <c r="AX233" s="61">
        <f t="shared" si="206"/>
        <v>43.530883305085197</v>
      </c>
    </row>
    <row r="234" spans="14:50" x14ac:dyDescent="0.3">
      <c r="N234" s="10">
        <v>16</v>
      </c>
      <c r="O234" s="50">
        <f t="shared" si="207"/>
        <v>1445.4397707459289</v>
      </c>
      <c r="P234" s="48" t="str">
        <f t="shared" si="172"/>
        <v>51201.9230769231</v>
      </c>
      <c r="Q234" s="17" t="str">
        <f t="shared" si="173"/>
        <v>1+424.407254034849i</v>
      </c>
      <c r="R234" s="17">
        <f t="shared" si="182"/>
        <v>424.40843214691301</v>
      </c>
      <c r="S234" s="17">
        <f t="shared" si="183"/>
        <v>1.5684401037570088</v>
      </c>
      <c r="T234" s="17" t="str">
        <f t="shared" si="174"/>
        <v>1+2.72458977898916E-08i</v>
      </c>
      <c r="U234" s="17">
        <f t="shared" si="184"/>
        <v>1.0000000000000004</v>
      </c>
      <c r="V234" s="17">
        <f t="shared" si="185"/>
        <v>2.7245897789891593E-8</v>
      </c>
      <c r="W234" s="31" t="str">
        <f t="shared" si="175"/>
        <v>1-0.0147127848065414i</v>
      </c>
      <c r="X234" s="17">
        <f t="shared" si="186"/>
        <v>1.0001082271618225</v>
      </c>
      <c r="Y234" s="17">
        <f t="shared" si="187"/>
        <v>-1.4711723338328804E-2</v>
      </c>
      <c r="Z234" s="31" t="str">
        <f t="shared" si="176"/>
        <v>0.999164281547658+0.897827174303568i</v>
      </c>
      <c r="AA234" s="17">
        <f t="shared" si="188"/>
        <v>1.3432880913782335</v>
      </c>
      <c r="AB234" s="17">
        <f t="shared" si="189"/>
        <v>0.73202898407554717</v>
      </c>
      <c r="AC234" s="66" t="str">
        <f t="shared" si="190"/>
        <v>-60.8557632641577-66.0641395850939i</v>
      </c>
      <c r="AD234" s="64">
        <f t="shared" si="191"/>
        <v>39.067602084484669</v>
      </c>
      <c r="AE234" s="61">
        <f t="shared" si="192"/>
        <v>-132.65008772869109</v>
      </c>
      <c r="AF234" s="31" t="str">
        <f t="shared" si="177"/>
        <v>-0.332666666666667</v>
      </c>
      <c r="AG234" s="31" t="str">
        <f t="shared" si="193"/>
        <v>9081.96592996385i</v>
      </c>
      <c r="AH234" s="31">
        <f t="shared" si="194"/>
        <v>9081.9659299638497</v>
      </c>
      <c r="AI234" s="31">
        <f t="shared" si="195"/>
        <v>1.5707963267948966</v>
      </c>
      <c r="AJ234" s="31" t="str">
        <f t="shared" si="178"/>
        <v>-3.40067435479771+74.8941323365712i</v>
      </c>
      <c r="AK234" s="31">
        <f t="shared" si="196"/>
        <v>74.971298805044171</v>
      </c>
      <c r="AL234" s="31">
        <f t="shared" si="197"/>
        <v>1.616171578904003</v>
      </c>
      <c r="AM234" s="31" t="str">
        <f t="shared" si="179"/>
        <v>1+272488.403468529i</v>
      </c>
      <c r="AN234" s="31">
        <f t="shared" si="198"/>
        <v>272488.40347036399</v>
      </c>
      <c r="AO234" s="31">
        <f t="shared" si="199"/>
        <v>1.5707926569139503</v>
      </c>
      <c r="AP234" s="31" t="str">
        <f t="shared" si="180"/>
        <v>1+29.4255696130829i</v>
      </c>
      <c r="AQ234" s="31">
        <f t="shared" si="200"/>
        <v>29.442556734332499</v>
      </c>
      <c r="AR234" s="31">
        <f t="shared" si="201"/>
        <v>1.5368253516250827</v>
      </c>
      <c r="AS234" s="58" t="str">
        <f t="shared" si="202"/>
        <v>-3.9074123432551+0.310705150101122i</v>
      </c>
      <c r="AT234" s="49">
        <f t="shared" si="203"/>
        <v>11.865158570208633</v>
      </c>
      <c r="AU234" s="61">
        <f t="shared" si="204"/>
        <v>175.45358578794253</v>
      </c>
      <c r="AV234" s="58" t="str">
        <f t="shared" si="181"/>
        <v>258.315028942668+239.231635401815i</v>
      </c>
      <c r="AW234" s="64">
        <f t="shared" si="205"/>
        <v>50.93276065469329</v>
      </c>
      <c r="AX234" s="61">
        <f t="shared" si="206"/>
        <v>42.803498059251417</v>
      </c>
    </row>
    <row r="235" spans="14:50" x14ac:dyDescent="0.3">
      <c r="N235" s="10">
        <v>17</v>
      </c>
      <c r="O235" s="50">
        <f t="shared" si="207"/>
        <v>1479.1083881682086</v>
      </c>
      <c r="P235" s="48" t="str">
        <f t="shared" si="172"/>
        <v>51201.9230769231</v>
      </c>
      <c r="Q235" s="17" t="str">
        <f t="shared" si="173"/>
        <v>1+434.292968926979i</v>
      </c>
      <c r="R235" s="17">
        <f t="shared" si="182"/>
        <v>434.29412022201029</v>
      </c>
      <c r="S235" s="17">
        <f t="shared" si="183"/>
        <v>1.5684937377496153</v>
      </c>
      <c r="T235" s="17" t="str">
        <f t="shared" si="174"/>
        <v>1+2.78805362767937E-08i</v>
      </c>
      <c r="U235" s="17">
        <f t="shared" si="184"/>
        <v>1.0000000000000004</v>
      </c>
      <c r="V235" s="17">
        <f t="shared" si="185"/>
        <v>2.7880536276793692E-8</v>
      </c>
      <c r="W235" s="31" t="str">
        <f t="shared" si="175"/>
        <v>1-0.0150554895894686i</v>
      </c>
      <c r="X235" s="17">
        <f t="shared" si="186"/>
        <v>1.0001133274618326</v>
      </c>
      <c r="Y235" s="17">
        <f t="shared" si="187"/>
        <v>-1.5054352212747578E-2</v>
      </c>
      <c r="Z235" s="31" t="str">
        <f t="shared" si="176"/>
        <v>0.99912489535042+0.918740255744072i</v>
      </c>
      <c r="AA235" s="17">
        <f t="shared" si="188"/>
        <v>1.3573261266304686</v>
      </c>
      <c r="AB235" s="17">
        <f t="shared" si="189"/>
        <v>0.74350907791877896</v>
      </c>
      <c r="AC235" s="66" t="str">
        <f t="shared" si="190"/>
        <v>-59.6104024951377-63.1894785508486i</v>
      </c>
      <c r="AD235" s="64">
        <f t="shared" si="191"/>
        <v>38.777346583209237</v>
      </c>
      <c r="AE235" s="61">
        <f t="shared" si="192"/>
        <v>-133.33055280781866</v>
      </c>
      <c r="AF235" s="31" t="str">
        <f t="shared" si="177"/>
        <v>-0.332666666666667</v>
      </c>
      <c r="AG235" s="31" t="str">
        <f t="shared" si="193"/>
        <v>9293.51209226457i</v>
      </c>
      <c r="AH235" s="31">
        <f t="shared" si="194"/>
        <v>9293.5120922645692</v>
      </c>
      <c r="AI235" s="31">
        <f t="shared" si="195"/>
        <v>1.5707963267948966</v>
      </c>
      <c r="AJ235" s="31" t="str">
        <f t="shared" si="178"/>
        <v>-3.60807174758416+76.6386407829607i</v>
      </c>
      <c r="AK235" s="31">
        <f t="shared" si="196"/>
        <v>76.723526006013316</v>
      </c>
      <c r="AL235" s="31">
        <f t="shared" si="197"/>
        <v>1.6178406058453956</v>
      </c>
      <c r="AM235" s="31" t="str">
        <f t="shared" si="179"/>
        <v>1+278835.473747116i</v>
      </c>
      <c r="AN235" s="31">
        <f t="shared" si="198"/>
        <v>278835.47374890913</v>
      </c>
      <c r="AO235" s="31">
        <f t="shared" si="199"/>
        <v>1.5707927404506394</v>
      </c>
      <c r="AP235" s="31" t="str">
        <f t="shared" si="180"/>
        <v>1+30.1109791789372i</v>
      </c>
      <c r="AQ235" s="31">
        <f t="shared" si="200"/>
        <v>30.127579841639946</v>
      </c>
      <c r="AR235" s="31">
        <f t="shared" si="201"/>
        <v>1.537598050781118</v>
      </c>
      <c r="AS235" s="58" t="str">
        <f t="shared" si="202"/>
        <v>-3.90672934198525+0.314174614767285i</v>
      </c>
      <c r="AT235" s="49">
        <f t="shared" si="203"/>
        <v>11.864262699910741</v>
      </c>
      <c r="AU235" s="61">
        <f t="shared" si="204"/>
        <v>175.40223477508096</v>
      </c>
      <c r="AV235" s="58" t="str">
        <f t="shared" si="181"/>
        <v>252.734238596364+228.136114719315i</v>
      </c>
      <c r="AW235" s="64">
        <f t="shared" si="205"/>
        <v>50.641609283119983</v>
      </c>
      <c r="AX235" s="61">
        <f t="shared" si="206"/>
        <v>42.071681967262236</v>
      </c>
    </row>
    <row r="236" spans="14:50" x14ac:dyDescent="0.3">
      <c r="N236" s="10">
        <v>18</v>
      </c>
      <c r="O236" s="50">
        <f t="shared" si="207"/>
        <v>1513.5612484362093</v>
      </c>
      <c r="P236" s="48" t="str">
        <f t="shared" si="172"/>
        <v>51201.9230769231</v>
      </c>
      <c r="Q236" s="17" t="str">
        <f t="shared" si="173"/>
        <v>1+444.408951699781i</v>
      </c>
      <c r="R236" s="17">
        <f t="shared" si="182"/>
        <v>444.410076788205</v>
      </c>
      <c r="S236" s="17">
        <f t="shared" si="183"/>
        <v>1.5685461508962997</v>
      </c>
      <c r="T236" s="17" t="str">
        <f t="shared" si="174"/>
        <v>1+2.85299573930724E-08i</v>
      </c>
      <c r="U236" s="17">
        <f t="shared" si="184"/>
        <v>1.0000000000000004</v>
      </c>
      <c r="V236" s="17">
        <f t="shared" si="185"/>
        <v>2.8529957393072393E-8</v>
      </c>
      <c r="W236" s="31" t="str">
        <f t="shared" si="175"/>
        <v>1-0.0154061769922591i</v>
      </c>
      <c r="X236" s="17">
        <f t="shared" si="186"/>
        <v>1.0001186681036989</v>
      </c>
      <c r="Y236" s="17">
        <f t="shared" si="187"/>
        <v>-1.5404958278955079E-2</v>
      </c>
      <c r="Z236" s="31" t="str">
        <f t="shared" si="176"/>
        <v>0.999083652938893+0.940140465429137i</v>
      </c>
      <c r="AA236" s="17">
        <f t="shared" si="188"/>
        <v>1.3718718017027089</v>
      </c>
      <c r="AB236" s="17">
        <f t="shared" si="189"/>
        <v>0.75501227604986587</v>
      </c>
      <c r="AC236" s="66" t="str">
        <f t="shared" si="190"/>
        <v>-58.3594971162165-60.4061666883497i</v>
      </c>
      <c r="AD236" s="64">
        <f t="shared" si="191"/>
        <v>38.484807588371517</v>
      </c>
      <c r="AE236" s="61">
        <f t="shared" si="192"/>
        <v>-134.01272877438504</v>
      </c>
      <c r="AF236" s="31" t="str">
        <f t="shared" si="177"/>
        <v>-0.332666666666667</v>
      </c>
      <c r="AG236" s="31" t="str">
        <f t="shared" si="193"/>
        <v>9509.98579769078i</v>
      </c>
      <c r="AH236" s="31">
        <f t="shared" si="194"/>
        <v>9509.9857976907806</v>
      </c>
      <c r="AI236" s="31">
        <f t="shared" si="195"/>
        <v>1.5707963267948966</v>
      </c>
      <c r="AJ236" s="31" t="str">
        <f t="shared" si="178"/>
        <v>-3.82524347836217+78.4237840511257i</v>
      </c>
      <c r="AK236" s="31">
        <f t="shared" si="196"/>
        <v>78.517019763656009</v>
      </c>
      <c r="AL236" s="31">
        <f t="shared" si="197"/>
        <v>1.6195342732369074</v>
      </c>
      <c r="AM236" s="31" t="str">
        <f t="shared" si="179"/>
        <v>1+285330.386284708i</v>
      </c>
      <c r="AN236" s="31">
        <f t="shared" si="198"/>
        <v>285330.38628646033</v>
      </c>
      <c r="AO236" s="31">
        <f t="shared" si="199"/>
        <v>1.5707928220858012</v>
      </c>
      <c r="AP236" s="31" t="str">
        <f t="shared" si="180"/>
        <v>1+30.8123539845181i</v>
      </c>
      <c r="AQ236" s="31">
        <f t="shared" si="200"/>
        <v>30.828576971168296</v>
      </c>
      <c r="AR236" s="31">
        <f t="shared" si="201"/>
        <v>1.5383531994794581</v>
      </c>
      <c r="AS236" s="58" t="str">
        <f t="shared" si="202"/>
        <v>-3.9060188571749+0.317807016599962i</v>
      </c>
      <c r="AT236" s="49">
        <f t="shared" si="203"/>
        <v>11.863342281213905</v>
      </c>
      <c r="AU236" s="61">
        <f t="shared" si="204"/>
        <v>175.34846629231831</v>
      </c>
      <c r="AV236" s="58" t="str">
        <f t="shared" si="181"/>
        <v>247.15079985065+217.400568505565i</v>
      </c>
      <c r="AW236" s="64">
        <f t="shared" si="205"/>
        <v>50.348149869585406</v>
      </c>
      <c r="AX236" s="61">
        <f t="shared" si="206"/>
        <v>41.335737517933275</v>
      </c>
    </row>
    <row r="237" spans="14:50" x14ac:dyDescent="0.3">
      <c r="N237" s="10">
        <v>19</v>
      </c>
      <c r="O237" s="50">
        <f t="shared" si="207"/>
        <v>1548.8166189124822</v>
      </c>
      <c r="P237" s="48" t="str">
        <f t="shared" si="172"/>
        <v>51201.9230769231</v>
      </c>
      <c r="Q237" s="17" t="str">
        <f t="shared" si="173"/>
        <v>1+454.760565981222i</v>
      </c>
      <c r="R237" s="17">
        <f t="shared" si="182"/>
        <v>454.76166545956954</v>
      </c>
      <c r="S237" s="17">
        <f t="shared" si="183"/>
        <v>1.5685973709860535</v>
      </c>
      <c r="T237" s="17" t="str">
        <f t="shared" si="174"/>
        <v>1+2.91945054703994E-08i</v>
      </c>
      <c r="U237" s="17">
        <f t="shared" si="184"/>
        <v>1.0000000000000004</v>
      </c>
      <c r="V237" s="17">
        <f t="shared" si="185"/>
        <v>2.9194505470399389E-8</v>
      </c>
      <c r="W237" s="31" t="str">
        <f t="shared" si="175"/>
        <v>1-0.0157650329540157i</v>
      </c>
      <c r="X237" s="17">
        <f t="shared" si="186"/>
        <v>1.0001242604116956</v>
      </c>
      <c r="Y237" s="17">
        <f t="shared" si="187"/>
        <v>-1.576372708794559E-2</v>
      </c>
      <c r="Z237" s="31" t="str">
        <f t="shared" si="176"/>
        <v>0.999040466832392+0.962039150033202i</v>
      </c>
      <c r="AA237" s="17">
        <f t="shared" si="188"/>
        <v>1.3869395014077901</v>
      </c>
      <c r="AB237" s="17">
        <f t="shared" si="189"/>
        <v>0.76653257188486279</v>
      </c>
      <c r="AC237" s="66" t="str">
        <f t="shared" si="190"/>
        <v>-57.1043898052826-57.7130253353488i</v>
      </c>
      <c r="AD237" s="64">
        <f t="shared" si="191"/>
        <v>38.189977385656746</v>
      </c>
      <c r="AE237" s="61">
        <f t="shared" si="192"/>
        <v>-134.69628369994192</v>
      </c>
      <c r="AF237" s="31" t="str">
        <f t="shared" si="177"/>
        <v>-0.332666666666667</v>
      </c>
      <c r="AG237" s="31" t="str">
        <f t="shared" si="193"/>
        <v>9731.50182346647i</v>
      </c>
      <c r="AH237" s="31">
        <f t="shared" si="194"/>
        <v>9731.5018234664694</v>
      </c>
      <c r="AI237" s="31">
        <f t="shared" si="195"/>
        <v>1.5707963267948966</v>
      </c>
      <c r="AJ237" s="31" t="str">
        <f t="shared" si="178"/>
        <v>-4.05265019748944+80.2505086476561i</v>
      </c>
      <c r="AK237" s="31">
        <f t="shared" si="196"/>
        <v>80.352772894472892</v>
      </c>
      <c r="AL237" s="31">
        <f t="shared" si="197"/>
        <v>1.6212534570746515</v>
      </c>
      <c r="AM237" s="31" t="str">
        <f t="shared" si="179"/>
        <v>1+291976.584769903i</v>
      </c>
      <c r="AN237" s="31">
        <f t="shared" si="198"/>
        <v>291976.58477161545</v>
      </c>
      <c r="AO237" s="31">
        <f t="shared" si="199"/>
        <v>1.57079290186272</v>
      </c>
      <c r="AP237" s="31" t="str">
        <f t="shared" si="180"/>
        <v>1+31.5300659080314i</v>
      </c>
      <c r="AQ237" s="31">
        <f t="shared" si="200"/>
        <v>31.545919802167827</v>
      </c>
      <c r="AR237" s="31">
        <f t="shared" si="201"/>
        <v>1.5390911946629837</v>
      </c>
      <c r="AS237" s="58" t="str">
        <f t="shared" si="202"/>
        <v>-3.90527941299992+0.321604030918493i</v>
      </c>
      <c r="AT237" s="49">
        <f t="shared" si="203"/>
        <v>11.862395380546849</v>
      </c>
      <c r="AU237" s="61">
        <f t="shared" si="204"/>
        <v>175.29225289440623</v>
      </c>
      <c r="AV237" s="58" t="str">
        <f t="shared" si="181"/>
        <v>241.569339482842+207.020487759561i</v>
      </c>
      <c r="AW237" s="64">
        <f t="shared" si="205"/>
        <v>50.052372766203604</v>
      </c>
      <c r="AX237" s="61">
        <f t="shared" si="206"/>
        <v>40.595969194464338</v>
      </c>
    </row>
    <row r="238" spans="14:50" x14ac:dyDescent="0.3">
      <c r="N238" s="10">
        <v>20</v>
      </c>
      <c r="O238" s="50">
        <f t="shared" si="207"/>
        <v>1584.8931924611156</v>
      </c>
      <c r="P238" s="48" t="str">
        <f t="shared" si="172"/>
        <v>51201.9230769231</v>
      </c>
      <c r="Q238" s="17" t="str">
        <f t="shared" si="173"/>
        <v>1+465.353300334214i</v>
      </c>
      <c r="R238" s="17">
        <f t="shared" si="182"/>
        <v>465.35437478543724</v>
      </c>
      <c r="S238" s="17">
        <f t="shared" si="183"/>
        <v>1.5686474251753701</v>
      </c>
      <c r="T238" s="17" t="str">
        <f t="shared" si="174"/>
        <v>1+2.98745328609619E-08i</v>
      </c>
      <c r="U238" s="17">
        <f t="shared" si="184"/>
        <v>1.0000000000000004</v>
      </c>
      <c r="V238" s="17">
        <f t="shared" si="185"/>
        <v>2.9874532860961892E-8</v>
      </c>
      <c r="W238" s="31" t="str">
        <f t="shared" si="175"/>
        <v>1-0.0161322477449194i</v>
      </c>
      <c r="X238" s="17">
        <f t="shared" si="186"/>
        <v>1.0001301162435332</v>
      </c>
      <c r="Y238" s="17">
        <f t="shared" si="187"/>
        <v>-1.6130848494046966E-2</v>
      </c>
      <c r="Z238" s="31" t="str">
        <f t="shared" si="176"/>
        <v>0.998995245427396+0.98444792052871i</v>
      </c>
      <c r="AA238" s="17">
        <f t="shared" si="188"/>
        <v>1.4025438348300721</v>
      </c>
      <c r="AB238" s="17">
        <f t="shared" si="189"/>
        <v>0.77806391540480924</v>
      </c>
      <c r="AC238" s="66" t="str">
        <f t="shared" si="190"/>
        <v>-55.8464374477613-55.1088326720638i</v>
      </c>
      <c r="AD238" s="64">
        <f t="shared" si="191"/>
        <v>37.89285066694854</v>
      </c>
      <c r="AE238" s="61">
        <f t="shared" si="192"/>
        <v>-135.38088337772101</v>
      </c>
      <c r="AF238" s="31" t="str">
        <f t="shared" si="177"/>
        <v>-0.332666666666667</v>
      </c>
      <c r="AG238" s="31" t="str">
        <f t="shared" si="193"/>
        <v>9958.17762032063i</v>
      </c>
      <c r="AH238" s="31">
        <f t="shared" si="194"/>
        <v>9958.17762032063</v>
      </c>
      <c r="AI238" s="31">
        <f t="shared" si="195"/>
        <v>1.5707963267948966</v>
      </c>
      <c r="AJ238" s="31" t="str">
        <f t="shared" si="178"/>
        <v>-4.29077426510622+82.1197831261126i</v>
      </c>
      <c r="AK238" s="31">
        <f t="shared" si="196"/>
        <v>82.231803607082966</v>
      </c>
      <c r="AL238" s="31">
        <f t="shared" si="197"/>
        <v>1.622999045351097</v>
      </c>
      <c r="AM238" s="31" t="str">
        <f t="shared" si="179"/>
        <v>1+298777.593105109i</v>
      </c>
      <c r="AN238" s="31">
        <f t="shared" si="198"/>
        <v>298777.59310678247</v>
      </c>
      <c r="AO238" s="31">
        <f t="shared" si="199"/>
        <v>1.5707929798236944</v>
      </c>
      <c r="AP238" s="31" t="str">
        <f t="shared" si="180"/>
        <v>1+32.2644954898388i</v>
      </c>
      <c r="AQ238" s="31">
        <f t="shared" si="200"/>
        <v>32.279988680509604</v>
      </c>
      <c r="AR238" s="31">
        <f t="shared" si="201"/>
        <v>1.5398124244091556</v>
      </c>
      <c r="AS238" s="58" t="str">
        <f t="shared" si="202"/>
        <v>-3.90450947517852+0.325567402107009i</v>
      </c>
      <c r="AT238" s="49">
        <f t="shared" si="203"/>
        <v>11.861420009701993</v>
      </c>
      <c r="AU238" s="61">
        <f t="shared" si="204"/>
        <v>175.23356594074809</v>
      </c>
      <c r="AV238" s="58" t="str">
        <f t="shared" si="181"/>
        <v>235.994583655942+196.991179777301i</v>
      </c>
      <c r="AW238" s="64">
        <f t="shared" si="205"/>
        <v>49.75427067665052</v>
      </c>
      <c r="AX238" s="61">
        <f t="shared" si="206"/>
        <v>39.852682563027074</v>
      </c>
    </row>
    <row r="239" spans="14:50" x14ac:dyDescent="0.3">
      <c r="N239" s="10">
        <v>21</v>
      </c>
      <c r="O239" s="50">
        <f t="shared" si="207"/>
        <v>1621.8100973589308</v>
      </c>
      <c r="P239" s="48" t="str">
        <f t="shared" si="172"/>
        <v>51201.9230769231</v>
      </c>
      <c r="Q239" s="17" t="str">
        <f t="shared" si="173"/>
        <v>1+476.192771166721i</v>
      </c>
      <c r="R239" s="17">
        <f t="shared" si="182"/>
        <v>476.19382116050292</v>
      </c>
      <c r="S239" s="17">
        <f t="shared" si="183"/>
        <v>1.5686963400026404</v>
      </c>
      <c r="T239" s="17" t="str">
        <f t="shared" si="174"/>
        <v>1+3.05704001242833E-08i</v>
      </c>
      <c r="U239" s="17">
        <f t="shared" si="184"/>
        <v>1.0000000000000004</v>
      </c>
      <c r="V239" s="17">
        <f t="shared" si="185"/>
        <v>3.0570400124283295E-8</v>
      </c>
      <c r="W239" s="31" t="str">
        <f t="shared" si="175"/>
        <v>1-0.016508016067113i</v>
      </c>
      <c r="X239" s="17">
        <f t="shared" si="186"/>
        <v>1.0001362480154752</v>
      </c>
      <c r="Y239" s="17">
        <f t="shared" si="187"/>
        <v>-1.6506516753821528E-2</v>
      </c>
      <c r="Z239" s="31" t="str">
        <f t="shared" si="176"/>
        <v>0.998947892803242+1.00737865834239i</v>
      </c>
      <c r="AA239" s="17">
        <f t="shared" si="188"/>
        <v>1.4186996348134271</v>
      </c>
      <c r="AB239" s="17">
        <f t="shared" si="189"/>
        <v>0.78960022906447536</v>
      </c>
      <c r="AC239" s="66" t="str">
        <f t="shared" si="190"/>
        <v>-54.5870056134449-52.5923218807352i</v>
      </c>
      <c r="AD239" s="64">
        <f t="shared" si="191"/>
        <v>37.593424553387614</v>
      </c>
      <c r="AE239" s="61">
        <f t="shared" si="192"/>
        <v>-136.06619224062902</v>
      </c>
      <c r="AF239" s="31" t="str">
        <f t="shared" si="177"/>
        <v>-0.332666666666667</v>
      </c>
      <c r="AG239" s="31" t="str">
        <f t="shared" si="193"/>
        <v>10190.1333747611i</v>
      </c>
      <c r="AH239" s="31">
        <f t="shared" si="194"/>
        <v>10190.133374761101</v>
      </c>
      <c r="AI239" s="31">
        <f t="shared" si="195"/>
        <v>1.5707963267948966</v>
      </c>
      <c r="AJ239" s="31" t="str">
        <f t="shared" si="178"/>
        <v>-4.5401207742857+84.0325986005663i</v>
      </c>
      <c r="AK239" s="31">
        <f t="shared" si="196"/>
        <v>84.155156254438722</v>
      </c>
      <c r="AL239" s="31">
        <f t="shared" si="197"/>
        <v>1.6247719384158075</v>
      </c>
      <c r="AM239" s="31" t="str">
        <f t="shared" si="179"/>
        <v>1+305737.017274968i</v>
      </c>
      <c r="AN239" s="31">
        <f t="shared" si="198"/>
        <v>305737.01727660338</v>
      </c>
      <c r="AO239" s="31">
        <f t="shared" si="199"/>
        <v>1.5707930560100603</v>
      </c>
      <c r="AP239" s="31" t="str">
        <f t="shared" si="180"/>
        <v>1+33.016032134226i</v>
      </c>
      <c r="AQ239" s="31">
        <f t="shared" si="200"/>
        <v>33.031172820356289</v>
      </c>
      <c r="AR239" s="31">
        <f t="shared" si="201"/>
        <v>1.5405172681205053</v>
      </c>
      <c r="AS239" s="58" t="str">
        <f t="shared" si="202"/>
        <v>-3.90370744800155+0.329698943300546i</v>
      </c>
      <c r="AT239" s="49">
        <f t="shared" si="203"/>
        <v>11.860414121788752</v>
      </c>
      <c r="AU239" s="61">
        <f t="shared" si="204"/>
        <v>175.17237558564611</v>
      </c>
      <c r="AV239" s="58" t="str">
        <f t="shared" si="181"/>
        <v>230.431333327108+187.307760564827i</v>
      </c>
      <c r="AW239" s="64">
        <f t="shared" si="205"/>
        <v>49.453838675176371</v>
      </c>
      <c r="AX239" s="61">
        <f t="shared" si="206"/>
        <v>39.10618334501703</v>
      </c>
    </row>
    <row r="240" spans="14:50" x14ac:dyDescent="0.3">
      <c r="N240" s="10">
        <v>22</v>
      </c>
      <c r="O240" s="50">
        <f t="shared" si="207"/>
        <v>1659.5869074375626</v>
      </c>
      <c r="P240" s="48" t="str">
        <f t="shared" si="172"/>
        <v>51201.9230769231</v>
      </c>
      <c r="Q240" s="17" t="str">
        <f t="shared" si="173"/>
        <v>1+487.28472570966i</v>
      </c>
      <c r="R240" s="17">
        <f t="shared" si="182"/>
        <v>487.2857518027165</v>
      </c>
      <c r="S240" s="17">
        <f t="shared" si="183"/>
        <v>1.5687441414022156</v>
      </c>
      <c r="T240" s="17" t="str">
        <f t="shared" si="174"/>
        <v>1+3.12824762183979E-08i</v>
      </c>
      <c r="U240" s="17">
        <f t="shared" si="184"/>
        <v>1.0000000000000004</v>
      </c>
      <c r="V240" s="17">
        <f t="shared" si="185"/>
        <v>3.1282476218397885E-8</v>
      </c>
      <c r="W240" s="31" t="str">
        <f t="shared" si="175"/>
        <v>1-0.0168925371579349i</v>
      </c>
      <c r="X240" s="17">
        <f t="shared" si="186"/>
        <v>1.000142668728633</v>
      </c>
      <c r="Y240" s="17">
        <f t="shared" si="187"/>
        <v>-1.6890930627175491E-2</v>
      </c>
      <c r="Z240" s="31" t="str">
        <f t="shared" si="176"/>
        <v>0.998898308518665+1.03084352165495i</v>
      </c>
      <c r="AA240" s="17">
        <f t="shared" si="188"/>
        <v>1.435421957787824</v>
      </c>
      <c r="AB240" s="17">
        <f t="shared" si="189"/>
        <v>0.80113542388028502</v>
      </c>
      <c r="AC240" s="66" t="str">
        <f t="shared" si="190"/>
        <v>-53.3274629431083-50.1621798130343i</v>
      </c>
      <c r="AD240" s="64">
        <f t="shared" si="191"/>
        <v>37.291698608245241</v>
      </c>
      <c r="AE240" s="61">
        <f t="shared" si="192"/>
        <v>-136.75187428961712</v>
      </c>
      <c r="AF240" s="31" t="str">
        <f t="shared" si="177"/>
        <v>-0.332666666666667</v>
      </c>
      <c r="AG240" s="31" t="str">
        <f t="shared" si="193"/>
        <v>10427.4920727993i</v>
      </c>
      <c r="AH240" s="31">
        <f t="shared" si="194"/>
        <v>10427.492072799299</v>
      </c>
      <c r="AI240" s="31">
        <f t="shared" si="195"/>
        <v>1.5707963267948966</v>
      </c>
      <c r="AJ240" s="31" t="str">
        <f t="shared" si="178"/>
        <v>-4.80121862240444+85.989969271101i</v>
      </c>
      <c r="AK240" s="31">
        <f t="shared" si="196"/>
        <v>86.123902114947271</v>
      </c>
      <c r="AL240" s="31">
        <f t="shared" si="197"/>
        <v>1.6265730493351731</v>
      </c>
      <c r="AM240" s="31" t="str">
        <f t="shared" si="179"/>
        <v>1+312858.547258295i</v>
      </c>
      <c r="AN240" s="31">
        <f t="shared" si="198"/>
        <v>312858.54725989321</v>
      </c>
      <c r="AO240" s="31">
        <f t="shared" si="199"/>
        <v>1.5707931304622129</v>
      </c>
      <c r="AP240" s="31" t="str">
        <f t="shared" si="180"/>
        <v>1+33.7850743158697i</v>
      </c>
      <c r="AQ240" s="31">
        <f t="shared" si="200"/>
        <v>33.799870510533594</v>
      </c>
      <c r="AR240" s="31">
        <f t="shared" si="201"/>
        <v>1.5412060967115386</v>
      </c>
      <c r="AS240" s="58" t="str">
        <f t="shared" si="202"/>
        <v>-3.90287167125889+0.334000536020138i</v>
      </c>
      <c r="AT240" s="49">
        <f t="shared" si="203"/>
        <v>11.859375607075592</v>
      </c>
      <c r="AU240" s="61">
        <f t="shared" si="204"/>
        <v>175.1086507683998</v>
      </c>
      <c r="AV240" s="58" t="str">
        <f t="shared" si="181"/>
        <v>224.884439366258+177.965149353294i</v>
      </c>
      <c r="AW240" s="64">
        <f t="shared" si="205"/>
        <v>49.151074215320847</v>
      </c>
      <c r="AX240" s="61">
        <f t="shared" si="206"/>
        <v>38.356776478782656</v>
      </c>
    </row>
    <row r="241" spans="14:50" x14ac:dyDescent="0.3">
      <c r="N241" s="10">
        <v>23</v>
      </c>
      <c r="O241" s="50">
        <f t="shared" si="207"/>
        <v>1698.2436524617447</v>
      </c>
      <c r="P241" s="48" t="str">
        <f t="shared" si="172"/>
        <v>51201.9230769231</v>
      </c>
      <c r="Q241" s="17" t="str">
        <f t="shared" si="173"/>
        <v>1+498.635045064143i</v>
      </c>
      <c r="R241" s="17">
        <f t="shared" si="182"/>
        <v>498.63604780051742</v>
      </c>
      <c r="S241" s="17">
        <f t="shared" si="183"/>
        <v>1.5687908547181564</v>
      </c>
      <c r="T241" s="17" t="str">
        <f t="shared" si="174"/>
        <v>1+3.20111386954758E-08i</v>
      </c>
      <c r="U241" s="17">
        <f t="shared" si="184"/>
        <v>1.0000000000000004</v>
      </c>
      <c r="V241" s="17">
        <f t="shared" si="185"/>
        <v>3.2011138695475789E-8</v>
      </c>
      <c r="W241" s="31" t="str">
        <f t="shared" si="175"/>
        <v>1-0.0172860148955569i</v>
      </c>
      <c r="X241" s="17">
        <f t="shared" si="186"/>
        <v>1.0001493919965003</v>
      </c>
      <c r="Y241" s="17">
        <f t="shared" si="187"/>
        <v>-1.7284293480720695E-2</v>
      </c>
      <c r="Z241" s="31" t="str">
        <f t="shared" si="176"/>
        <v>0.998846387398749+1.05485495184753i</v>
      </c>
      <c r="AA241" s="17">
        <f t="shared" si="188"/>
        <v>1.4527260839734333</v>
      </c>
      <c r="AB241" s="17">
        <f t="shared" si="189"/>
        <v>0.81266341559406241</v>
      </c>
      <c r="AC241" s="66" t="str">
        <f t="shared" si="190"/>
        <v>-52.0691754956896-47.8170461722734i</v>
      </c>
      <c r="AD241" s="64">
        <f t="shared" si="191"/>
        <v>36.98767483949937</v>
      </c>
      <c r="AE241" s="61">
        <f t="shared" si="192"/>
        <v>-137.43759402650485</v>
      </c>
      <c r="AF241" s="31" t="str">
        <f t="shared" si="177"/>
        <v>-0.332666666666667</v>
      </c>
      <c r="AG241" s="31" t="str">
        <f t="shared" si="193"/>
        <v>10670.3795651586i</v>
      </c>
      <c r="AH241" s="31">
        <f t="shared" si="194"/>
        <v>10670.379565158601</v>
      </c>
      <c r="AI241" s="31">
        <f t="shared" si="195"/>
        <v>1.5707963267948966</v>
      </c>
      <c r="AJ241" s="31" t="str">
        <f t="shared" si="178"/>
        <v>-5.07462163300416+87.992932961555i</v>
      </c>
      <c r="AK241" s="31">
        <f t="shared" si="196"/>
        <v>88.139140203968779</v>
      </c>
      <c r="AL241" s="31">
        <f t="shared" si="197"/>
        <v>1.6284033042507828</v>
      </c>
      <c r="AM241" s="31" t="str">
        <f t="shared" si="179"/>
        <v>1+320145.95898455i</v>
      </c>
      <c r="AN241" s="31">
        <f t="shared" si="198"/>
        <v>320145.95898611174</v>
      </c>
      <c r="AO241" s="31">
        <f t="shared" si="199"/>
        <v>1.5707932032196275</v>
      </c>
      <c r="AP241" s="31" t="str">
        <f t="shared" si="180"/>
        <v>1+34.5720297911139i</v>
      </c>
      <c r="AQ241" s="31">
        <f t="shared" si="200"/>
        <v>34.586489325713103</v>
      </c>
      <c r="AR241" s="31">
        <f t="shared" si="201"/>
        <v>1.5418792727920869</v>
      </c>
      <c r="AS241" s="58" t="str">
        <f t="shared" si="202"/>
        <v>-3.90200041705879+0.33847412975097i</v>
      </c>
      <c r="AT241" s="49">
        <f t="shared" si="203"/>
        <v>11.858302288715484</v>
      </c>
      <c r="AU241" s="61">
        <f t="shared" si="204"/>
        <v>175.04235920327966</v>
      </c>
      <c r="AV241" s="58" t="str">
        <f t="shared" si="181"/>
        <v>219.35877759051+168.958065243976i</v>
      </c>
      <c r="AW241" s="64">
        <f t="shared" si="205"/>
        <v>48.845977128214841</v>
      </c>
      <c r="AX241" s="61">
        <f t="shared" si="206"/>
        <v>37.604765176774812</v>
      </c>
    </row>
    <row r="242" spans="14:50" x14ac:dyDescent="0.3">
      <c r="N242" s="10">
        <v>24</v>
      </c>
      <c r="O242" s="50">
        <f t="shared" si="207"/>
        <v>1737.8008287493772</v>
      </c>
      <c r="P242" s="48" t="str">
        <f t="shared" si="172"/>
        <v>51201.9230769231</v>
      </c>
      <c r="Q242" s="17" t="str">
        <f t="shared" si="173"/>
        <v>1+510.249747319737i</v>
      </c>
      <c r="R242" s="17">
        <f t="shared" si="182"/>
        <v>510.25072723108929</v>
      </c>
      <c r="S242" s="17">
        <f t="shared" si="183"/>
        <v>1.5688365047176656</v>
      </c>
      <c r="T242" s="17" t="str">
        <f t="shared" si="174"/>
        <v>1+3.27567739020078E-08i</v>
      </c>
      <c r="U242" s="17">
        <f t="shared" si="184"/>
        <v>1.0000000000000004</v>
      </c>
      <c r="V242" s="17">
        <f t="shared" si="185"/>
        <v>3.2756773902007785E-8</v>
      </c>
      <c r="W242" s="31" t="str">
        <f t="shared" si="175"/>
        <v>1-0.0176886579070842i</v>
      </c>
      <c r="X242" s="17">
        <f t="shared" si="186"/>
        <v>1.0001564320737801</v>
      </c>
      <c r="Y242" s="17">
        <f t="shared" si="187"/>
        <v>-1.7686813393436009E-2</v>
      </c>
      <c r="Z242" s="31" t="str">
        <f t="shared" si="176"/>
        <v>0.998792019311839+1.07942568009823i</v>
      </c>
      <c r="AA242" s="17">
        <f t="shared" si="188"/>
        <v>1.4706275179992203</v>
      </c>
      <c r="AB242" s="17">
        <f t="shared" si="189"/>
        <v>0.82417814080828777</v>
      </c>
      <c r="AC242" s="66" t="str">
        <f t="shared" si="190"/>
        <v>-50.8135011073676-45.5555132113991i</v>
      </c>
      <c r="AD242" s="64">
        <f t="shared" si="191"/>
        <v>36.681357692091865</v>
      </c>
      <c r="AE242" s="61">
        <f t="shared" si="192"/>
        <v>-138.12301738528632</v>
      </c>
      <c r="AF242" s="31" t="str">
        <f t="shared" si="177"/>
        <v>-0.332666666666667</v>
      </c>
      <c r="AG242" s="31" t="str">
        <f t="shared" si="193"/>
        <v>10918.9246340026i</v>
      </c>
      <c r="AH242" s="31">
        <f t="shared" si="194"/>
        <v>10918.9246340026</v>
      </c>
      <c r="AI242" s="31">
        <f t="shared" si="195"/>
        <v>1.5707963267948966</v>
      </c>
      <c r="AJ242" s="31" t="str">
        <f t="shared" si="178"/>
        <v>-5.3609097305263+90.0425516697895i</v>
      </c>
      <c r="AK242" s="31">
        <f t="shared" si="196"/>
        <v>90.201998117256608</v>
      </c>
      <c r="AL242" s="31">
        <f t="shared" si="197"/>
        <v>1.6302636427360842</v>
      </c>
      <c r="AM242" s="31" t="str">
        <f t="shared" si="179"/>
        <v>1+327603.116335893i</v>
      </c>
      <c r="AN242" s="31">
        <f t="shared" si="198"/>
        <v>327603.11633741925</v>
      </c>
      <c r="AO242" s="31">
        <f t="shared" si="199"/>
        <v>1.5707932743208812</v>
      </c>
      <c r="AP242" s="31" t="str">
        <f t="shared" si="180"/>
        <v>1+35.3773158141684i</v>
      </c>
      <c r="AQ242" s="31">
        <f t="shared" si="200"/>
        <v>35.391446342519117</v>
      </c>
      <c r="AR242" s="31">
        <f t="shared" si="201"/>
        <v>1.5425371508471375</v>
      </c>
      <c r="AS242" s="58" t="str">
        <f t="shared" si="202"/>
        <v>-3.90109188653544+0.343121741457388i</v>
      </c>
      <c r="AT242" s="49">
        <f t="shared" si="203"/>
        <v>11.857191918345727</v>
      </c>
      <c r="AU242" s="61">
        <f t="shared" si="204"/>
        <v>174.97346736939653</v>
      </c>
      <c r="AV242" s="58" t="str">
        <f t="shared" si="181"/>
        <v>213.859223922492+160.28102598644i</v>
      </c>
      <c r="AW242" s="64">
        <f t="shared" si="205"/>
        <v>48.538549610437592</v>
      </c>
      <c r="AX242" s="61">
        <f t="shared" si="206"/>
        <v>36.85044998411017</v>
      </c>
    </row>
    <row r="243" spans="14:50" x14ac:dyDescent="0.3">
      <c r="N243" s="10">
        <v>25</v>
      </c>
      <c r="O243" s="50">
        <f t="shared" si="207"/>
        <v>1778.2794100389244</v>
      </c>
      <c r="P243" s="48" t="str">
        <f t="shared" si="172"/>
        <v>51201.9230769231</v>
      </c>
      <c r="Q243" s="17" t="str">
        <f t="shared" si="173"/>
        <v>1+522.134990745314i</v>
      </c>
      <c r="R243" s="17">
        <f t="shared" si="182"/>
        <v>522.13594835120205</v>
      </c>
      <c r="S243" s="17">
        <f t="shared" si="183"/>
        <v>1.5688811156042153</v>
      </c>
      <c r="T243" s="17" t="str">
        <f t="shared" si="174"/>
        <v>1+3.35197771836498E-08i</v>
      </c>
      <c r="U243" s="17">
        <f t="shared" si="184"/>
        <v>1.0000000000000004</v>
      </c>
      <c r="V243" s="17">
        <f t="shared" si="185"/>
        <v>3.3519777183649789E-8</v>
      </c>
      <c r="W243" s="31" t="str">
        <f t="shared" si="175"/>
        <v>1-0.0181006796791709i</v>
      </c>
      <c r="X243" s="17">
        <f t="shared" si="186"/>
        <v>1.0001638038865674</v>
      </c>
      <c r="Y243" s="17">
        <f t="shared" si="187"/>
        <v>-1.8098703264670037E-2</v>
      </c>
      <c r="Z243" s="31" t="str">
        <f t="shared" si="176"/>
        <v>0.998735088935933+1.10456873413241i</v>
      </c>
      <c r="AA243" s="17">
        <f t="shared" si="188"/>
        <v>1.4891419899709835</v>
      </c>
      <c r="AB243" s="17">
        <f t="shared" si="189"/>
        <v>0.83567357298903944</v>
      </c>
      <c r="AC243" s="66" t="str">
        <f t="shared" si="190"/>
        <v>-49.5617838136643-43.3761259417673i</v>
      </c>
      <c r="AD243" s="64">
        <f t="shared" si="191"/>
        <v>36.372754029939941</v>
      </c>
      <c r="AE243" s="61">
        <f t="shared" si="192"/>
        <v>-138.80781265597093</v>
      </c>
      <c r="AF243" s="31" t="str">
        <f t="shared" si="177"/>
        <v>-0.332666666666667</v>
      </c>
      <c r="AG243" s="31" t="str">
        <f t="shared" si="193"/>
        <v>11173.2590612166i</v>
      </c>
      <c r="AH243" s="31">
        <f t="shared" si="194"/>
        <v>11173.2590612166</v>
      </c>
      <c r="AI243" s="31">
        <f t="shared" si="195"/>
        <v>1.5707963267948966</v>
      </c>
      <c r="AJ243" s="31" t="str">
        <f t="shared" si="178"/>
        <v>-5.66069017040889+92.1399121307733i</v>
      </c>
      <c r="AK243" s="31">
        <f t="shared" si="196"/>
        <v>92.313632907994631</v>
      </c>
      <c r="AL243" s="31">
        <f t="shared" si="197"/>
        <v>1.632155018150897</v>
      </c>
      <c r="AM243" s="31" t="str">
        <f t="shared" si="179"/>
        <v>1+335233.973195857i</v>
      </c>
      <c r="AN243" s="31">
        <f t="shared" si="198"/>
        <v>335233.97319734853</v>
      </c>
      <c r="AO243" s="31">
        <f t="shared" si="199"/>
        <v>1.5707933438036727</v>
      </c>
      <c r="AP243" s="31" t="str">
        <f t="shared" si="180"/>
        <v>1+36.2013593583418i</v>
      </c>
      <c r="AQ243" s="31">
        <f t="shared" si="200"/>
        <v>36.215168360671761</v>
      </c>
      <c r="AR243" s="31">
        <f t="shared" si="201"/>
        <v>1.5431800774131843</v>
      </c>
      <c r="AS243" s="58" t="str">
        <f t="shared" si="202"/>
        <v>-3.90014420644125+0.347945455027973i</v>
      </c>
      <c r="AT243" s="49">
        <f t="shared" si="203"/>
        <v>11.856042171555563</v>
      </c>
      <c r="AU243" s="61">
        <f t="shared" si="204"/>
        <v>174.90194050049496</v>
      </c>
      <c r="AV243" s="58" t="str">
        <f t="shared" si="181"/>
        <v>208.390629879915+151.928348868606i</v>
      </c>
      <c r="AW243" s="64">
        <f t="shared" si="205"/>
        <v>48.228796201495491</v>
      </c>
      <c r="AX243" s="61">
        <f t="shared" si="206"/>
        <v>36.094127844524017</v>
      </c>
    </row>
    <row r="244" spans="14:50" x14ac:dyDescent="0.3">
      <c r="N244" s="10">
        <v>26</v>
      </c>
      <c r="O244" s="50">
        <f t="shared" si="207"/>
        <v>1819.7008586099832</v>
      </c>
      <c r="P244" s="48" t="str">
        <f t="shared" si="172"/>
        <v>51201.9230769231</v>
      </c>
      <c r="Q244" s="17" t="str">
        <f t="shared" si="173"/>
        <v>1+534.297077054253i</v>
      </c>
      <c r="R244" s="17">
        <f t="shared" si="182"/>
        <v>534.29801286240843</v>
      </c>
      <c r="S244" s="17">
        <f t="shared" si="183"/>
        <v>1.5689247110303775</v>
      </c>
      <c r="T244" s="17" t="str">
        <f t="shared" si="174"/>
        <v>1+3.43005530948409E-08i</v>
      </c>
      <c r="U244" s="17">
        <f t="shared" si="184"/>
        <v>1.0000000000000004</v>
      </c>
      <c r="V244" s="17">
        <f t="shared" si="185"/>
        <v>3.4300553094840886E-8</v>
      </c>
      <c r="W244" s="31" t="str">
        <f t="shared" si="175"/>
        <v>1-0.0185222986712141i</v>
      </c>
      <c r="X244" s="17">
        <f t="shared" si="186"/>
        <v>1.0001715230639521</v>
      </c>
      <c r="Y244" s="17">
        <f t="shared" si="187"/>
        <v>-1.8520180924535921E-2</v>
      </c>
      <c r="Z244" s="31" t="str">
        <f t="shared" si="176"/>
        <v>0.99867547551407+1.13029744513011i</v>
      </c>
      <c r="AA244" s="17">
        <f t="shared" si="188"/>
        <v>1.5082854570209538</v>
      </c>
      <c r="AB244" s="17">
        <f t="shared" si="189"/>
        <v>0.84714373823417188</v>
      </c>
      <c r="AC244" s="66" t="str">
        <f t="shared" si="190"/>
        <v>-48.3153483846824-41.2773828418074i</v>
      </c>
      <c r="AD244" s="64">
        <f t="shared" si="191"/>
        <v>36.061873107865814</v>
      </c>
      <c r="AE244" s="61">
        <f t="shared" si="192"/>
        <v>-139.49165139509404</v>
      </c>
      <c r="AF244" s="31" t="str">
        <f t="shared" si="177"/>
        <v>-0.332666666666667</v>
      </c>
      <c r="AG244" s="31" t="str">
        <f t="shared" si="193"/>
        <v>11433.5176982803i</v>
      </c>
      <c r="AH244" s="31">
        <f t="shared" si="194"/>
        <v>11433.5176982803</v>
      </c>
      <c r="AI244" s="31">
        <f t="shared" si="195"/>
        <v>1.5707963267948966</v>
      </c>
      <c r="AJ244" s="31" t="str">
        <f t="shared" si="178"/>
        <v>-5.97459882715706+94.2861263927847i</v>
      </c>
      <c r="AK244" s="31">
        <f t="shared" si="196"/>
        <v>94.475231999194563</v>
      </c>
      <c r="AL244" s="31">
        <f t="shared" si="197"/>
        <v>1.6340783979933522</v>
      </c>
      <c r="AM244" s="31" t="str">
        <f t="shared" si="179"/>
        <v>1+343042.575545752i</v>
      </c>
      <c r="AN244" s="31">
        <f t="shared" si="198"/>
        <v>343042.57554720953</v>
      </c>
      <c r="AO244" s="31">
        <f t="shared" si="199"/>
        <v>1.5707934117048428</v>
      </c>
      <c r="AP244" s="31" t="str">
        <f t="shared" si="180"/>
        <v>1+37.0445973424282i</v>
      </c>
      <c r="AQ244" s="31">
        <f t="shared" si="200"/>
        <v>37.058092129285853</v>
      </c>
      <c r="AR244" s="31">
        <f t="shared" si="201"/>
        <v>1.5438083912511318</v>
      </c>
      <c r="AS244" s="58" t="str">
        <f t="shared" si="202"/>
        <v>-3.89915542561944+0.352947420643591i</v>
      </c>
      <c r="AT244" s="49">
        <f t="shared" si="203"/>
        <v>11.854850643212956</v>
      </c>
      <c r="AU244" s="61">
        <f t="shared" si="204"/>
        <v>174.82774257469629</v>
      </c>
      <c r="AV244" s="58" t="str">
        <f t="shared" si="181"/>
        <v>202.957798599762+143.894153673134i</v>
      </c>
      <c r="AW244" s="64">
        <f t="shared" si="205"/>
        <v>47.916723751078777</v>
      </c>
      <c r="AX244" s="61">
        <f t="shared" si="206"/>
        <v>35.336091179602256</v>
      </c>
    </row>
    <row r="245" spans="14:50" x14ac:dyDescent="0.3">
      <c r="N245" s="10">
        <v>27</v>
      </c>
      <c r="O245" s="50">
        <f t="shared" si="207"/>
        <v>1862.0871366628687</v>
      </c>
      <c r="P245" s="48" t="str">
        <f t="shared" si="172"/>
        <v>51201.9230769231</v>
      </c>
      <c r="Q245" s="17" t="str">
        <f t="shared" si="173"/>
        <v>1+546.742454745707i</v>
      </c>
      <c r="R245" s="17">
        <f t="shared" si="182"/>
        <v>546.74336925230432</v>
      </c>
      <c r="S245" s="17">
        <f t="shared" si="183"/>
        <v>1.5689673141103611</v>
      </c>
      <c r="T245" s="17" t="str">
        <f t="shared" si="174"/>
        <v>1+3.50995156133046E-08i</v>
      </c>
      <c r="U245" s="17">
        <f t="shared" si="184"/>
        <v>1.0000000000000007</v>
      </c>
      <c r="V245" s="17">
        <f t="shared" si="185"/>
        <v>3.5099515613304586E-8</v>
      </c>
      <c r="W245" s="31" t="str">
        <f t="shared" si="175"/>
        <v>1-0.0189537384311845i</v>
      </c>
      <c r="X245" s="17">
        <f t="shared" si="186"/>
        <v>1.0001796059711066</v>
      </c>
      <c r="Y245" s="17">
        <f t="shared" si="187"/>
        <v>-1.8951469246742722E-2</v>
      </c>
      <c r="Z245" s="31" t="str">
        <f t="shared" si="176"/>
        <v>0.99861305259819+1.15662545479448i</v>
      </c>
      <c r="AA245" s="17">
        <f t="shared" si="188"/>
        <v>1.5280741053685889</v>
      </c>
      <c r="AB245" s="17">
        <f t="shared" si="189"/>
        <v>0.85858273070730384</v>
      </c>
      <c r="AC245" s="66" t="str">
        <f t="shared" si="190"/>
        <v>-47.0754950218255-39.2577370489726i</v>
      </c>
      <c r="AD245" s="64">
        <f t="shared" si="191"/>
        <v>35.748726533696747</v>
      </c>
      <c r="AE245" s="61">
        <f t="shared" si="192"/>
        <v>-140.1742093172023</v>
      </c>
      <c r="AF245" s="31" t="str">
        <f t="shared" si="177"/>
        <v>-0.332666666666667</v>
      </c>
      <c r="AG245" s="31" t="str">
        <f t="shared" si="193"/>
        <v>11699.8385377682i</v>
      </c>
      <c r="AH245" s="31">
        <f t="shared" si="194"/>
        <v>11699.838537768201</v>
      </c>
      <c r="AI245" s="31">
        <f t="shared" si="195"/>
        <v>1.5707963267948966</v>
      </c>
      <c r="AJ245" s="31" t="str">
        <f t="shared" si="178"/>
        <v>-6.30330154311846+96.4823324070341i</v>
      </c>
      <c r="AK245" s="31">
        <f t="shared" si="196"/>
        <v>96.688014133319029</v>
      </c>
      <c r="AL245" s="31">
        <f t="shared" si="197"/>
        <v>1.6360347642487505</v>
      </c>
      <c r="AM245" s="31" t="str">
        <f t="shared" si="179"/>
        <v>1+351033.063609909i</v>
      </c>
      <c r="AN245" s="31">
        <f t="shared" si="198"/>
        <v>351033.06361133332</v>
      </c>
      <c r="AO245" s="31">
        <f t="shared" si="199"/>
        <v>1.5707934780603936</v>
      </c>
      <c r="AP245" s="31" t="str">
        <f t="shared" si="180"/>
        <v>1+37.907476862369i</v>
      </c>
      <c r="AQ245" s="31">
        <f t="shared" si="200"/>
        <v>37.92066457844642</v>
      </c>
      <c r="AR245" s="31">
        <f t="shared" si="201"/>
        <v>1.5444224235158013</v>
      </c>
      <c r="AS245" s="58" t="str">
        <f t="shared" si="202"/>
        <v>-3.89812351135393+0.358129854060871i</v>
      </c>
      <c r="AT245" s="49">
        <f t="shared" si="203"/>
        <v>11.853614842644657</v>
      </c>
      <c r="AU245" s="61">
        <f t="shared" si="204"/>
        <v>174.75083630422358</v>
      </c>
      <c r="AV245" s="58" t="str">
        <f t="shared" si="181"/>
        <v>197.565461593311+136.172367631141i</v>
      </c>
      <c r="AW245" s="64">
        <f t="shared" si="205"/>
        <v>47.6023413763414</v>
      </c>
      <c r="AX245" s="61">
        <f t="shared" si="206"/>
        <v>34.576626987021413</v>
      </c>
    </row>
    <row r="246" spans="14:50" x14ac:dyDescent="0.3">
      <c r="N246" s="10">
        <v>28</v>
      </c>
      <c r="O246" s="50">
        <f t="shared" si="207"/>
        <v>1905.4607179632501</v>
      </c>
      <c r="P246" s="48" t="str">
        <f t="shared" si="172"/>
        <v>51201.9230769231</v>
      </c>
      <c r="Q246" s="17" t="str">
        <f t="shared" si="173"/>
        <v>1+559.477722523663i</v>
      </c>
      <c r="R246" s="17">
        <f t="shared" si="182"/>
        <v>559.4786162135822</v>
      </c>
      <c r="S246" s="17">
        <f t="shared" si="183"/>
        <v>1.5690089474322642</v>
      </c>
      <c r="T246" s="17" t="str">
        <f t="shared" si="174"/>
        <v>1+3.59170883595438E-08i</v>
      </c>
      <c r="U246" s="17">
        <f t="shared" si="184"/>
        <v>1.0000000000000007</v>
      </c>
      <c r="V246" s="17">
        <f t="shared" si="185"/>
        <v>3.5917088359543786E-8</v>
      </c>
      <c r="W246" s="31" t="str">
        <f t="shared" si="175"/>
        <v>1-0.0193952277141537i</v>
      </c>
      <c r="X246" s="17">
        <f t="shared" si="186"/>
        <v>1.0001880697439276</v>
      </c>
      <c r="Y246" s="17">
        <f t="shared" si="187"/>
        <v>-1.9392796263909422E-2</v>
      </c>
      <c r="Z246" s="31" t="str">
        <f t="shared" si="176"/>
        <v>0.99854768778092+1.18356672258474i</v>
      </c>
      <c r="AA246" s="17">
        <f t="shared" si="188"/>
        <v>1.5485243529188053</v>
      </c>
      <c r="AB246" s="17">
        <f t="shared" si="189"/>
        <v>0.86998472764193824</v>
      </c>
      <c r="AC246" s="66" t="str">
        <f t="shared" si="190"/>
        <v>-45.8434942618748-37.3155980130153i</v>
      </c>
      <c r="AD246" s="64">
        <f t="shared" si="191"/>
        <v>35.433328220876639</v>
      </c>
      <c r="AE246" s="61">
        <f t="shared" si="192"/>
        <v>-140.85516716183531</v>
      </c>
      <c r="AF246" s="31" t="str">
        <f t="shared" si="177"/>
        <v>-0.332666666666667</v>
      </c>
      <c r="AG246" s="31" t="str">
        <f t="shared" si="193"/>
        <v>11972.3627865146i</v>
      </c>
      <c r="AH246" s="31">
        <f t="shared" si="194"/>
        <v>11972.362786514601</v>
      </c>
      <c r="AI246" s="31">
        <f t="shared" si="195"/>
        <v>1.5707963267948966</v>
      </c>
      <c r="AJ246" s="31" t="str">
        <f t="shared" si="178"/>
        <v>-6.64749554082366+98.7296946310204i</v>
      </c>
      <c r="AK246" s="31">
        <f t="shared" si="196"/>
        <v>98.953230361114578</v>
      </c>
      <c r="AL246" s="31">
        <f t="shared" si="197"/>
        <v>1.6380251137347983</v>
      </c>
      <c r="AM246" s="31" t="str">
        <f t="shared" si="179"/>
        <v>1+359209.674050867i</v>
      </c>
      <c r="AN246" s="31">
        <f t="shared" si="198"/>
        <v>359209.67405225895</v>
      </c>
      <c r="AO246" s="31">
        <f t="shared" si="199"/>
        <v>1.5707935429055078</v>
      </c>
      <c r="AP246" s="31" t="str">
        <f t="shared" si="180"/>
        <v>1+38.7904554283073i</v>
      </c>
      <c r="AQ246" s="31">
        <f t="shared" si="200"/>
        <v>38.80334305617874</v>
      </c>
      <c r="AR246" s="31">
        <f t="shared" si="201"/>
        <v>1.5450224979220699</v>
      </c>
      <c r="AS246" s="58" t="str">
        <f t="shared" si="202"/>
        <v>-3.89704634559127+0.363495035802788i</v>
      </c>
      <c r="AT246" s="49">
        <f t="shared" si="203"/>
        <v>11.852332188658538</v>
      </c>
      <c r="AU246" s="61">
        <f t="shared" si="204"/>
        <v>174.67118312514143</v>
      </c>
      <c r="AV246" s="58" t="str">
        <f t="shared" si="181"/>
        <v>192.218256418117+128.756732282129i</v>
      </c>
      <c r="AW246" s="64">
        <f t="shared" si="205"/>
        <v>47.285660409535176</v>
      </c>
      <c r="AX246" s="61">
        <f t="shared" si="206"/>
        <v>33.816015963306086</v>
      </c>
    </row>
    <row r="247" spans="14:50" x14ac:dyDescent="0.3">
      <c r="N247" s="10">
        <v>29</v>
      </c>
      <c r="O247" s="50">
        <f t="shared" si="207"/>
        <v>1949.8445997580463</v>
      </c>
      <c r="P247" s="48" t="str">
        <f t="shared" si="172"/>
        <v>51201.9230769231</v>
      </c>
      <c r="Q247" s="17" t="str">
        <f t="shared" si="173"/>
        <v>1+572.509632795657i</v>
      </c>
      <c r="R247" s="17">
        <f t="shared" si="182"/>
        <v>572.51050614274152</v>
      </c>
      <c r="S247" s="17">
        <f t="shared" si="183"/>
        <v>1.569049633070047</v>
      </c>
      <c r="T247" s="17" t="str">
        <f t="shared" si="174"/>
        <v>1+3.67537048214496E-08i</v>
      </c>
      <c r="U247" s="17">
        <f t="shared" si="184"/>
        <v>1.0000000000000007</v>
      </c>
      <c r="V247" s="17">
        <f t="shared" si="185"/>
        <v>3.6753704821449579E-8</v>
      </c>
      <c r="W247" s="31" t="str">
        <f t="shared" si="175"/>
        <v>1-0.0198470006035828i</v>
      </c>
      <c r="X247" s="17">
        <f t="shared" si="186"/>
        <v>1.0001969323253088</v>
      </c>
      <c r="Y247" s="17">
        <f t="shared" si="187"/>
        <v>-1.9844395285410786E-2</v>
      </c>
      <c r="Z247" s="31" t="str">
        <f t="shared" si="176"/>
        <v>0.998479242414718+1.21113553311766i</v>
      </c>
      <c r="AA247" s="17">
        <f t="shared" si="188"/>
        <v>1.5696528524209639</v>
      </c>
      <c r="AB247" s="17">
        <f t="shared" si="189"/>
        <v>0.88134400382525735</v>
      </c>
      <c r="AC247" s="66" t="str">
        <f t="shared" si="190"/>
        <v>-44.6205821311319-35.4493335836139i</v>
      </c>
      <c r="AD247" s="64">
        <f t="shared" si="191"/>
        <v>35.115694332005667</v>
      </c>
      <c r="AE247" s="61">
        <f t="shared" si="192"/>
        <v>-141.53421153082442</v>
      </c>
      <c r="AF247" s="31" t="str">
        <f t="shared" si="177"/>
        <v>-0.332666666666667</v>
      </c>
      <c r="AG247" s="31" t="str">
        <f t="shared" si="193"/>
        <v>12251.2349404832i</v>
      </c>
      <c r="AH247" s="31">
        <f t="shared" si="194"/>
        <v>12251.2349404832</v>
      </c>
      <c r="AI247" s="31">
        <f t="shared" si="195"/>
        <v>1.5707963267948966</v>
      </c>
      <c r="AJ247" s="31" t="str">
        <f t="shared" si="178"/>
        <v>-7.00791090188828+101.029404645942i</v>
      </c>
      <c r="AK247" s="31">
        <f t="shared" si="196"/>
        <v>101.27216507176239</v>
      </c>
      <c r="AL247" s="31">
        <f t="shared" si="197"/>
        <v>1.6400504584426343</v>
      </c>
      <c r="AM247" s="31" t="str">
        <f t="shared" si="179"/>
        <v>1+367576.742215704i</v>
      </c>
      <c r="AN247" s="31">
        <f t="shared" si="198"/>
        <v>367576.74221706425</v>
      </c>
      <c r="AO247" s="31">
        <f t="shared" si="199"/>
        <v>1.5707936062745667</v>
      </c>
      <c r="AP247" s="31" t="str">
        <f t="shared" si="180"/>
        <v>1+39.6940012071656i</v>
      </c>
      <c r="AQ247" s="31">
        <f t="shared" si="200"/>
        <v>39.706595570943428</v>
      </c>
      <c r="AR247" s="31">
        <f t="shared" si="201"/>
        <v>1.5456089309076977</v>
      </c>
      <c r="AS247" s="58" t="str">
        <f t="shared" si="202"/>
        <v>-3.89592172103216+0.369045310247923i</v>
      </c>
      <c r="AT247" s="49">
        <f t="shared" si="203"/>
        <v>11.85100000440292</v>
      </c>
      <c r="AU247" s="61">
        <f t="shared" si="204"/>
        <v>174.58874318714658</v>
      </c>
      <c r="AV247" s="58" t="str">
        <f t="shared" si="181"/>
        <v>186.920705440223+121.64081212849i</v>
      </c>
      <c r="AW247" s="64">
        <f t="shared" si="205"/>
        <v>46.966694336408594</v>
      </c>
      <c r="AX247" s="61">
        <f t="shared" si="206"/>
        <v>33.054531656322261</v>
      </c>
    </row>
    <row r="248" spans="14:50" x14ac:dyDescent="0.3">
      <c r="N248" s="10">
        <v>30</v>
      </c>
      <c r="O248" s="50">
        <f t="shared" si="207"/>
        <v>1995.2623149688804</v>
      </c>
      <c r="P248" s="48" t="str">
        <f t="shared" si="172"/>
        <v>51201.9230769231</v>
      </c>
      <c r="Q248" s="17" t="str">
        <f t="shared" si="173"/>
        <v>1+585.845095253025i</v>
      </c>
      <c r="R248" s="17">
        <f t="shared" si="182"/>
        <v>585.84594872033199</v>
      </c>
      <c r="S248" s="17">
        <f t="shared" si="183"/>
        <v>1.5690893925952345</v>
      </c>
      <c r="T248" s="17" t="str">
        <f t="shared" si="174"/>
        <v>1+3.76098085841448E-08i</v>
      </c>
      <c r="U248" s="17">
        <f t="shared" si="184"/>
        <v>1.0000000000000007</v>
      </c>
      <c r="V248" s="17">
        <f t="shared" si="185"/>
        <v>3.760980858414478E-8</v>
      </c>
      <c r="W248" s="31" t="str">
        <f t="shared" si="175"/>
        <v>1-0.0203092966354382i</v>
      </c>
      <c r="X248" s="17">
        <f t="shared" si="186"/>
        <v>1.0002062125031148</v>
      </c>
      <c r="Y248" s="17">
        <f t="shared" si="187"/>
        <v>-2.0306505017804708E-2</v>
      </c>
      <c r="Z248" s="31" t="str">
        <f t="shared" si="176"/>
        <v>0.998407571317786+1.23934650374152i</v>
      </c>
      <c r="AA248" s="17">
        <f t="shared" si="188"/>
        <v>1.5914764952084619</v>
      </c>
      <c r="AB248" s="17">
        <f t="shared" si="189"/>
        <v>0.89265494547710178</v>
      </c>
      <c r="AC248" s="66" t="str">
        <f t="shared" si="190"/>
        <v>-43.40795558861-33.6572725009138i</v>
      </c>
      <c r="AD248" s="64">
        <f t="shared" si="191"/>
        <v>34.795843213801355</v>
      </c>
      <c r="AE248" s="61">
        <f t="shared" si="192"/>
        <v>-142.21103569106953</v>
      </c>
      <c r="AF248" s="31" t="str">
        <f t="shared" si="177"/>
        <v>-0.332666666666667</v>
      </c>
      <c r="AG248" s="31" t="str">
        <f t="shared" si="193"/>
        <v>12536.6028613816i</v>
      </c>
      <c r="AH248" s="31">
        <f t="shared" si="194"/>
        <v>12536.6028613816</v>
      </c>
      <c r="AI248" s="31">
        <f t="shared" si="195"/>
        <v>1.5707963267948966</v>
      </c>
      <c r="AJ248" s="31" t="str">
        <f t="shared" si="178"/>
        <v>-7.38531211561527+103.382681788489i</v>
      </c>
      <c r="AK248" s="31">
        <f t="shared" si="196"/>
        <v>103.64613706658356</v>
      </c>
      <c r="AL248" s="31">
        <f t="shared" si="197"/>
        <v>1.642111825873029</v>
      </c>
      <c r="AM248" s="31" t="str">
        <f t="shared" si="179"/>
        <v>1+376138.704434719i</v>
      </c>
      <c r="AN248" s="31">
        <f t="shared" si="198"/>
        <v>376138.70443604828</v>
      </c>
      <c r="AO248" s="31">
        <f t="shared" si="199"/>
        <v>1.5707936682011698</v>
      </c>
      <c r="AP248" s="31" t="str">
        <f t="shared" si="180"/>
        <v>1+40.6185932708764i</v>
      </c>
      <c r="AQ248" s="31">
        <f t="shared" si="200"/>
        <v>40.630901039786032</v>
      </c>
      <c r="AR248" s="31">
        <f t="shared" si="201"/>
        <v>1.5461820317928805</v>
      </c>
      <c r="AS248" s="58" t="str">
        <f t="shared" si="202"/>
        <v>-3.89474733708861+0.374783084609197i</v>
      </c>
      <c r="AT248" s="49">
        <f t="shared" si="203"/>
        <v>11.849615512054143</v>
      </c>
      <c r="AU248" s="61">
        <f t="shared" si="204"/>
        <v>174.50347534344843</v>
      </c>
      <c r="AV248" s="58" t="str">
        <f t="shared" si="181"/>
        <v>181.677195844624+114.818004954521i</v>
      </c>
      <c r="AW248" s="64">
        <f t="shared" si="205"/>
        <v>46.645458725855484</v>
      </c>
      <c r="AX248" s="61">
        <f t="shared" si="206"/>
        <v>32.292439652378825</v>
      </c>
    </row>
    <row r="249" spans="14:50" x14ac:dyDescent="0.3">
      <c r="N249" s="10">
        <v>31</v>
      </c>
      <c r="O249" s="50">
        <f t="shared" si="207"/>
        <v>2041.7379446695318</v>
      </c>
      <c r="P249" s="48" t="str">
        <f t="shared" si="172"/>
        <v>51201.9230769231</v>
      </c>
      <c r="Q249" s="17" t="str">
        <f t="shared" si="173"/>
        <v>1+599.491180534469i</v>
      </c>
      <c r="R249" s="17">
        <f t="shared" si="182"/>
        <v>599.49201457451557</v>
      </c>
      <c r="S249" s="17">
        <f t="shared" si="183"/>
        <v>1.5691282470883501</v>
      </c>
      <c r="T249" s="17" t="str">
        <f t="shared" si="174"/>
        <v>1+3.84858535651758E-08i</v>
      </c>
      <c r="U249" s="17">
        <f t="shared" si="184"/>
        <v>1.0000000000000009</v>
      </c>
      <c r="V249" s="17">
        <f t="shared" si="185"/>
        <v>3.848585356517578E-8</v>
      </c>
      <c r="W249" s="31" t="str">
        <f t="shared" si="175"/>
        <v>1-0.0207823609251949i</v>
      </c>
      <c r="X249" s="17">
        <f t="shared" si="186"/>
        <v>1.0002159299499409</v>
      </c>
      <c r="Y249" s="17">
        <f t="shared" si="187"/>
        <v>-2.0779369687883766E-2</v>
      </c>
      <c r="Z249" s="31" t="str">
        <f t="shared" si="176"/>
        <v>0.998332522466119+1.26821459228634i</v>
      </c>
      <c r="AA249" s="17">
        <f t="shared" si="188"/>
        <v>1.6140124155351383</v>
      </c>
      <c r="AB249" s="17">
        <f t="shared" si="189"/>
        <v>0.9039120634464699</v>
      </c>
      <c r="AC249" s="66" t="str">
        <f t="shared" si="190"/>
        <v>-42.2067682930198-31.9377072536369i</v>
      </c>
      <c r="AD249" s="64">
        <f t="shared" si="191"/>
        <v>34.473795324042726</v>
      </c>
      <c r="AE249" s="61">
        <f t="shared" si="192"/>
        <v>-142.88534033834853</v>
      </c>
      <c r="AF249" s="31" t="str">
        <f t="shared" si="177"/>
        <v>-0.332666666666667</v>
      </c>
      <c r="AG249" s="31" t="str">
        <f t="shared" si="193"/>
        <v>12828.6178550586i</v>
      </c>
      <c r="AH249" s="31">
        <f t="shared" si="194"/>
        <v>12828.617855058599</v>
      </c>
      <c r="AI249" s="31">
        <f t="shared" si="195"/>
        <v>1.5707963267948966</v>
      </c>
      <c r="AJ249" s="31" t="str">
        <f t="shared" si="178"/>
        <v>-7.78049970057778+105.790773797352i</v>
      </c>
      <c r="AK249" s="31">
        <f t="shared" si="196"/>
        <v>106.0765006786762</v>
      </c>
      <c r="AL249" s="31">
        <f t="shared" si="197"/>
        <v>1.6442102593670109</v>
      </c>
      <c r="AM249" s="31" t="str">
        <f t="shared" si="179"/>
        <v>1+384900.100373609i</v>
      </c>
      <c r="AN249" s="31">
        <f t="shared" si="198"/>
        <v>384900.10037490807</v>
      </c>
      <c r="AO249" s="31">
        <f t="shared" si="199"/>
        <v>1.5707937287181515</v>
      </c>
      <c r="AP249" s="31" t="str">
        <f t="shared" si="180"/>
        <v>1+41.5647218503899i</v>
      </c>
      <c r="AQ249" s="31">
        <f t="shared" si="200"/>
        <v>41.576749542265567</v>
      </c>
      <c r="AR249" s="31">
        <f t="shared" si="201"/>
        <v>1.5467421029365755</v>
      </c>
      <c r="AS249" s="58" t="str">
        <f t="shared" si="202"/>
        <v>-3.89352079570242+0.380710827792093i</v>
      </c>
      <c r="AT249" s="49">
        <f t="shared" si="203"/>
        <v>11.84817582732218</v>
      </c>
      <c r="AU249" s="61">
        <f t="shared" si="204"/>
        <v>174.41533714078281</v>
      </c>
      <c r="AV249" s="58" t="str">
        <f t="shared" si="181"/>
        <v>176.49196103458+108.281553663827i</v>
      </c>
      <c r="AW249" s="64">
        <f t="shared" si="205"/>
        <v>46.321971151364927</v>
      </c>
      <c r="AX249" s="61">
        <f t="shared" si="206"/>
        <v>31.529996802434329</v>
      </c>
    </row>
    <row r="250" spans="14:50" x14ac:dyDescent="0.3">
      <c r="N250" s="10">
        <v>32</v>
      </c>
      <c r="O250" s="50">
        <f t="shared" si="207"/>
        <v>2089.2961308540398</v>
      </c>
      <c r="P250" s="48" t="str">
        <f t="shared" si="172"/>
        <v>51201.9230769231</v>
      </c>
      <c r="Q250" s="17" t="str">
        <f t="shared" si="173"/>
        <v>1+613.455123975043i</v>
      </c>
      <c r="R250" s="17">
        <f t="shared" si="182"/>
        <v>613.4559390300459</v>
      </c>
      <c r="S250" s="17">
        <f t="shared" si="183"/>
        <v>1.5691662171500906</v>
      </c>
      <c r="T250" s="17" t="str">
        <f t="shared" si="174"/>
        <v>1+3.93823042551879E-08i</v>
      </c>
      <c r="U250" s="17">
        <f t="shared" si="184"/>
        <v>1.0000000000000009</v>
      </c>
      <c r="V250" s="17">
        <f t="shared" si="185"/>
        <v>3.9382304255187878E-8</v>
      </c>
      <c r="W250" s="31" t="str">
        <f t="shared" si="175"/>
        <v>1-0.0212664442978015i</v>
      </c>
      <c r="X250" s="17">
        <f t="shared" si="186"/>
        <v>1.0002261052647403</v>
      </c>
      <c r="Y250" s="17">
        <f t="shared" si="187"/>
        <v>-2.1263239168406469E-2</v>
      </c>
      <c r="Z250" s="31" t="str">
        <f t="shared" si="176"/>
        <v>0.998253936671039+1.29775510499482i</v>
      </c>
      <c r="AA250" s="17">
        <f t="shared" si="188"/>
        <v>1.637277995521635</v>
      </c>
      <c r="AB250" s="17">
        <f t="shared" si="189"/>
        <v>0.91511000565575362</v>
      </c>
      <c r="AC250" s="66" t="str">
        <f t="shared" si="190"/>
        <v>-41.0181267236183-30.288897266097i</v>
      </c>
      <c r="AD250" s="64">
        <f t="shared" si="191"/>
        <v>34.149573151112875</v>
      </c>
      <c r="AE250" s="61">
        <f t="shared" si="192"/>
        <v>-143.55683431816368</v>
      </c>
      <c r="AF250" s="31" t="str">
        <f t="shared" si="177"/>
        <v>-0.332666666666667</v>
      </c>
      <c r="AG250" s="31" t="str">
        <f t="shared" si="193"/>
        <v>13127.4347517293i</v>
      </c>
      <c r="AH250" s="31">
        <f t="shared" si="194"/>
        <v>13127.434751729301</v>
      </c>
      <c r="AI250" s="31">
        <f t="shared" si="195"/>
        <v>1.5707963267948966</v>
      </c>
      <c r="AJ250" s="31" t="str">
        <f t="shared" si="178"/>
        <v>-8.19431190262748+108.254957474789i</v>
      </c>
      <c r="AK250" s="31">
        <f t="shared" si="196"/>
        <v>108.5646469410089</v>
      </c>
      <c r="AL250" s="31">
        <f t="shared" si="197"/>
        <v>1.6463468184302237</v>
      </c>
      <c r="AM250" s="31" t="str">
        <f t="shared" si="179"/>
        <v>1+393865.575440475i</v>
      </c>
      <c r="AN250" s="31">
        <f t="shared" si="198"/>
        <v>393865.57544174453</v>
      </c>
      <c r="AO250" s="31">
        <f t="shared" si="199"/>
        <v>1.5707937878575984</v>
      </c>
      <c r="AP250" s="31" t="str">
        <f t="shared" si="180"/>
        <v>1+42.5328885956029i</v>
      </c>
      <c r="AQ250" s="31">
        <f t="shared" si="200"/>
        <v>42.544642580305776</v>
      </c>
      <c r="AR250" s="31">
        <f t="shared" si="201"/>
        <v>1.5472894398896482</v>
      </c>
      <c r="AS250" s="58" t="str">
        <f t="shared" si="202"/>
        <v>-3.89223959702302+0.386831069122319i</v>
      </c>
      <c r="AT250" s="49">
        <f t="shared" si="203"/>
        <v>11.84667795376901</v>
      </c>
      <c r="AU250" s="61">
        <f t="shared" si="204"/>
        <v>174.3242848096036</v>
      </c>
      <c r="AV250" s="58" t="str">
        <f t="shared" si="181"/>
        <v>171.369063541356+102.024559475373i</v>
      </c>
      <c r="AW250" s="64">
        <f t="shared" si="205"/>
        <v>45.9962511048819</v>
      </c>
      <c r="AX250" s="61">
        <f t="shared" si="206"/>
        <v>30.767450491439856</v>
      </c>
    </row>
    <row r="251" spans="14:50" x14ac:dyDescent="0.3">
      <c r="N251" s="10">
        <v>33</v>
      </c>
      <c r="O251" s="50">
        <f t="shared" si="207"/>
        <v>2137.9620895022344</v>
      </c>
      <c r="P251" s="48" t="str">
        <f t="shared" si="172"/>
        <v>51201.9230769231</v>
      </c>
      <c r="Q251" s="17" t="str">
        <f t="shared" si="173"/>
        <v>1+627.744329442381i</v>
      </c>
      <c r="R251" s="17">
        <f t="shared" si="182"/>
        <v>627.74512594449072</v>
      </c>
      <c r="S251" s="17">
        <f t="shared" si="183"/>
        <v>1.5692033229122475</v>
      </c>
      <c r="T251" s="17" t="str">
        <f t="shared" si="174"/>
        <v>1+4.02996359642022E-08i</v>
      </c>
      <c r="U251" s="17">
        <f t="shared" si="184"/>
        <v>1.0000000000000009</v>
      </c>
      <c r="V251" s="17">
        <f t="shared" si="185"/>
        <v>4.0299635964202177E-8</v>
      </c>
      <c r="W251" s="31" t="str">
        <f t="shared" si="175"/>
        <v>1-0.0217618034206692i</v>
      </c>
      <c r="X251" s="17">
        <f t="shared" si="186"/>
        <v>1.0002367600164073</v>
      </c>
      <c r="Y251" s="17">
        <f t="shared" si="187"/>
        <v>-2.1758369106550362E-2</v>
      </c>
      <c r="Z251" s="31" t="str">
        <f t="shared" si="176"/>
        <v>0.998171647241541+1.32798370463777i</v>
      </c>
      <c r="AA251" s="17">
        <f t="shared" si="188"/>
        <v>1.661290870720822</v>
      </c>
      <c r="AB251" s="17">
        <f t="shared" si="189"/>
        <v>0.92624356873091551</v>
      </c>
      <c r="AC251" s="66" t="str">
        <f t="shared" si="190"/>
        <v>-39.8430866800433-28.7090723728825i</v>
      </c>
      <c r="AD251" s="64">
        <f t="shared" si="191"/>
        <v>33.823201126812144</v>
      </c>
      <c r="AE251" s="61">
        <f t="shared" si="192"/>
        <v>-144.22523530008738</v>
      </c>
      <c r="AF251" s="31" t="str">
        <f t="shared" si="177"/>
        <v>-0.332666666666667</v>
      </c>
      <c r="AG251" s="31" t="str">
        <f t="shared" si="193"/>
        <v>13433.2119880674i</v>
      </c>
      <c r="AH251" s="31">
        <f t="shared" si="194"/>
        <v>13433.2119880674</v>
      </c>
      <c r="AI251" s="31">
        <f t="shared" si="195"/>
        <v>1.5707963267948966</v>
      </c>
      <c r="AJ251" s="31" t="str">
        <f t="shared" si="178"/>
        <v>-8.62762647292539+110.776539363602i</v>
      </c>
      <c r="AK251" s="31">
        <f t="shared" si="196"/>
        <v>111.11200480565539</v>
      </c>
      <c r="AL251" s="31">
        <f t="shared" si="197"/>
        <v>1.6485225790501459</v>
      </c>
      <c r="AM251" s="31" t="str">
        <f t="shared" si="179"/>
        <v>1+403039.883248864i</v>
      </c>
      <c r="AN251" s="31">
        <f t="shared" si="198"/>
        <v>403039.8832501045</v>
      </c>
      <c r="AO251" s="31">
        <f t="shared" si="199"/>
        <v>1.570793845650867</v>
      </c>
      <c r="AP251" s="31" t="str">
        <f t="shared" si="180"/>
        <v>1+43.5236068413384i</v>
      </c>
      <c r="AQ251" s="31">
        <f t="shared" si="200"/>
        <v>43.535093344098833</v>
      </c>
      <c r="AR251" s="31">
        <f t="shared" si="201"/>
        <v>1.5478243315448841</v>
      </c>
      <c r="AS251" s="58" t="str">
        <f t="shared" si="202"/>
        <v>-3.89090113493998+0.393146396931527i</v>
      </c>
      <c r="AT251" s="49">
        <f t="shared" si="203"/>
        <v>11.845118776927745</v>
      </c>
      <c r="AU251" s="61">
        <f t="shared" si="204"/>
        <v>174.23027325450346</v>
      </c>
      <c r="AV251" s="58" t="str">
        <f t="shared" si="181"/>
        <v>166.312379545538+96.039996307833i</v>
      </c>
      <c r="AW251" s="64">
        <f t="shared" si="205"/>
        <v>45.668319903739906</v>
      </c>
      <c r="AX251" s="61">
        <f t="shared" si="206"/>
        <v>30.005037954416043</v>
      </c>
    </row>
    <row r="252" spans="14:50" x14ac:dyDescent="0.3">
      <c r="N252" s="10">
        <v>34</v>
      </c>
      <c r="O252" s="50">
        <f t="shared" si="207"/>
        <v>2187.7616239495528</v>
      </c>
      <c r="P252" s="48" t="str">
        <f t="shared" si="172"/>
        <v>51201.9230769231</v>
      </c>
      <c r="Q252" s="17" t="str">
        <f t="shared" si="173"/>
        <v>1+642.36637326237i</v>
      </c>
      <c r="R252" s="17">
        <f t="shared" si="182"/>
        <v>642.36715163390045</v>
      </c>
      <c r="S252" s="17">
        <f t="shared" si="183"/>
        <v>1.5692395840483777</v>
      </c>
      <c r="T252" s="17" t="str">
        <f t="shared" si="174"/>
        <v>1+4.12383350736336E-08i</v>
      </c>
      <c r="U252" s="17">
        <f t="shared" si="184"/>
        <v>1.0000000000000009</v>
      </c>
      <c r="V252" s="17">
        <f t="shared" si="185"/>
        <v>4.1238335073633573E-8</v>
      </c>
      <c r="W252" s="31" t="str">
        <f t="shared" si="175"/>
        <v>1-0.0222687009397621i</v>
      </c>
      <c r="X252" s="17">
        <f t="shared" si="186"/>
        <v>1.0002479167894049</v>
      </c>
      <c r="Y252" s="17">
        <f t="shared" si="187"/>
        <v>-2.2265021055142765E-2</v>
      </c>
      <c r="Z252" s="31" t="str">
        <f t="shared" si="176"/>
        <v>0.998085479630709+1.35891641881886i</v>
      </c>
      <c r="AA252" s="17">
        <f t="shared" si="188"/>
        <v>1.686068936308696</v>
      </c>
      <c r="AB252" s="17">
        <f t="shared" si="189"/>
        <v>0.93730770876495773</v>
      </c>
      <c r="AC252" s="66" t="str">
        <f t="shared" si="190"/>
        <v>-38.6826501810447-27.1964365379976i</v>
      </c>
      <c r="AD252" s="64">
        <f t="shared" si="191"/>
        <v>33.494705533146501</v>
      </c>
      <c r="AE252" s="61">
        <f t="shared" si="192"/>
        <v>-144.89027040259333</v>
      </c>
      <c r="AF252" s="31" t="str">
        <f t="shared" si="177"/>
        <v>-0.332666666666667</v>
      </c>
      <c r="AG252" s="31" t="str">
        <f t="shared" si="193"/>
        <v>13746.1116912112i</v>
      </c>
      <c r="AH252" s="31">
        <f t="shared" si="194"/>
        <v>13746.111691211199</v>
      </c>
      <c r="AI252" s="31">
        <f t="shared" si="195"/>
        <v>1.5707963267948966</v>
      </c>
      <c r="AJ252" s="31" t="str">
        <f t="shared" si="178"/>
        <v>-9.0813625297708+113.356856439887i</v>
      </c>
      <c r="AK252" s="31">
        <f t="shared" si="196"/>
        <v>113.72004241702638</v>
      </c>
      <c r="AL252" s="31">
        <f t="shared" si="197"/>
        <v>1.6507386340053318</v>
      </c>
      <c r="AM252" s="31" t="str">
        <f t="shared" si="179"/>
        <v>1+412427.888138216i</v>
      </c>
      <c r="AN252" s="31">
        <f t="shared" si="198"/>
        <v>412427.88813942828</v>
      </c>
      <c r="AO252" s="31">
        <f t="shared" si="199"/>
        <v>1.5707939021286004</v>
      </c>
      <c r="AP252" s="31" t="str">
        <f t="shared" si="180"/>
        <v>1+44.5374018795243i</v>
      </c>
      <c r="AQ252" s="31">
        <f t="shared" si="200"/>
        <v>44.548626984209676</v>
      </c>
      <c r="AR252" s="31">
        <f t="shared" si="201"/>
        <v>1.5483470602839184</v>
      </c>
      <c r="AS252" s="58" t="str">
        <f t="shared" si="202"/>
        <v>-3.88950269246878+0.399659456989737i</v>
      </c>
      <c r="AT252" s="49">
        <f t="shared" si="203"/>
        <v>11.843495058217277</v>
      </c>
      <c r="AU252" s="61">
        <f t="shared" si="204"/>
        <v>174.13325604491487</v>
      </c>
      <c r="AV252" s="58" t="str">
        <f t="shared" si="181"/>
        <v>161.325585089833+90.3207261738177i</v>
      </c>
      <c r="AW252" s="64">
        <f t="shared" si="205"/>
        <v>45.338200591363773</v>
      </c>
      <c r="AX252" s="61">
        <f t="shared" si="206"/>
        <v>29.242985642321571</v>
      </c>
    </row>
    <row r="253" spans="14:50" x14ac:dyDescent="0.3">
      <c r="N253" s="10">
        <v>35</v>
      </c>
      <c r="O253" s="50">
        <f t="shared" si="207"/>
        <v>2238.7211385683418</v>
      </c>
      <c r="P253" s="48" t="str">
        <f t="shared" si="172"/>
        <v>51201.9230769231</v>
      </c>
      <c r="Q253" s="17" t="str">
        <f t="shared" si="173"/>
        <v>1+657.329008236188i</v>
      </c>
      <c r="R253" s="17">
        <f t="shared" si="182"/>
        <v>657.32976888984001</v>
      </c>
      <c r="S253" s="17">
        <f t="shared" si="183"/>
        <v>1.5692750197842342</v>
      </c>
      <c r="T253" s="17" t="str">
        <f t="shared" si="174"/>
        <v>1+4.2198899294175E-08i</v>
      </c>
      <c r="U253" s="17">
        <f t="shared" si="184"/>
        <v>1.0000000000000009</v>
      </c>
      <c r="V253" s="17">
        <f t="shared" si="185"/>
        <v>4.2198899294174976E-8</v>
      </c>
      <c r="W253" s="31" t="str">
        <f t="shared" si="175"/>
        <v>1-0.0227874056188545i</v>
      </c>
      <c r="X253" s="17">
        <f t="shared" si="186"/>
        <v>1.0002595992315386</v>
      </c>
      <c r="Y253" s="17">
        <f t="shared" si="187"/>
        <v>-2.2783462606711817E-2</v>
      </c>
      <c r="Z253" s="31" t="str">
        <f t="shared" si="176"/>
        <v>0.997995251065491+1.3905696484726i</v>
      </c>
      <c r="AA253" s="17">
        <f t="shared" si="188"/>
        <v>1.7116303539031092</v>
      </c>
      <c r="AB253" s="17">
        <f t="shared" si="189"/>
        <v>0.94829755117070336</v>
      </c>
      <c r="AC253" s="66" t="str">
        <f t="shared" si="190"/>
        <v>-37.5377627767679-25.7491717740891i</v>
      </c>
      <c r="AD253" s="64">
        <f t="shared" si="191"/>
        <v>33.164114403836152</v>
      </c>
      <c r="AE253" s="61">
        <f t="shared" si="192"/>
        <v>-145.55167676585774</v>
      </c>
      <c r="AF253" s="31" t="str">
        <f t="shared" si="177"/>
        <v>-0.332666666666667</v>
      </c>
      <c r="AG253" s="31" t="str">
        <f t="shared" si="193"/>
        <v>14066.299764725i</v>
      </c>
      <c r="AH253" s="31">
        <f t="shared" si="194"/>
        <v>14066.299764724999</v>
      </c>
      <c r="AI253" s="31">
        <f t="shared" si="195"/>
        <v>1.5707963267948966</v>
      </c>
      <c r="AJ253" s="31" t="str">
        <f t="shared" si="178"/>
        <v>-9.5564825081737+115.997276821912i</v>
      </c>
      <c r="AK253" s="31">
        <f t="shared" si="196"/>
        <v>116.3902684421181</v>
      </c>
      <c r="AL253" s="31">
        <f t="shared" si="197"/>
        <v>1.6529960931656871</v>
      </c>
      <c r="AM253" s="31" t="str">
        <f t="shared" si="179"/>
        <v>1+422034.567752988i</v>
      </c>
      <c r="AN253" s="31">
        <f t="shared" si="198"/>
        <v>422034.56775417272</v>
      </c>
      <c r="AO253" s="31">
        <f t="shared" si="199"/>
        <v>1.5707939573207435</v>
      </c>
      <c r="AP253" s="31" t="str">
        <f t="shared" si="180"/>
        <v>1+45.574811237709i</v>
      </c>
      <c r="AQ253" s="31">
        <f t="shared" si="200"/>
        <v>45.585780890018839</v>
      </c>
      <c r="AR253" s="31">
        <f t="shared" si="201"/>
        <v>1.5488579021211275</v>
      </c>
      <c r="AS253" s="58" t="str">
        <f t="shared" si="202"/>
        <v>-3.888041436986+0.406372950771779i</v>
      </c>
      <c r="AT253" s="49">
        <f t="shared" si="203"/>
        <v>11.841803428641025</v>
      </c>
      <c r="AU253" s="61">
        <f t="shared" si="204"/>
        <v>174.03318540615101</v>
      </c>
      <c r="AV253" s="58" t="str">
        <f t="shared" si="181"/>
        <v>156.41214404159+84.8595154007625i</v>
      </c>
      <c r="AW253" s="64">
        <f t="shared" si="205"/>
        <v>45.005917832477166</v>
      </c>
      <c r="AX253" s="61">
        <f t="shared" si="206"/>
        <v>28.481508640293313</v>
      </c>
    </row>
    <row r="254" spans="14:50" x14ac:dyDescent="0.3">
      <c r="N254" s="10">
        <v>36</v>
      </c>
      <c r="O254" s="50">
        <f t="shared" si="207"/>
        <v>2290.8676527677749</v>
      </c>
      <c r="P254" s="48" t="str">
        <f t="shared" si="172"/>
        <v>51201.9230769231</v>
      </c>
      <c r="Q254" s="17" t="str">
        <f t="shared" si="173"/>
        <v>1+672.640167750949i</v>
      </c>
      <c r="R254" s="17">
        <f t="shared" si="182"/>
        <v>672.64091109002925</v>
      </c>
      <c r="S254" s="17">
        <f t="shared" si="183"/>
        <v>1.5693096489079568</v>
      </c>
      <c r="T254" s="17" t="str">
        <f t="shared" si="174"/>
        <v>1+4.31818379296905E-08i</v>
      </c>
      <c r="U254" s="17">
        <f t="shared" si="184"/>
        <v>1.0000000000000009</v>
      </c>
      <c r="V254" s="17">
        <f t="shared" si="185"/>
        <v>4.3181837929690472E-8</v>
      </c>
      <c r="W254" s="31" t="str">
        <f t="shared" si="175"/>
        <v>1-0.0233181924820329i</v>
      </c>
      <c r="X254" s="17">
        <f t="shared" si="186"/>
        <v>1.0002718321039683</v>
      </c>
      <c r="Y254" s="17">
        <f t="shared" si="187"/>
        <v>-2.331396753041081E-2</v>
      </c>
      <c r="Z254" s="31" t="str">
        <f t="shared" si="176"/>
        <v>0.997900770159001+1.42296017656033i</v>
      </c>
      <c r="AA254" s="17">
        <f t="shared" si="188"/>
        <v>1.7379935590100823</v>
      </c>
      <c r="AB254" s="17">
        <f t="shared" si="189"/>
        <v>0.95920839958851467</v>
      </c>
      <c r="AC254" s="66" t="str">
        <f t="shared" si="190"/>
        <v>-36.4093112839246-24.3654422168277i</v>
      </c>
      <c r="AD254" s="64">
        <f t="shared" si="191"/>
        <v>32.831457421303554</v>
      </c>
      <c r="AE254" s="61">
        <f t="shared" si="192"/>
        <v>-146.20920207056355</v>
      </c>
      <c r="AF254" s="31" t="str">
        <f t="shared" si="177"/>
        <v>-0.332666666666667</v>
      </c>
      <c r="AG254" s="31" t="str">
        <f t="shared" si="193"/>
        <v>14393.9459765635i</v>
      </c>
      <c r="AH254" s="31">
        <f t="shared" si="194"/>
        <v>14393.9459765635</v>
      </c>
      <c r="AI254" s="31">
        <f t="shared" si="195"/>
        <v>1.5707963267948966</v>
      </c>
      <c r="AJ254" s="31" t="str">
        <f t="shared" si="178"/>
        <v>-10.0539942013086+118.699200495513i</v>
      </c>
      <c r="AK254" s="31">
        <f t="shared" si="196"/>
        <v>119.12423346101305</v>
      </c>
      <c r="AL254" s="31">
        <f t="shared" si="197"/>
        <v>1.6552960837827679</v>
      </c>
      <c r="AM254" s="31" t="str">
        <f t="shared" si="179"/>
        <v>1+431865.01568187i</v>
      </c>
      <c r="AN254" s="31">
        <f t="shared" si="198"/>
        <v>431865.0156830278</v>
      </c>
      <c r="AO254" s="31">
        <f t="shared" si="199"/>
        <v>1.5707940112565602</v>
      </c>
      <c r="AP254" s="31" t="str">
        <f t="shared" si="180"/>
        <v>1+46.6363849640657i</v>
      </c>
      <c r="AQ254" s="31">
        <f t="shared" si="200"/>
        <v>46.647104974655534</v>
      </c>
      <c r="AR254" s="31">
        <f t="shared" si="201"/>
        <v>1.5493571268445323</v>
      </c>
      <c r="AS254" s="58" t="str">
        <f t="shared" si="202"/>
        <v>-3.88651441531232+0.413289633544811i</v>
      </c>
      <c r="AT254" s="49">
        <f t="shared" si="203"/>
        <v>11.840040382262583</v>
      </c>
      <c r="AU254" s="61">
        <f t="shared" si="204"/>
        <v>173.93001221084691</v>
      </c>
      <c r="AV254" s="58" t="str">
        <f t="shared" si="181"/>
        <v>151.575297841516+79.6490514930081i</v>
      </c>
      <c r="AW254" s="64">
        <f t="shared" si="205"/>
        <v>44.671497803566112</v>
      </c>
      <c r="AX254" s="61">
        <f t="shared" si="206"/>
        <v>27.720810140283437</v>
      </c>
    </row>
    <row r="255" spans="14:50" x14ac:dyDescent="0.3">
      <c r="N255" s="10">
        <v>37</v>
      </c>
      <c r="O255" s="50">
        <f t="shared" si="207"/>
        <v>2344.2288153199238</v>
      </c>
      <c r="P255" s="48" t="str">
        <f t="shared" si="172"/>
        <v>51201.9230769231</v>
      </c>
      <c r="Q255" s="17" t="str">
        <f t="shared" si="173"/>
        <v>1+688.307969986097i</v>
      </c>
      <c r="R255" s="17">
        <f t="shared" si="182"/>
        <v>688.30869640473213</v>
      </c>
      <c r="S255" s="17">
        <f t="shared" si="183"/>
        <v>1.5693434897800329</v>
      </c>
      <c r="T255" s="17" t="str">
        <f t="shared" si="174"/>
        <v>1+4.41876721472556E-08i</v>
      </c>
      <c r="U255" s="17">
        <f t="shared" si="184"/>
        <v>1.0000000000000009</v>
      </c>
      <c r="V255" s="17">
        <f t="shared" si="185"/>
        <v>4.4187672147255572E-8</v>
      </c>
      <c r="W255" s="31" t="str">
        <f t="shared" si="175"/>
        <v>1-0.023861342959518i</v>
      </c>
      <c r="X255" s="17">
        <f t="shared" si="186"/>
        <v>1.0002846413335715</v>
      </c>
      <c r="Y255" s="17">
        <f t="shared" si="187"/>
        <v>-2.3856815911864643E-2</v>
      </c>
      <c r="Z255" s="31" t="str">
        <f t="shared" si="176"/>
        <v>0.997801836504569+1.45610517696877i</v>
      </c>
      <c r="AA255" s="17">
        <f t="shared" si="188"/>
        <v>1.7651772690942809</v>
      </c>
      <c r="AB255" s="17">
        <f t="shared" si="189"/>
        <v>0.97003574382371771</v>
      </c>
      <c r="AC255" s="66" t="str">
        <f t="shared" si="190"/>
        <v>-35.2981219479961-23.0433983096918i</v>
      </c>
      <c r="AD255" s="64">
        <f t="shared" si="191"/>
        <v>32.496765809915708</v>
      </c>
      <c r="AE255" s="61">
        <f t="shared" si="192"/>
        <v>-146.8626050012638</v>
      </c>
      <c r="AF255" s="31" t="str">
        <f t="shared" si="177"/>
        <v>-0.332666666666667</v>
      </c>
      <c r="AG255" s="31" t="str">
        <f t="shared" si="193"/>
        <v>14729.2240490852i</v>
      </c>
      <c r="AH255" s="31">
        <f t="shared" si="194"/>
        <v>14729.2240490852</v>
      </c>
      <c r="AI255" s="31">
        <f t="shared" si="195"/>
        <v>1.5707963267948966</v>
      </c>
      <c r="AJ255" s="31" t="str">
        <f t="shared" si="178"/>
        <v>-10.5749528981794+121.464060056387i</v>
      </c>
      <c r="AK255" s="31">
        <f t="shared" si="196"/>
        <v>121.92353142105219</v>
      </c>
      <c r="AL255" s="31">
        <f t="shared" si="197"/>
        <v>1.6576397507689959</v>
      </c>
      <c r="AM255" s="31" t="str">
        <f t="shared" si="179"/>
        <v>1+441924.444158476i</v>
      </c>
      <c r="AN255" s="31">
        <f t="shared" si="198"/>
        <v>441924.4441596074</v>
      </c>
      <c r="AO255" s="31">
        <f t="shared" si="199"/>
        <v>1.5707940639646476</v>
      </c>
      <c r="AP255" s="31" t="str">
        <f t="shared" si="180"/>
        <v>1+47.722685919036i</v>
      </c>
      <c r="AQ255" s="31">
        <f t="shared" si="200"/>
        <v>47.733161966571593</v>
      </c>
      <c r="AR255" s="31">
        <f t="shared" si="201"/>
        <v>1.5498449981537628</v>
      </c>
      <c r="AS255" s="58" t="str">
        <f t="shared" si="202"/>
        <v>-3.88491854864093+0.420412312262867i</v>
      </c>
      <c r="AT255" s="49">
        <f t="shared" si="203"/>
        <v>11.838202269448477</v>
      </c>
      <c r="AU255" s="61">
        <f t="shared" si="204"/>
        <v>173.8236859708673</v>
      </c>
      <c r="AV255" s="58" t="str">
        <f t="shared" si="181"/>
        <v>146.818057053731+74.681960450349i</v>
      </c>
      <c r="AW255" s="64">
        <f t="shared" si="205"/>
        <v>44.334968079364174</v>
      </c>
      <c r="AX255" s="61">
        <f t="shared" si="206"/>
        <v>26.961080969603572</v>
      </c>
    </row>
    <row r="256" spans="14:50" x14ac:dyDescent="0.3">
      <c r="N256" s="10">
        <v>38</v>
      </c>
      <c r="O256" s="50">
        <f t="shared" si="207"/>
        <v>2398.8329190194918</v>
      </c>
      <c r="P256" s="48" t="str">
        <f t="shared" si="172"/>
        <v>51201.9230769231</v>
      </c>
      <c r="Q256" s="17" t="str">
        <f t="shared" si="173"/>
        <v>1+704.340722217763i</v>
      </c>
      <c r="R256" s="17">
        <f t="shared" si="182"/>
        <v>704.34143210110813</v>
      </c>
      <c r="S256" s="17">
        <f t="shared" si="183"/>
        <v>1.569376560343031</v>
      </c>
      <c r="T256" s="17" t="str">
        <f t="shared" si="174"/>
        <v>1+4.5216935253486E-08i</v>
      </c>
      <c r="U256" s="17">
        <f t="shared" si="184"/>
        <v>1.0000000000000009</v>
      </c>
      <c r="V256" s="17">
        <f t="shared" si="185"/>
        <v>4.5216935253485968E-8</v>
      </c>
      <c r="W256" s="31" t="str">
        <f t="shared" si="175"/>
        <v>1-0.0244171450368824i</v>
      </c>
      <c r="X256" s="17">
        <f t="shared" si="186"/>
        <v>1.0002980540677624</v>
      </c>
      <c r="Y256" s="17">
        <f t="shared" si="187"/>
        <v>-2.441229429598582E-2</v>
      </c>
      <c r="Z256" s="31" t="str">
        <f t="shared" si="176"/>
        <v>0.997698240250651+1.49002222361586i</v>
      </c>
      <c r="AA256" s="17">
        <f t="shared" si="188"/>
        <v>1.7932004922674982</v>
      </c>
      <c r="AB256" s="17">
        <f t="shared" si="189"/>
        <v>0.98077526679776905</v>
      </c>
      <c r="AC256" s="66" t="str">
        <f t="shared" si="190"/>
        <v>-34.2049590316005-21.7811810551961i</v>
      </c>
      <c r="AD256" s="64">
        <f t="shared" si="191"/>
        <v>32.160072226258755</v>
      </c>
      <c r="AE256" s="61">
        <f t="shared" si="192"/>
        <v>-147.51165565339494</v>
      </c>
      <c r="AF256" s="31" t="str">
        <f t="shared" si="177"/>
        <v>-0.332666666666667</v>
      </c>
      <c r="AG256" s="31" t="str">
        <f t="shared" si="193"/>
        <v>15072.311751162i</v>
      </c>
      <c r="AH256" s="31">
        <f t="shared" si="194"/>
        <v>15072.311751162</v>
      </c>
      <c r="AI256" s="31">
        <f t="shared" si="195"/>
        <v>1.5707963267948966</v>
      </c>
      <c r="AJ256" s="31" t="str">
        <f t="shared" si="178"/>
        <v>-11.120463622028+124.29332146967i</v>
      </c>
      <c r="AK256" s="31">
        <f t="shared" si="196"/>
        <v>124.78980115831415</v>
      </c>
      <c r="AL256" s="31">
        <f t="shared" si="197"/>
        <v>1.6600282569645826</v>
      </c>
      <c r="AM256" s="31" t="str">
        <f t="shared" si="179"/>
        <v>1+452218.186824934i</v>
      </c>
      <c r="AN256" s="31">
        <f t="shared" si="198"/>
        <v>452218.18682603963</v>
      </c>
      <c r="AO256" s="31">
        <f t="shared" si="199"/>
        <v>1.5707941154729526</v>
      </c>
      <c r="AP256" s="31" t="str">
        <f t="shared" si="180"/>
        <v>1+48.8342900737649i</v>
      </c>
      <c r="AQ256" s="31">
        <f t="shared" si="200"/>
        <v>48.844527707908213</v>
      </c>
      <c r="AR256" s="31">
        <f t="shared" si="201"/>
        <v>1.5503217737951334</v>
      </c>
      <c r="AS256" s="58" t="str">
        <f t="shared" si="202"/>
        <v>-3.88325062731018+0.427743843253829i</v>
      </c>
      <c r="AT256" s="49">
        <f t="shared" si="203"/>
        <v>11.836285289869924</v>
      </c>
      <c r="AU256" s="61">
        <f t="shared" si="204"/>
        <v>173.71415482975303</v>
      </c>
      <c r="AV256" s="58" t="str">
        <f t="shared" si="181"/>
        <v>142.143194711739+69.9508243616303i</v>
      </c>
      <c r="AW256" s="64">
        <f t="shared" si="205"/>
        <v>43.99635751612869</v>
      </c>
      <c r="AX256" s="61">
        <f t="shared" si="206"/>
        <v>26.202499176358018</v>
      </c>
    </row>
    <row r="257" spans="14:50" x14ac:dyDescent="0.3">
      <c r="N257" s="10">
        <v>39</v>
      </c>
      <c r="O257" s="50">
        <f t="shared" si="207"/>
        <v>2454.7089156850338</v>
      </c>
      <c r="P257" s="48" t="str">
        <f t="shared" si="172"/>
        <v>51201.9230769231</v>
      </c>
      <c r="Q257" s="17" t="str">
        <f t="shared" si="173"/>
        <v>1+720.746925223401i</v>
      </c>
      <c r="R257" s="17">
        <f t="shared" si="182"/>
        <v>720.74761894784422</v>
      </c>
      <c r="S257" s="17">
        <f t="shared" si="183"/>
        <v>1.5694088781311113</v>
      </c>
      <c r="T257" s="17" t="str">
        <f t="shared" si="174"/>
        <v>1+4.62701729773047E-08i</v>
      </c>
      <c r="U257" s="17">
        <f t="shared" si="184"/>
        <v>1.0000000000000011</v>
      </c>
      <c r="V257" s="17">
        <f t="shared" si="185"/>
        <v>4.6270172977304668E-8</v>
      </c>
      <c r="W257" s="31" t="str">
        <f t="shared" si="175"/>
        <v>1-0.0249858934077445i</v>
      </c>
      <c r="X257" s="17">
        <f t="shared" si="186"/>
        <v>1.0003120987318823</v>
      </c>
      <c r="Y257" s="17">
        <f t="shared" si="187"/>
        <v>-2.498069583281012E-2</v>
      </c>
      <c r="Z257" s="31" t="str">
        <f t="shared" si="176"/>
        <v>0.997589761655703+1.5247292997687i</v>
      </c>
      <c r="AA257" s="17">
        <f t="shared" si="188"/>
        <v>1.822082536586483</v>
      </c>
      <c r="AB257" s="17">
        <f t="shared" si="189"/>
        <v>0.99142285050616252</v>
      </c>
      <c r="AC257" s="66" t="str">
        <f t="shared" si="190"/>
        <v>-33.1305238233843-20.5769262899908i</v>
      </c>
      <c r="AD257" s="64">
        <f t="shared" si="191"/>
        <v>31.821410647214165</v>
      </c>
      <c r="AE257" s="61">
        <f t="shared" si="192"/>
        <v>-148.15613588354105</v>
      </c>
      <c r="AF257" s="31" t="str">
        <f t="shared" si="177"/>
        <v>-0.332666666666667</v>
      </c>
      <c r="AG257" s="31" t="str">
        <f t="shared" si="193"/>
        <v>15423.3909924349i</v>
      </c>
      <c r="AH257" s="31">
        <f t="shared" si="194"/>
        <v>15423.390992434901</v>
      </c>
      <c r="AI257" s="31">
        <f t="shared" si="195"/>
        <v>1.5707963267948966</v>
      </c>
      <c r="AJ257" s="31" t="str">
        <f t="shared" si="178"/>
        <v>-11.6916834742379+127.188484847212i</v>
      </c>
      <c r="AK257" s="31">
        <f t="shared" si="196"/>
        <v>127.72472799028088</v>
      </c>
      <c r="AL257" s="31">
        <f t="shared" si="197"/>
        <v>1.6624627833909107</v>
      </c>
      <c r="AM257" s="31" t="str">
        <f t="shared" si="179"/>
        <v>1+462751.701559863i</v>
      </c>
      <c r="AN257" s="31">
        <f t="shared" si="198"/>
        <v>462751.7015609435</v>
      </c>
      <c r="AO257" s="31">
        <f t="shared" si="199"/>
        <v>1.5707941658087854</v>
      </c>
      <c r="AP257" s="31" t="str">
        <f t="shared" si="180"/>
        <v>1+49.9717868154891i</v>
      </c>
      <c r="AQ257" s="31">
        <f t="shared" si="200"/>
        <v>49.981791459817543</v>
      </c>
      <c r="AR257" s="31">
        <f t="shared" si="201"/>
        <v>1.550787705693877</v>
      </c>
      <c r="AS257" s="58" t="str">
        <f t="shared" si="202"/>
        <v>-3.88150730541916+0.435287129683239i</v>
      </c>
      <c r="AT257" s="49">
        <f t="shared" si="203"/>
        <v>11.834285485254117</v>
      </c>
      <c r="AU257" s="61">
        <f t="shared" si="204"/>
        <v>173.60136555578063</v>
      </c>
      <c r="AV257" s="58" t="str">
        <f t="shared" si="181"/>
        <v>137.553241435303+65.4481990976877i</v>
      </c>
      <c r="AW257" s="64">
        <f t="shared" si="205"/>
        <v>43.655696132468265</v>
      </c>
      <c r="AX257" s="61">
        <f t="shared" si="206"/>
        <v>25.445229672239634</v>
      </c>
    </row>
    <row r="258" spans="14:50" x14ac:dyDescent="0.3">
      <c r="N258" s="10">
        <v>40</v>
      </c>
      <c r="O258" s="50">
        <f t="shared" si="207"/>
        <v>2511.8864315095811</v>
      </c>
      <c r="P258" s="48" t="str">
        <f t="shared" si="172"/>
        <v>51201.9230769231</v>
      </c>
      <c r="Q258" s="17" t="str">
        <f t="shared" si="173"/>
        <v>1+737.535277789009i</v>
      </c>
      <c r="R258" s="17">
        <f t="shared" si="182"/>
        <v>737.53595572237066</v>
      </c>
      <c r="S258" s="17">
        <f t="shared" si="183"/>
        <v>1.5694404602793228</v>
      </c>
      <c r="T258" s="17" t="str">
        <f t="shared" si="174"/>
        <v>1+4.73479437592944E-08i</v>
      </c>
      <c r="U258" s="17">
        <f t="shared" si="184"/>
        <v>1.0000000000000011</v>
      </c>
      <c r="V258" s="17">
        <f t="shared" si="185"/>
        <v>4.7347943759294369E-8</v>
      </c>
      <c r="W258" s="31" t="str">
        <f t="shared" si="175"/>
        <v>1-0.025567889630019i</v>
      </c>
      <c r="X258" s="17">
        <f t="shared" si="186"/>
        <v>1.0003268050892833</v>
      </c>
      <c r="Y258" s="17">
        <f t="shared" si="187"/>
        <v>-2.556232042639987E-2</v>
      </c>
      <c r="Z258" s="31" t="str">
        <f t="shared" si="176"/>
        <v>0.997476170622079+1.56024480757845i</v>
      </c>
      <c r="AA258" s="17">
        <f t="shared" si="188"/>
        <v>1.8518430199491538</v>
      </c>
      <c r="AB258" s="17">
        <f t="shared" si="189"/>
        <v>1.0019745809846936</v>
      </c>
      <c r="AC258" s="66" t="str">
        <f t="shared" si="190"/>
        <v>-32.0754540573951-19.4287689431926i</v>
      </c>
      <c r="AD258" s="64">
        <f t="shared" si="191"/>
        <v>31.480816256595912</v>
      </c>
      <c r="AE258" s="61">
        <f t="shared" si="192"/>
        <v>-148.79583960304299</v>
      </c>
      <c r="AF258" s="31" t="str">
        <f t="shared" si="177"/>
        <v>-0.332666666666667</v>
      </c>
      <c r="AG258" s="31" t="str">
        <f t="shared" si="193"/>
        <v>15782.6479197648i</v>
      </c>
      <c r="AH258" s="31">
        <f t="shared" si="194"/>
        <v>15782.6479197648</v>
      </c>
      <c r="AI258" s="31">
        <f t="shared" si="195"/>
        <v>1.5707963267948966</v>
      </c>
      <c r="AJ258" s="31" t="str">
        <f t="shared" si="178"/>
        <v>-12.2898240887004+130.151085242959i</v>
      </c>
      <c r="AK258" s="31">
        <f t="shared" si="196"/>
        <v>130.73004538380297</v>
      </c>
      <c r="AL258" s="31">
        <f t="shared" si="197"/>
        <v>1.6649445294889624</v>
      </c>
      <c r="AM258" s="31" t="str">
        <f t="shared" si="179"/>
        <v>1+473530.573372205i</v>
      </c>
      <c r="AN258" s="31">
        <f t="shared" si="198"/>
        <v>473530.57337326091</v>
      </c>
      <c r="AO258" s="31">
        <f t="shared" si="199"/>
        <v>1.5707942149988348</v>
      </c>
      <c r="AP258" s="31" t="str">
        <f t="shared" si="180"/>
        <v>1+51.135779260038i</v>
      </c>
      <c r="AQ258" s="31">
        <f t="shared" si="200"/>
        <v>51.145556214898399</v>
      </c>
      <c r="AR258" s="31">
        <f t="shared" si="201"/>
        <v>1.551243040083587</v>
      </c>
      <c r="AS258" s="58" t="str">
        <f t="shared" si="202"/>
        <v>-3.87968509528559+0.443045118778464i</v>
      </c>
      <c r="AT258" s="49">
        <f t="shared" si="203"/>
        <v>11.832198731875947</v>
      </c>
      <c r="AU258" s="61">
        <f t="shared" si="204"/>
        <v>173.48526353571899</v>
      </c>
      <c r="AV258" s="58" t="str">
        <f t="shared" si="181"/>
        <v>133.05048227515+61.1666319359201i</v>
      </c>
      <c r="AW258" s="64">
        <f t="shared" si="205"/>
        <v>43.313014988471885</v>
      </c>
      <c r="AX258" s="61">
        <f t="shared" si="206"/>
        <v>24.689423932675915</v>
      </c>
    </row>
    <row r="259" spans="14:50" x14ac:dyDescent="0.3">
      <c r="N259" s="10">
        <v>41</v>
      </c>
      <c r="O259" s="50">
        <f t="shared" si="207"/>
        <v>2570.3957827688669</v>
      </c>
      <c r="P259" s="48" t="str">
        <f t="shared" si="172"/>
        <v>51201.9230769231</v>
      </c>
      <c r="Q259" s="17" t="str">
        <f t="shared" si="173"/>
        <v>1+754.714681321331i</v>
      </c>
      <c r="R259" s="17">
        <f t="shared" si="182"/>
        <v>754.71534382305902</v>
      </c>
      <c r="S259" s="17">
        <f t="shared" si="183"/>
        <v>1.5694713235326865</v>
      </c>
      <c r="T259" s="17" t="str">
        <f t="shared" si="174"/>
        <v>1+4.84508190477891E-08i</v>
      </c>
      <c r="U259" s="17">
        <f t="shared" si="184"/>
        <v>1.0000000000000013</v>
      </c>
      <c r="V259" s="17">
        <f t="shared" si="185"/>
        <v>4.8450819047789063E-8</v>
      </c>
      <c r="W259" s="31" t="str">
        <f t="shared" si="175"/>
        <v>1-0.0261634422858061i</v>
      </c>
      <c r="X259" s="17">
        <f t="shared" si="186"/>
        <v>1.0003422043042285</v>
      </c>
      <c r="Y259" s="17">
        <f t="shared" si="187"/>
        <v>-2.6157474886862098E-2</v>
      </c>
      <c r="Z259" s="31" t="str">
        <f t="shared" si="176"/>
        <v>0.99735722620797+1.59658757783746i</v>
      </c>
      <c r="AA259" s="17">
        <f t="shared" si="188"/>
        <v>1.8825018805765223</v>
      </c>
      <c r="AB259" s="17">
        <f t="shared" si="189"/>
        <v>1.0124267522939798</v>
      </c>
      <c r="AC259" s="66" t="str">
        <f t="shared" si="190"/>
        <v>-31.0403237288419-18.3348472396786i</v>
      </c>
      <c r="AD259" s="64">
        <f t="shared" si="191"/>
        <v>31.138325331080861</v>
      </c>
      <c r="AE259" s="61">
        <f t="shared" si="192"/>
        <v>-149.43057301552545</v>
      </c>
      <c r="AF259" s="31" t="str">
        <f t="shared" si="177"/>
        <v>-0.332666666666667</v>
      </c>
      <c r="AG259" s="31" t="str">
        <f t="shared" si="193"/>
        <v>16150.2730159297i</v>
      </c>
      <c r="AH259" s="31">
        <f t="shared" si="194"/>
        <v>16150.273015929701</v>
      </c>
      <c r="AI259" s="31">
        <f t="shared" si="195"/>
        <v>1.5707963267948966</v>
      </c>
      <c r="AJ259" s="31" t="str">
        <f t="shared" si="178"/>
        <v>-12.9161542018527+133.182693466855i</v>
      </c>
      <c r="AK259" s="31">
        <f t="shared" si="196"/>
        <v>133.80753670272949</v>
      </c>
      <c r="AL259" s="31">
        <f t="shared" si="197"/>
        <v>1.6674747133413557</v>
      </c>
      <c r="AM259" s="31" t="str">
        <f t="shared" si="179"/>
        <v>1+484560.517362463i</v>
      </c>
      <c r="AN259" s="31">
        <f t="shared" si="198"/>
        <v>484560.51736349484</v>
      </c>
      <c r="AO259" s="31">
        <f t="shared" si="199"/>
        <v>1.570794263069182</v>
      </c>
      <c r="AP259" s="31" t="str">
        <f t="shared" si="180"/>
        <v>1+52.3268845716122i</v>
      </c>
      <c r="AQ259" s="31">
        <f t="shared" si="200"/>
        <v>52.33643901691083</v>
      </c>
      <c r="AR259" s="31">
        <f t="shared" si="201"/>
        <v>1.5516880176329169</v>
      </c>
      <c r="AS259" s="58" t="str">
        <f t="shared" si="202"/>
        <v>-3.87778036174637+0.451020798796063i</v>
      </c>
      <c r="AT259" s="49">
        <f t="shared" si="203"/>
        <v>11.830020732781836</v>
      </c>
      <c r="AU259" s="61">
        <f t="shared" si="204"/>
        <v>173.3657927693674</v>
      </c>
      <c r="AV259" s="58" t="str">
        <f t="shared" si="181"/>
        <v>128.636955225797+57.0986789585747i</v>
      </c>
      <c r="AW259" s="64">
        <f t="shared" si="205"/>
        <v>42.968346063862725</v>
      </c>
      <c r="AX259" s="61">
        <f t="shared" si="206"/>
        <v>23.935219753841928</v>
      </c>
    </row>
    <row r="260" spans="14:50" x14ac:dyDescent="0.3">
      <c r="N260" s="10">
        <v>42</v>
      </c>
      <c r="O260" s="50">
        <f t="shared" si="207"/>
        <v>2630.2679918953822</v>
      </c>
      <c r="P260" s="48" t="str">
        <f t="shared" si="172"/>
        <v>51201.9230769231</v>
      </c>
      <c r="Q260" s="17" t="str">
        <f t="shared" si="173"/>
        <v>1+772.294244567519i</v>
      </c>
      <c r="R260" s="17">
        <f t="shared" si="182"/>
        <v>772.29489198887939</v>
      </c>
      <c r="S260" s="17">
        <f t="shared" si="183"/>
        <v>1.5695014842550723</v>
      </c>
      <c r="T260" s="17" t="str">
        <f t="shared" si="174"/>
        <v>1+4.95793836018655E-08i</v>
      </c>
      <c r="U260" s="17">
        <f t="shared" si="184"/>
        <v>1.0000000000000013</v>
      </c>
      <c r="V260" s="17">
        <f t="shared" si="185"/>
        <v>4.9579383601865458E-8</v>
      </c>
      <c r="W260" s="31" t="str">
        <f t="shared" si="175"/>
        <v>1-0.0267728671450073i</v>
      </c>
      <c r="X260" s="17">
        <f t="shared" si="186"/>
        <v>1.0003583290077431</v>
      </c>
      <c r="Y260" s="17">
        <f t="shared" si="187"/>
        <v>-2.676647308553225E-2</v>
      </c>
      <c r="Z260" s="31" t="str">
        <f t="shared" si="176"/>
        <v>0.997232676116324+1.63377687996357i</v>
      </c>
      <c r="AA260" s="17">
        <f t="shared" si="188"/>
        <v>1.9140793880656104</v>
      </c>
      <c r="AB260" s="17">
        <f t="shared" si="189"/>
        <v>1.0227758695396543</v>
      </c>
      <c r="AC260" s="66" t="str">
        <f t="shared" si="190"/>
        <v>-30.0256432885696-17.2933068128746i</v>
      </c>
      <c r="AD260" s="64">
        <f t="shared" si="191"/>
        <v>30.793975126139827</v>
      </c>
      <c r="AE260" s="61">
        <f t="shared" si="192"/>
        <v>-150.06015479934132</v>
      </c>
      <c r="AF260" s="31" t="str">
        <f t="shared" si="177"/>
        <v>-0.332666666666667</v>
      </c>
      <c r="AG260" s="31" t="str">
        <f t="shared" si="193"/>
        <v>16526.4612006218i</v>
      </c>
      <c r="AH260" s="31">
        <f t="shared" si="194"/>
        <v>16526.461200621801</v>
      </c>
      <c r="AI260" s="31">
        <f t="shared" si="195"/>
        <v>1.5707963267948966</v>
      </c>
      <c r="AJ260" s="31" t="str">
        <f t="shared" si="178"/>
        <v>-13.5720023438384+136.284916917708i</v>
      </c>
      <c r="AK260" s="31">
        <f t="shared" si="196"/>
        <v>136.95903703986724</v>
      </c>
      <c r="AL260" s="31">
        <f t="shared" si="197"/>
        <v>1.6700545718763964</v>
      </c>
      <c r="AM260" s="31" t="str">
        <f t="shared" si="179"/>
        <v>1+495847.381752945i</v>
      </c>
      <c r="AN260" s="31">
        <f t="shared" si="198"/>
        <v>495847.38175395329</v>
      </c>
      <c r="AO260" s="31">
        <f t="shared" si="199"/>
        <v>1.5707943100453143</v>
      </c>
      <c r="AP260" s="31" t="str">
        <f t="shared" si="180"/>
        <v>1+53.5457342900146i</v>
      </c>
      <c r="AQ260" s="31">
        <f t="shared" si="200"/>
        <v>53.555071287944763</v>
      </c>
      <c r="AR260" s="31">
        <f t="shared" si="201"/>
        <v>1.5521228735695869</v>
      </c>
      <c r="AS260" s="58" t="str">
        <f t="shared" si="202"/>
        <v>-3.87578931630155+0.459217195714022i</v>
      </c>
      <c r="AT260" s="49">
        <f t="shared" si="203"/>
        <v>11.827747009736807</v>
      </c>
      <c r="AU260" s="61">
        <f t="shared" si="204"/>
        <v>173.24289586497031</v>
      </c>
      <c r="AV260" s="58" t="str">
        <f t="shared" si="181"/>
        <v>124.31445133215+53.2369220783777i</v>
      </c>
      <c r="AW260" s="64">
        <f t="shared" si="205"/>
        <v>42.621722135876638</v>
      </c>
      <c r="AX260" s="61">
        <f t="shared" si="206"/>
        <v>23.182741065628978</v>
      </c>
    </row>
    <row r="261" spans="14:50" x14ac:dyDescent="0.3">
      <c r="N261" s="10">
        <v>43</v>
      </c>
      <c r="O261" s="50">
        <f t="shared" si="207"/>
        <v>2691.5348039269184</v>
      </c>
      <c r="P261" s="48" t="str">
        <f t="shared" si="172"/>
        <v>51201.9230769231</v>
      </c>
      <c r="Q261" s="17" t="str">
        <f t="shared" si="173"/>
        <v>1+790.283288444703i</v>
      </c>
      <c r="R261" s="17">
        <f t="shared" si="182"/>
        <v>790.28392112896586</v>
      </c>
      <c r="S261" s="17">
        <f t="shared" si="183"/>
        <v>1.5695309584378749</v>
      </c>
      <c r="T261" s="17" t="str">
        <f t="shared" si="174"/>
        <v>1+5.07342358013883E-08i</v>
      </c>
      <c r="U261" s="17">
        <f t="shared" si="184"/>
        <v>1.0000000000000013</v>
      </c>
      <c r="V261" s="17">
        <f t="shared" si="185"/>
        <v>5.0734235801388256E-8</v>
      </c>
      <c r="W261" s="31" t="str">
        <f t="shared" si="175"/>
        <v>1-0.0273964873327497i</v>
      </c>
      <c r="X261" s="17">
        <f t="shared" si="186"/>
        <v>1.0003752133665516</v>
      </c>
      <c r="Y261" s="17">
        <f t="shared" si="187"/>
        <v>-2.738963611336544E-2</v>
      </c>
      <c r="Z261" s="31" t="str">
        <f t="shared" si="176"/>
        <v>0.9971022561597+1.67183243221704i</v>
      </c>
      <c r="AA261" s="17">
        <f t="shared" si="188"/>
        <v>1.9465961549976174</v>
      </c>
      <c r="AB261" s="17">
        <f t="shared" si="189"/>
        <v>1.0330186509527863</v>
      </c>
      <c r="AC261" s="66" t="str">
        <f t="shared" si="190"/>
        <v>-29.031860195445-16.3023046946645i</v>
      </c>
      <c r="AD261" s="64">
        <f t="shared" si="191"/>
        <v>30.447803762639637</v>
      </c>
      <c r="AE261" s="61">
        <f t="shared" si="192"/>
        <v>-150.68441623634325</v>
      </c>
      <c r="AF261" s="31" t="str">
        <f t="shared" si="177"/>
        <v>-0.332666666666667</v>
      </c>
      <c r="AG261" s="31" t="str">
        <f t="shared" si="193"/>
        <v>16911.4119337961i</v>
      </c>
      <c r="AH261" s="31">
        <f t="shared" si="194"/>
        <v>16911.411933796098</v>
      </c>
      <c r="AI261" s="31">
        <f t="shared" si="195"/>
        <v>1.5707963267948966</v>
      </c>
      <c r="AJ261" s="31" t="str">
        <f t="shared" si="178"/>
        <v>-14.2587596564978+139.459400435456i</v>
      </c>
      <c r="AK261" s="31">
        <f t="shared" si="196"/>
        <v>140.18643513820669</v>
      </c>
      <c r="AL261" s="31">
        <f t="shared" si="197"/>
        <v>1.6726853610524584</v>
      </c>
      <c r="AM261" s="31" t="str">
        <f t="shared" si="179"/>
        <v>1+507397.150988549i</v>
      </c>
      <c r="AN261" s="31">
        <f t="shared" si="198"/>
        <v>507397.15098953433</v>
      </c>
      <c r="AO261" s="31">
        <f t="shared" si="199"/>
        <v>1.5707943559521396</v>
      </c>
      <c r="AP261" s="31" t="str">
        <f t="shared" si="180"/>
        <v>1+54.7929746654994i</v>
      </c>
      <c r="AQ261" s="31">
        <f t="shared" si="200"/>
        <v>54.802099163207792</v>
      </c>
      <c r="AR261" s="31">
        <f t="shared" si="201"/>
        <v>1.5525478378017443</v>
      </c>
      <c r="AS261" s="58" t="str">
        <f t="shared" si="202"/>
        <v>-3.87370801110279+0.46763736962965i</v>
      </c>
      <c r="AT261" s="49">
        <f t="shared" si="203"/>
        <v>11.825372894885023</v>
      </c>
      <c r="AU261" s="61">
        <f t="shared" si="204"/>
        <v>173.11651403560722</v>
      </c>
      <c r="AV261" s="58" t="str">
        <f t="shared" si="181"/>
        <v>120.084516302626+49.5739855579069i</v>
      </c>
      <c r="AW261" s="64">
        <f t="shared" si="205"/>
        <v>42.273176657524694</v>
      </c>
      <c r="AX261" s="61">
        <f t="shared" si="206"/>
        <v>22.432097799263929</v>
      </c>
    </row>
    <row r="262" spans="14:50" x14ac:dyDescent="0.3">
      <c r="N262" s="10">
        <v>44</v>
      </c>
      <c r="O262" s="50">
        <f t="shared" si="207"/>
        <v>2754.228703338169</v>
      </c>
      <c r="P262" s="48" t="str">
        <f t="shared" si="172"/>
        <v>51201.9230769231</v>
      </c>
      <c r="Q262" s="17" t="str">
        <f t="shared" si="173"/>
        <v>1+808.691350982056i</v>
      </c>
      <c r="R262" s="17">
        <f t="shared" si="182"/>
        <v>808.69196926467794</v>
      </c>
      <c r="S262" s="17">
        <f t="shared" si="183"/>
        <v>1.5695597617084915</v>
      </c>
      <c r="T262" s="17" t="str">
        <f t="shared" si="174"/>
        <v>1+5.19159879642801E-08i</v>
      </c>
      <c r="U262" s="17">
        <f t="shared" si="184"/>
        <v>1.0000000000000013</v>
      </c>
      <c r="V262" s="17">
        <f t="shared" si="185"/>
        <v>5.1915987964280054E-8</v>
      </c>
      <c r="W262" s="31" t="str">
        <f t="shared" si="175"/>
        <v>1-0.0280346335007113i</v>
      </c>
      <c r="X262" s="17">
        <f t="shared" si="186"/>
        <v>1.0003928931552439</v>
      </c>
      <c r="Y262" s="17">
        <f t="shared" si="187"/>
        <v>-2.802729244258503E-2</v>
      </c>
      <c r="Z262" s="31" t="str">
        <f t="shared" si="176"/>
        <v>0.996965689699883+1.71077441215539i</v>
      </c>
      <c r="AA262" s="17">
        <f t="shared" si="188"/>
        <v>1.9800731490842411</v>
      </c>
      <c r="AB262" s="17">
        <f t="shared" si="189"/>
        <v>1.0431520290613778</v>
      </c>
      <c r="AC262" s="66" t="str">
        <f t="shared" si="190"/>
        <v>-28.059359803225-15.3600131533984i</v>
      </c>
      <c r="AD262" s="64">
        <f t="shared" si="191"/>
        <v>30.099850114747756</v>
      </c>
      <c r="AE262" s="61">
        <f t="shared" si="192"/>
        <v>-151.3032012887528</v>
      </c>
      <c r="AF262" s="31" t="str">
        <f t="shared" si="177"/>
        <v>-0.332666666666667</v>
      </c>
      <c r="AG262" s="31" t="str">
        <f t="shared" si="193"/>
        <v>17305.3293214267i</v>
      </c>
      <c r="AH262" s="31">
        <f t="shared" si="194"/>
        <v>17305.3293214267</v>
      </c>
      <c r="AI262" s="31">
        <f t="shared" si="195"/>
        <v>1.5707963267948966</v>
      </c>
      <c r="AJ262" s="31" t="str">
        <f t="shared" si="178"/>
        <v>-14.9778828441663+142.707827173277i</v>
      </c>
      <c r="AK262" s="31">
        <f t="shared" si="196"/>
        <v>143.49167540666414</v>
      </c>
      <c r="AL262" s="31">
        <f t="shared" si="197"/>
        <v>1.6753683560209018</v>
      </c>
      <c r="AM262" s="31" t="str">
        <f t="shared" si="179"/>
        <v>1+519215.948909803i</v>
      </c>
      <c r="AN262" s="31">
        <f t="shared" si="198"/>
        <v>519215.94891076599</v>
      </c>
      <c r="AO262" s="31">
        <f t="shared" si="199"/>
        <v>1.5707944008139978</v>
      </c>
      <c r="AP262" s="31" t="str">
        <f t="shared" si="180"/>
        <v>1+56.0692670014225i</v>
      </c>
      <c r="AQ262" s="31">
        <f t="shared" si="200"/>
        <v>56.078183833615782</v>
      </c>
      <c r="AR262" s="31">
        <f t="shared" si="201"/>
        <v>1.5529631350367281</v>
      </c>
      <c r="AS262" s="58" t="str">
        <f t="shared" si="202"/>
        <v>-3.87153233278943+0.476284410843092i</v>
      </c>
      <c r="AT262" s="49">
        <f t="shared" si="203"/>
        <v>11.822893522116777</v>
      </c>
      <c r="AU262" s="61">
        <f t="shared" si="204"/>
        <v>172.98658709666373</v>
      </c>
      <c r="AV262" s="58" t="str">
        <f t="shared" si="181"/>
        <v>115.948453530866+46.1025519029395i</v>
      </c>
      <c r="AW262" s="64">
        <f t="shared" si="205"/>
        <v>41.922743636864524</v>
      </c>
      <c r="AX262" s="61">
        <f t="shared" si="206"/>
        <v>21.683385807910934</v>
      </c>
    </row>
    <row r="263" spans="14:50" x14ac:dyDescent="0.3">
      <c r="N263" s="10">
        <v>45</v>
      </c>
      <c r="O263" s="50">
        <f t="shared" si="207"/>
        <v>2818.3829312644561</v>
      </c>
      <c r="P263" s="48" t="str">
        <f t="shared" si="172"/>
        <v>51201.9230769231</v>
      </c>
      <c r="Q263" s="17" t="str">
        <f t="shared" si="173"/>
        <v>1+827.528192377993i</v>
      </c>
      <c r="R263" s="17">
        <f t="shared" si="182"/>
        <v>827.52879658679467</v>
      </c>
      <c r="S263" s="17">
        <f t="shared" si="183"/>
        <v>1.5695879093386058</v>
      </c>
      <c r="T263" s="17" t="str">
        <f t="shared" si="174"/>
        <v>1+5.31252666711799E-08i</v>
      </c>
      <c r="U263" s="17">
        <f t="shared" si="184"/>
        <v>1.0000000000000013</v>
      </c>
      <c r="V263" s="17">
        <f t="shared" si="185"/>
        <v>5.3125266671179848E-8</v>
      </c>
      <c r="W263" s="31" t="str">
        <f t="shared" si="175"/>
        <v>1-0.0286876440024371i</v>
      </c>
      <c r="X263" s="17">
        <f t="shared" si="186"/>
        <v>1.0004114058318261</v>
      </c>
      <c r="Y263" s="17">
        <f t="shared" si="187"/>
        <v>-2.867977809163258E-2</v>
      </c>
      <c r="Z263" s="31" t="str">
        <f t="shared" si="176"/>
        <v>0.996822687061103+1.75062346733184i</v>
      </c>
      <c r="AA263" s="17">
        <f t="shared" si="188"/>
        <v>2.0145317058345524</v>
      </c>
      <c r="AB263" s="17">
        <f t="shared" si="189"/>
        <v>1.0531731509894882</v>
      </c>
      <c r="AC263" s="66" t="str">
        <f t="shared" si="190"/>
        <v>-27.1084665563423-14.4646233544878i</v>
      </c>
      <c r="AD263" s="64">
        <f t="shared" si="191"/>
        <v>29.750153699724354</v>
      </c>
      <c r="AE263" s="61">
        <f t="shared" si="192"/>
        <v>-151.91636662622528</v>
      </c>
      <c r="AF263" s="31" t="str">
        <f t="shared" si="177"/>
        <v>-0.332666666666667</v>
      </c>
      <c r="AG263" s="31" t="str">
        <f t="shared" si="193"/>
        <v>17708.4222237266i</v>
      </c>
      <c r="AH263" s="31">
        <f t="shared" si="194"/>
        <v>17708.4222237266</v>
      </c>
      <c r="AI263" s="31">
        <f t="shared" si="195"/>
        <v>1.5707963267948966</v>
      </c>
      <c r="AJ263" s="31" t="str">
        <f t="shared" si="178"/>
        <v>-15.7308972635392+146.031919490028i</v>
      </c>
      <c r="AK263" s="31">
        <f t="shared" si="196"/>
        <v>146.87676003595001</v>
      </c>
      <c r="AL263" s="31">
        <f t="shared" si="197"/>
        <v>1.6781048512655872</v>
      </c>
      <c r="AM263" s="31" t="str">
        <f t="shared" si="179"/>
        <v>1+531310.041999804i</v>
      </c>
      <c r="AN263" s="31">
        <f t="shared" si="198"/>
        <v>531310.04200074507</v>
      </c>
      <c r="AO263" s="31">
        <f t="shared" si="199"/>
        <v>1.5707944446546753</v>
      </c>
      <c r="AP263" s="31" t="str">
        <f t="shared" si="180"/>
        <v>1+57.3752880048742i</v>
      </c>
      <c r="AQ263" s="31">
        <f t="shared" si="200"/>
        <v>57.384001896367081</v>
      </c>
      <c r="AR263" s="31">
        <f t="shared" si="201"/>
        <v>1.553368984897284</v>
      </c>
      <c r="AS263" s="58" t="str">
        <f t="shared" si="202"/>
        <v>-3.86925799617479+0.485161435605119i</v>
      </c>
      <c r="AT263" s="49">
        <f t="shared" si="203"/>
        <v>11.820303818131826</v>
      </c>
      <c r="AU263" s="61">
        <f t="shared" si="204"/>
        <v>172.85305346449726</v>
      </c>
      <c r="AV263" s="58" t="str">
        <f t="shared" si="181"/>
        <v>111.907328419315+42.8153770244801i</v>
      </c>
      <c r="AW263" s="64">
        <f t="shared" si="205"/>
        <v>41.570457517856177</v>
      </c>
      <c r="AX263" s="61">
        <f t="shared" si="206"/>
        <v>20.93668683827196</v>
      </c>
    </row>
    <row r="264" spans="14:50" x14ac:dyDescent="0.3">
      <c r="N264" s="10">
        <v>46</v>
      </c>
      <c r="O264" s="50">
        <f t="shared" si="207"/>
        <v>2884.0315031266077</v>
      </c>
      <c r="P264" s="48" t="str">
        <f t="shared" si="172"/>
        <v>51201.9230769231</v>
      </c>
      <c r="Q264" s="17" t="str">
        <f t="shared" si="173"/>
        <v>1+846.803800175161i</v>
      </c>
      <c r="R264" s="17">
        <f t="shared" si="182"/>
        <v>846.80439063050085</v>
      </c>
      <c r="S264" s="17">
        <f t="shared" si="183"/>
        <v>1.5696154162522855</v>
      </c>
      <c r="T264" s="17" t="str">
        <f t="shared" si="174"/>
        <v>1+5.43627130976647E-08i</v>
      </c>
      <c r="U264" s="17">
        <f t="shared" si="184"/>
        <v>1.0000000000000013</v>
      </c>
      <c r="V264" s="17">
        <f t="shared" si="185"/>
        <v>5.4362713097664645E-8</v>
      </c>
      <c r="W264" s="31" t="str">
        <f t="shared" si="175"/>
        <v>1-0.0293558650727389i</v>
      </c>
      <c r="X264" s="17">
        <f t="shared" si="186"/>
        <v>1.0004307906168066</v>
      </c>
      <c r="Y264" s="17">
        <f t="shared" si="187"/>
        <v>-2.9347436793463081E-2</v>
      </c>
      <c r="Z264" s="31" t="str">
        <f t="shared" si="176"/>
        <v>0.996672944915589+1.79140072624291i</v>
      </c>
      <c r="AA264" s="17">
        <f t="shared" si="188"/>
        <v>2.0499935417240556</v>
      </c>
      <c r="AB264" s="17">
        <f t="shared" si="189"/>
        <v>1.0630793779253851</v>
      </c>
      <c r="AC264" s="66" t="str">
        <f t="shared" si="190"/>
        <v>-26.1794454674197-13.6143488216956i</v>
      </c>
      <c r="AD264" s="64">
        <f t="shared" si="191"/>
        <v>29.398754570141534</v>
      </c>
      <c r="AE264" s="61">
        <f t="shared" si="192"/>
        <v>-152.52378160548176</v>
      </c>
      <c r="AF264" s="31" t="str">
        <f t="shared" si="177"/>
        <v>-0.332666666666667</v>
      </c>
      <c r="AG264" s="31" t="str">
        <f t="shared" si="193"/>
        <v>18120.9043658882i</v>
      </c>
      <c r="AH264" s="31">
        <f t="shared" si="194"/>
        <v>18120.9043658882</v>
      </c>
      <c r="AI264" s="31">
        <f t="shared" si="195"/>
        <v>1.5707963267948966</v>
      </c>
      <c r="AJ264" s="31" t="str">
        <f t="shared" si="178"/>
        <v>-16.5194001591586+149.433439863453i</v>
      </c>
      <c r="AK264" s="31">
        <f t="shared" si="196"/>
        <v>150.34375122047021</v>
      </c>
      <c r="AL264" s="31">
        <f t="shared" si="197"/>
        <v>1.680896160716969</v>
      </c>
      <c r="AM264" s="31" t="str">
        <f t="shared" si="179"/>
        <v>1+543685.842706792i</v>
      </c>
      <c r="AN264" s="31">
        <f t="shared" si="198"/>
        <v>543685.84270771174</v>
      </c>
      <c r="AO264" s="31">
        <f t="shared" si="199"/>
        <v>1.5707944874974173</v>
      </c>
      <c r="AP264" s="31" t="str">
        <f t="shared" si="180"/>
        <v>1+58.7117301454778i</v>
      </c>
      <c r="AQ264" s="31">
        <f t="shared" si="200"/>
        <v>58.720245713683859</v>
      </c>
      <c r="AR264" s="31">
        <f t="shared" si="201"/>
        <v>1.5537656020352799</v>
      </c>
      <c r="AS264" s="58" t="str">
        <f t="shared" si="202"/>
        <v>-3.86688053778801+0.494271581507283i</v>
      </c>
      <c r="AT264" s="49">
        <f t="shared" si="203"/>
        <v>11.817598493192904</v>
      </c>
      <c r="AU264" s="61">
        <f t="shared" si="204"/>
        <v>172.71585015641614</v>
      </c>
      <c r="AV264" s="58" t="str">
        <f t="shared" si="181"/>
        <v>107.961973891339+39.7053045791066i</v>
      </c>
      <c r="AW264" s="64">
        <f t="shared" si="205"/>
        <v>41.216353063334438</v>
      </c>
      <c r="AX264" s="61">
        <f t="shared" si="206"/>
        <v>20.192068550934398</v>
      </c>
    </row>
    <row r="265" spans="14:50" x14ac:dyDescent="0.3">
      <c r="N265" s="10">
        <v>47</v>
      </c>
      <c r="O265" s="50">
        <f t="shared" si="207"/>
        <v>2951.2092266663876</v>
      </c>
      <c r="P265" s="48" t="str">
        <f t="shared" si="172"/>
        <v>51201.9230769231</v>
      </c>
      <c r="Q265" s="17" t="str">
        <f t="shared" si="173"/>
        <v>1+866.528394555953i</v>
      </c>
      <c r="R265" s="17">
        <f t="shared" si="182"/>
        <v>866.52897157089774</v>
      </c>
      <c r="S265" s="17">
        <f t="shared" si="183"/>
        <v>1.5696422970338937</v>
      </c>
      <c r="T265" s="17" t="str">
        <f t="shared" si="174"/>
        <v>1+5.56289833542094E-08i</v>
      </c>
      <c r="U265" s="17">
        <f t="shared" si="184"/>
        <v>1.0000000000000016</v>
      </c>
      <c r="V265" s="17">
        <f t="shared" si="185"/>
        <v>5.5628983354209339E-8</v>
      </c>
      <c r="W265" s="31" t="str">
        <f t="shared" si="175"/>
        <v>1-0.030039651011273i</v>
      </c>
      <c r="X265" s="17">
        <f t="shared" si="186"/>
        <v>1.0004510885759879</v>
      </c>
      <c r="Y265" s="17">
        <f t="shared" si="187"/>
        <v>-3.003062016722723E-2</v>
      </c>
      <c r="Z265" s="31" t="str">
        <f t="shared" si="176"/>
        <v>0.996516145640176+1.83312780953102i</v>
      </c>
      <c r="AA265" s="17">
        <f t="shared" si="188"/>
        <v>2.086480767847513</v>
      </c>
      <c r="AB265" s="17">
        <f t="shared" si="189"/>
        <v>1.0728682838042904</v>
      </c>
      <c r="AC265" s="66" t="str">
        <f t="shared" si="190"/>
        <v>-25.2725038481752-12.8074286808588i</v>
      </c>
      <c r="AD265" s="64">
        <f t="shared" si="191"/>
        <v>29.045693209016818</v>
      </c>
      <c r="AE265" s="61">
        <f t="shared" si="192"/>
        <v>-153.12532820512843</v>
      </c>
      <c r="AF265" s="31" t="str">
        <f t="shared" si="177"/>
        <v>-0.332666666666667</v>
      </c>
      <c r="AG265" s="31" t="str">
        <f t="shared" si="193"/>
        <v>18542.9944514031i</v>
      </c>
      <c r="AH265" s="31">
        <f t="shared" si="194"/>
        <v>18542.994451403101</v>
      </c>
      <c r="AI265" s="31">
        <f t="shared" si="195"/>
        <v>1.5707963267948966</v>
      </c>
      <c r="AJ265" s="31" t="str">
        <f t="shared" si="178"/>
        <v>-17.3450640513824+152.914191824679i</v>
      </c>
      <c r="AK265" s="31">
        <f t="shared" si="196"/>
        <v>153.89477349260852</v>
      </c>
      <c r="AL265" s="31">
        <f t="shared" si="197"/>
        <v>1.683743617838547</v>
      </c>
      <c r="AM265" s="31" t="str">
        <f t="shared" si="179"/>
        <v>1+556349.912844116i</v>
      </c>
      <c r="AN265" s="31">
        <f t="shared" si="198"/>
        <v>556349.91284501471</v>
      </c>
      <c r="AO265" s="31">
        <f t="shared" si="199"/>
        <v>1.5707945293649395</v>
      </c>
      <c r="AP265" s="31" t="str">
        <f t="shared" si="180"/>
        <v>1+60.079302022546i</v>
      </c>
      <c r="AQ265" s="31">
        <f t="shared" si="200"/>
        <v>60.087623779912448</v>
      </c>
      <c r="AR265" s="31">
        <f t="shared" si="201"/>
        <v>1.5541531962429662</v>
      </c>
      <c r="AS265" s="58" t="str">
        <f t="shared" si="202"/>
        <v>-3.86439530927574+0.503618002490862i</v>
      </c>
      <c r="AT265" s="49">
        <f t="shared" si="203"/>
        <v>11.81477203155854</v>
      </c>
      <c r="AU265" s="61">
        <f t="shared" si="204"/>
        <v>172.57491279210171</v>
      </c>
      <c r="AV265" s="58" t="str">
        <f t="shared" si="181"/>
        <v>104.11299697384+36.7652794122337i</v>
      </c>
      <c r="AW265" s="64">
        <f t="shared" si="205"/>
        <v>40.86046524057538</v>
      </c>
      <c r="AX265" s="61">
        <f t="shared" si="206"/>
        <v>19.449584586973206</v>
      </c>
    </row>
    <row r="266" spans="14:50" x14ac:dyDescent="0.3">
      <c r="N266" s="10">
        <v>48</v>
      </c>
      <c r="O266" s="50">
        <f t="shared" si="207"/>
        <v>3019.9517204020176</v>
      </c>
      <c r="P266" s="48" t="str">
        <f t="shared" si="172"/>
        <v>51201.9230769231</v>
      </c>
      <c r="Q266" s="17" t="str">
        <f t="shared" si="173"/>
        <v>1+886.712433761399i</v>
      </c>
      <c r="R266" s="17">
        <f t="shared" si="182"/>
        <v>886.71299764188825</v>
      </c>
      <c r="S266" s="17">
        <f t="shared" si="183"/>
        <v>1.5696685659358209</v>
      </c>
      <c r="T266" s="17" t="str">
        <f t="shared" si="174"/>
        <v>1+5.69247488340652E-08i</v>
      </c>
      <c r="U266" s="17">
        <f t="shared" si="184"/>
        <v>1.0000000000000018</v>
      </c>
      <c r="V266" s="17">
        <f t="shared" si="185"/>
        <v>5.6924748834065138E-8</v>
      </c>
      <c r="W266" s="31" t="str">
        <f t="shared" si="175"/>
        <v>1-0.0307393643703952i</v>
      </c>
      <c r="X266" s="17">
        <f t="shared" si="186"/>
        <v>1.0004723427071316</v>
      </c>
      <c r="Y266" s="17">
        <f t="shared" si="187"/>
        <v>-3.0729687893383987E-2</v>
      </c>
      <c r="Z266" s="31" t="str">
        <f t="shared" si="176"/>
        <v>0.996351956642576+1.87582684144806i</v>
      </c>
      <c r="AA266" s="17">
        <f t="shared" si="188"/>
        <v>2.1240159040370896</v>
      </c>
      <c r="AB266" s="17">
        <f t="shared" si="189"/>
        <v>1.08253765325469</v>
      </c>
      <c r="AC266" s="66" t="str">
        <f t="shared" si="190"/>
        <v>-24.3877932647018-12.0421306713945i</v>
      </c>
      <c r="AD266" s="64">
        <f t="shared" si="191"/>
        <v>28.691010428297158</v>
      </c>
      <c r="AE266" s="61">
        <f t="shared" si="192"/>
        <v>-153.72090091846246</v>
      </c>
      <c r="AF266" s="31" t="str">
        <f t="shared" si="177"/>
        <v>-0.332666666666667</v>
      </c>
      <c r="AG266" s="31" t="str">
        <f t="shared" si="193"/>
        <v>18974.9162780217i</v>
      </c>
      <c r="AH266" s="31">
        <f t="shared" si="194"/>
        <v>18974.916278021701</v>
      </c>
      <c r="AI266" s="31">
        <f t="shared" si="195"/>
        <v>1.5707963267948966</v>
      </c>
      <c r="AJ266" s="31" t="str">
        <f t="shared" si="178"/>
        <v>-18.2096402840248+156.476020914469i</v>
      </c>
      <c r="AK266" s="31">
        <f t="shared" si="196"/>
        <v>157.53201617607425</v>
      </c>
      <c r="AL266" s="31">
        <f t="shared" si="197"/>
        <v>1.6866485756833867</v>
      </c>
      <c r="AM266" s="31" t="str">
        <f t="shared" si="179"/>
        <v>1+569308.967069393i</v>
      </c>
      <c r="AN266" s="31">
        <f t="shared" si="198"/>
        <v>569308.96707027138</v>
      </c>
      <c r="AO266" s="31">
        <f t="shared" si="199"/>
        <v>1.5707945702794404</v>
      </c>
      <c r="AP266" s="31" t="str">
        <f t="shared" si="180"/>
        <v>1+61.4787287407903i</v>
      </c>
      <c r="AQ266" s="31">
        <f t="shared" si="200"/>
        <v>61.486861097178121</v>
      </c>
      <c r="AR266" s="31">
        <f t="shared" si="201"/>
        <v>1.5545319725618314</v>
      </c>
      <c r="AS266" s="58" t="str">
        <f t="shared" si="202"/>
        <v>-3.86179747067221+0.513203863450699i</v>
      </c>
      <c r="AT266" s="49">
        <f t="shared" si="203"/>
        <v>11.811818681591264</v>
      </c>
      <c r="AU266" s="61">
        <f t="shared" si="204"/>
        <v>172.43017559660768</v>
      </c>
      <c r="AV266" s="58" t="str">
        <f t="shared" si="181"/>
        <v>100.36078632964+33.9883600438136i</v>
      </c>
      <c r="AW266" s="64">
        <f t="shared" si="205"/>
        <v>40.502829109888424</v>
      </c>
      <c r="AX266" s="61">
        <f t="shared" si="206"/>
        <v>18.709274678145192</v>
      </c>
    </row>
    <row r="267" spans="14:50" x14ac:dyDescent="0.3">
      <c r="N267" s="10">
        <v>49</v>
      </c>
      <c r="O267" s="50">
        <f t="shared" si="207"/>
        <v>3090.295432513592</v>
      </c>
      <c r="P267" s="48" t="str">
        <f t="shared" si="172"/>
        <v>51201.9230769231</v>
      </c>
      <c r="Q267" s="17" t="str">
        <f t="shared" si="173"/>
        <v>1+907.366619636251i</v>
      </c>
      <c r="R267" s="17">
        <f t="shared" si="182"/>
        <v>907.3671706812612</v>
      </c>
      <c r="S267" s="17">
        <f t="shared" si="183"/>
        <v>1.569694236886042</v>
      </c>
      <c r="T267" s="17" t="str">
        <f t="shared" si="174"/>
        <v>1+5.82506965692409E-08i</v>
      </c>
      <c r="U267" s="17">
        <f t="shared" si="184"/>
        <v>1.0000000000000018</v>
      </c>
      <c r="V267" s="17">
        <f t="shared" si="185"/>
        <v>5.8250696569240835E-8</v>
      </c>
      <c r="W267" s="31" t="str">
        <f t="shared" si="175"/>
        <v>1-0.03145537614739i</v>
      </c>
      <c r="X267" s="17">
        <f t="shared" si="186"/>
        <v>1.000494598030681</v>
      </c>
      <c r="Y267" s="17">
        <f t="shared" si="187"/>
        <v>-3.1445007892280205E-2</v>
      </c>
      <c r="Z267" s="31" t="str">
        <f t="shared" si="176"/>
        <v>0.996180029655914+1.91952046158594i</v>
      </c>
      <c r="AA267" s="17">
        <f t="shared" si="188"/>
        <v>2.1626218934275956</v>
      </c>
      <c r="AB267" s="17">
        <f t="shared" si="189"/>
        <v>1.0920854788597785</v>
      </c>
      <c r="AC267" s="66" t="str">
        <f t="shared" si="190"/>
        <v>-23.5254116878652-11.3167539144427i</v>
      </c>
      <c r="AD267" s="64">
        <f t="shared" si="191"/>
        <v>28.334747271076353</v>
      </c>
      <c r="AE267" s="61">
        <f t="shared" si="192"/>
        <v>-154.3104066072315</v>
      </c>
      <c r="AF267" s="31" t="str">
        <f t="shared" si="177"/>
        <v>-0.332666666666667</v>
      </c>
      <c r="AG267" s="31" t="str">
        <f t="shared" si="193"/>
        <v>19416.8988564136i</v>
      </c>
      <c r="AH267" s="31">
        <f t="shared" si="194"/>
        <v>19416.898856413602</v>
      </c>
      <c r="AI267" s="31">
        <f t="shared" si="195"/>
        <v>1.5707963267948966</v>
      </c>
      <c r="AJ267" s="31" t="str">
        <f t="shared" si="178"/>
        <v>-19.114962739191+160.120815661752i</v>
      </c>
      <c r="AK267" s="31">
        <f t="shared" si="196"/>
        <v>161.25773596545818</v>
      </c>
      <c r="AL267" s="31">
        <f t="shared" si="197"/>
        <v>1.6896124069182226</v>
      </c>
      <c r="AM267" s="31" t="str">
        <f t="shared" si="179"/>
        <v>1+582569.876444704i</v>
      </c>
      <c r="AN267" s="31">
        <f t="shared" si="198"/>
        <v>582569.87644556235</v>
      </c>
      <c r="AO267" s="31">
        <f t="shared" si="199"/>
        <v>1.5707946102626136</v>
      </c>
      <c r="AP267" s="31" t="str">
        <f t="shared" si="180"/>
        <v>1+62.9107522947801i</v>
      </c>
      <c r="AQ267" s="31">
        <f t="shared" si="200"/>
        <v>62.918699559790497</v>
      </c>
      <c r="AR267" s="31">
        <f t="shared" si="201"/>
        <v>1.5549021313890949</v>
      </c>
      <c r="AS267" s="58" t="str">
        <f t="shared" si="202"/>
        <v>-3.85908198354446+0.523032334408352i</v>
      </c>
      <c r="AT267" s="49">
        <f t="shared" si="203"/>
        <v>11.808732445530566</v>
      </c>
      <c r="AU267" s="61">
        <f t="shared" si="204"/>
        <v>172.28157140508131</v>
      </c>
      <c r="AV267" s="58" t="str">
        <f t="shared" si="181"/>
        <v>96.7055206179027+31.3677301504104i</v>
      </c>
      <c r="AW267" s="64">
        <f t="shared" si="205"/>
        <v>40.143479716606919</v>
      </c>
      <c r="AX267" s="61">
        <f t="shared" si="206"/>
        <v>17.971164797849838</v>
      </c>
    </row>
    <row r="268" spans="14:50" x14ac:dyDescent="0.3">
      <c r="N268" s="10">
        <v>50</v>
      </c>
      <c r="O268" s="50">
        <f t="shared" si="207"/>
        <v>3162.2776601683804</v>
      </c>
      <c r="P268" s="48" t="str">
        <f t="shared" si="172"/>
        <v>51201.9230769231</v>
      </c>
      <c r="Q268" s="17" t="str">
        <f t="shared" si="173"/>
        <v>1+928.501903303251i</v>
      </c>
      <c r="R268" s="17">
        <f t="shared" si="182"/>
        <v>928.50244180495281</v>
      </c>
      <c r="S268" s="17">
        <f t="shared" si="183"/>
        <v>1.5697193234954989</v>
      </c>
      <c r="T268" s="17" t="str">
        <f t="shared" si="174"/>
        <v>1+5.96075295947766E-08i</v>
      </c>
      <c r="U268" s="17">
        <f t="shared" si="184"/>
        <v>1.0000000000000018</v>
      </c>
      <c r="V268" s="17">
        <f t="shared" si="185"/>
        <v>5.9607529594776529E-8</v>
      </c>
      <c r="W268" s="31" t="str">
        <f t="shared" si="175"/>
        <v>1-0.0321880659811794i</v>
      </c>
      <c r="X268" s="17">
        <f t="shared" si="186"/>
        <v>1.0005179016847268</v>
      </c>
      <c r="Y268" s="17">
        <f t="shared" si="187"/>
        <v>-3.217695650623828E-2</v>
      </c>
      <c r="Z268" s="31" t="str">
        <f t="shared" si="176"/>
        <v>0.996+1.96423183688041i</v>
      </c>
      <c r="AA268" s="17">
        <f t="shared" si="188"/>
        <v>2.2023221174511662</v>
      </c>
      <c r="AB268" s="17">
        <f t="shared" si="189"/>
        <v>1.1015099577875975</v>
      </c>
      <c r="AC268" s="66" t="str">
        <f t="shared" si="190"/>
        <v>-22.6854058097201-10.6296314298781i</v>
      </c>
      <c r="AD268" s="64">
        <f t="shared" si="191"/>
        <v>27.976944917875969</v>
      </c>
      <c r="AE268" s="61">
        <f t="shared" si="192"/>
        <v>-154.89376431940931</v>
      </c>
      <c r="AF268" s="31" t="str">
        <f t="shared" si="177"/>
        <v>-0.332666666666667</v>
      </c>
      <c r="AG268" s="31" t="str">
        <f t="shared" si="193"/>
        <v>19869.1765315922i</v>
      </c>
      <c r="AH268" s="31">
        <f t="shared" si="194"/>
        <v>19869.176531592198</v>
      </c>
      <c r="AI268" s="31">
        <f t="shared" si="195"/>
        <v>1.5707963267948966</v>
      </c>
      <c r="AJ268" s="31" t="str">
        <f t="shared" si="178"/>
        <v>-20.0629517271869+163.85050858495i</v>
      </c>
      <c r="AK268" s="31">
        <f t="shared" si="196"/>
        <v>165.07425963957618</v>
      </c>
      <c r="AL268" s="31">
        <f t="shared" si="197"/>
        <v>1.6926365038125317</v>
      </c>
      <c r="AM268" s="31" t="str">
        <f t="shared" si="179"/>
        <v>1+596139.672079729i</v>
      </c>
      <c r="AN268" s="31">
        <f t="shared" si="198"/>
        <v>596139.67208056769</v>
      </c>
      <c r="AO268" s="31">
        <f t="shared" si="199"/>
        <v>1.5707946493356588</v>
      </c>
      <c r="AP268" s="31" t="str">
        <f t="shared" si="180"/>
        <v>1+64.3761319623587i</v>
      </c>
      <c r="AQ268" s="31">
        <f t="shared" si="200"/>
        <v>64.383898347607229</v>
      </c>
      <c r="AR268" s="31">
        <f t="shared" si="201"/>
        <v>1.5552638685818878</v>
      </c>
      <c r="AS268" s="58" t="str">
        <f t="shared" si="202"/>
        <v>-3.85624360402372+0.533106584228354i</v>
      </c>
      <c r="AT268" s="49">
        <f t="shared" si="203"/>
        <v>11.80550706892628</v>
      </c>
      <c r="AU268" s="61">
        <f t="shared" si="204"/>
        <v>172.12903166935928</v>
      </c>
      <c r="AV268" s="58" t="str">
        <f t="shared" si="181"/>
        <v>93.1471775616043+28.896709011543i</v>
      </c>
      <c r="AW268" s="64">
        <f t="shared" si="205"/>
        <v>39.782451986802243</v>
      </c>
      <c r="AX268" s="61">
        <f t="shared" si="206"/>
        <v>17.235267349949975</v>
      </c>
    </row>
    <row r="269" spans="14:50" x14ac:dyDescent="0.3">
      <c r="N269" s="10">
        <v>51</v>
      </c>
      <c r="O269" s="50">
        <f t="shared" si="207"/>
        <v>3235.9365692962833</v>
      </c>
      <c r="P269" s="48" t="str">
        <f t="shared" si="172"/>
        <v>51201.9230769231</v>
      </c>
      <c r="Q269" s="17" t="str">
        <f t="shared" si="173"/>
        <v>1+950.129490969559i</v>
      </c>
      <c r="R269" s="17">
        <f t="shared" si="182"/>
        <v>950.13001721347246</v>
      </c>
      <c r="S269" s="17">
        <f t="shared" si="183"/>
        <v>1.5697438390653178</v>
      </c>
      <c r="T269" s="17" t="str">
        <f t="shared" si="174"/>
        <v>1+6.09959673215026E-08i</v>
      </c>
      <c r="U269" s="17">
        <f t="shared" si="184"/>
        <v>1.0000000000000018</v>
      </c>
      <c r="V269" s="17">
        <f t="shared" si="185"/>
        <v>6.0995967321502524E-8</v>
      </c>
      <c r="W269" s="31" t="str">
        <f t="shared" si="175"/>
        <v>1-0.0329378223536113i</v>
      </c>
      <c r="X269" s="17">
        <f t="shared" si="186"/>
        <v>1.0005423030244138</v>
      </c>
      <c r="Y269" s="17">
        <f t="shared" si="187"/>
        <v>-3.292591868518311E-2</v>
      </c>
      <c r="Z269" s="31" t="str">
        <f t="shared" si="176"/>
        <v>0.995811485807796+2.00998467389448i</v>
      </c>
      <c r="AA269" s="17">
        <f t="shared" si="188"/>
        <v>2.2431404112443403</v>
      </c>
      <c r="AB269" s="17">
        <f t="shared" si="189"/>
        <v>1.1108094878446173</v>
      </c>
      <c r="AC269" s="66" t="str">
        <f t="shared" si="190"/>
        <v>-21.8677734973715-9.97913239760647i</v>
      </c>
      <c r="AD269" s="64">
        <f t="shared" si="191"/>
        <v>27.61764459726777</v>
      </c>
      <c r="AE269" s="61">
        <f t="shared" si="192"/>
        <v>-155.47090507413134</v>
      </c>
      <c r="AF269" s="31" t="str">
        <f t="shared" si="177"/>
        <v>-0.332666666666667</v>
      </c>
      <c r="AG269" s="31" t="str">
        <f t="shared" si="193"/>
        <v>20331.9891071675i</v>
      </c>
      <c r="AH269" s="31">
        <f t="shared" si="194"/>
        <v>20331.989107167501</v>
      </c>
      <c r="AI269" s="31">
        <f t="shared" si="195"/>
        <v>1.5707963267948966</v>
      </c>
      <c r="AJ269" s="31" t="str">
        <f t="shared" si="178"/>
        <v>-21.0556180597554+167.667077216616i</v>
      </c>
      <c r="AK269" s="31">
        <f t="shared" si="196"/>
        <v>168.98398691663351</v>
      </c>
      <c r="AL269" s="31">
        <f t="shared" si="197"/>
        <v>1.6957222781898145</v>
      </c>
      <c r="AM269" s="31" t="str">
        <f t="shared" si="179"/>
        <v>1+610025.548859733i</v>
      </c>
      <c r="AN269" s="31">
        <f t="shared" si="198"/>
        <v>610025.54886055272</v>
      </c>
      <c r="AO269" s="31">
        <f t="shared" si="199"/>
        <v>1.5707946875192926</v>
      </c>
      <c r="AP269" s="31" t="str">
        <f t="shared" si="180"/>
        <v>1+65.8756447072227i</v>
      </c>
      <c r="AQ269" s="31">
        <f t="shared" si="200"/>
        <v>65.88323432856221</v>
      </c>
      <c r="AR269" s="31">
        <f t="shared" si="201"/>
        <v>1.5556173755591629</v>
      </c>
      <c r="AS269" s="58" t="str">
        <f t="shared" si="202"/>
        <v>-3.85327687573434+0.543429773850201i</v>
      </c>
      <c r="AT269" s="49">
        <f t="shared" si="203"/>
        <v>11.802136029725812</v>
      </c>
      <c r="AU269" s="61">
        <f t="shared" si="204"/>
        <v>171.97248646659878</v>
      </c>
      <c r="AV269" s="58" t="str">
        <f t="shared" si="181"/>
        <v>89.6855436032703+26.5687609013044i</v>
      </c>
      <c r="AW269" s="64">
        <f t="shared" si="205"/>
        <v>39.419780626993578</v>
      </c>
      <c r="AX269" s="61">
        <f t="shared" si="206"/>
        <v>16.501581392467443</v>
      </c>
    </row>
    <row r="270" spans="14:50" x14ac:dyDescent="0.3">
      <c r="N270" s="10">
        <v>52</v>
      </c>
      <c r="O270" s="50">
        <f t="shared" si="207"/>
        <v>3311.3112148259115</v>
      </c>
      <c r="P270" s="48" t="str">
        <f t="shared" si="172"/>
        <v>51201.9230769231</v>
      </c>
      <c r="Q270" s="17" t="str">
        <f t="shared" si="173"/>
        <v>1+972.260849868433i</v>
      </c>
      <c r="R270" s="17">
        <f t="shared" si="182"/>
        <v>972.26136413357892</v>
      </c>
      <c r="S270" s="17">
        <f t="shared" si="183"/>
        <v>1.5697677965938601</v>
      </c>
      <c r="T270" s="17" t="str">
        <f t="shared" si="174"/>
        <v>1+6.24167459174797E-08i</v>
      </c>
      <c r="U270" s="17">
        <f t="shared" si="184"/>
        <v>1.000000000000002</v>
      </c>
      <c r="V270" s="17">
        <f t="shared" si="185"/>
        <v>6.2416745917479616E-8</v>
      </c>
      <c r="W270" s="31" t="str">
        <f t="shared" si="175"/>
        <v>1-0.033705042795439i</v>
      </c>
      <c r="X270" s="17">
        <f t="shared" si="186"/>
        <v>1.0005678537259941</v>
      </c>
      <c r="Y270" s="17">
        <f t="shared" si="187"/>
        <v>-3.3692288175845818E-2</v>
      </c>
      <c r="Z270" s="31" t="str">
        <f t="shared" si="176"/>
        <v>0.995614087215427+2.05680323138794i</v>
      </c>
      <c r="AA270" s="17">
        <f t="shared" si="188"/>
        <v>2.2851010794513402</v>
      </c>
      <c r="AB270" s="17">
        <f t="shared" si="189"/>
        <v>1.1199826630081369</v>
      </c>
      <c r="AC270" s="66" t="str">
        <f>(IMDIV(IMPRODUCT(P270,T270,W270),IMPRODUCT(Q270,Z270)))</f>
        <v>-21.0724663565487-9.36366416153287i</v>
      </c>
      <c r="AD270" s="64">
        <f t="shared" si="191"/>
        <v>27.256887501063723</v>
      </c>
      <c r="AE270" s="61">
        <f t="shared" si="192"/>
        <v>-156.0417716169662</v>
      </c>
      <c r="AF270" s="31" t="str">
        <f t="shared" si="177"/>
        <v>-0.332666666666667</v>
      </c>
      <c r="AG270" s="31" t="str">
        <f t="shared" si="193"/>
        <v>20805.5819724932i</v>
      </c>
      <c r="AH270" s="31">
        <f t="shared" si="194"/>
        <v>20805.581972493201</v>
      </c>
      <c r="AI270" s="31">
        <f t="shared" si="195"/>
        <v>1.5707963267948966</v>
      </c>
      <c r="AJ270" s="31" t="str">
        <f t="shared" si="178"/>
        <v>-22.095067315277+171.57254515196i</v>
      </c>
      <c r="AK270" s="31">
        <f t="shared" si="196"/>
        <v>172.98939345979565</v>
      </c>
      <c r="AL270" s="31">
        <f t="shared" si="197"/>
        <v>1.6988711613381087</v>
      </c>
      <c r="AM270" s="31" t="str">
        <f t="shared" si="179"/>
        <v>1+624234.869260388i</v>
      </c>
      <c r="AN270" s="31">
        <f t="shared" si="198"/>
        <v>624234.86926118878</v>
      </c>
      <c r="AO270" s="31">
        <f t="shared" si="199"/>
        <v>1.570794724833761</v>
      </c>
      <c r="AP270" s="31" t="str">
        <f t="shared" si="180"/>
        <v>1+67.410085590878i</v>
      </c>
      <c r="AQ270" s="31">
        <f t="shared" si="200"/>
        <v>67.417502470571364</v>
      </c>
      <c r="AR270" s="31">
        <f t="shared" si="201"/>
        <v>1.5559628394013822</v>
      </c>
      <c r="AS270" s="58" t="str">
        <f t="shared" si="202"/>
        <v>-3.85017612263327+0.554005049007508i</v>
      </c>
      <c r="AT270" s="49">
        <f t="shared" si="203"/>
        <v>11.798612527008478</v>
      </c>
      <c r="AU270" s="61">
        <f t="shared" si="204"/>
        <v>171.81186451011669</v>
      </c>
      <c r="AV270" s="58" t="str">
        <f t="shared" si="181"/>
        <v>86.3202240336766+24.3775034185219i</v>
      </c>
      <c r="AW270" s="64">
        <f t="shared" si="205"/>
        <v>39.055500028072203</v>
      </c>
      <c r="AX270" s="61">
        <f t="shared" si="206"/>
        <v>15.770092893150466</v>
      </c>
    </row>
    <row r="271" spans="14:50" x14ac:dyDescent="0.3">
      <c r="N271" s="10">
        <v>53</v>
      </c>
      <c r="O271" s="50">
        <f t="shared" si="207"/>
        <v>3388.4415613920314</v>
      </c>
      <c r="P271" s="48" t="str">
        <f t="shared" si="172"/>
        <v>51201.9230769231</v>
      </c>
      <c r="Q271" s="17" t="str">
        <f t="shared" si="173"/>
        <v>1+994.907714339298i</v>
      </c>
      <c r="R271" s="17">
        <f t="shared" si="182"/>
        <v>994.90821689834593</v>
      </c>
      <c r="S271" s="17">
        <f t="shared" si="183"/>
        <v>1.5697912087836146</v>
      </c>
      <c r="T271" s="17" t="str">
        <f t="shared" si="174"/>
        <v>1+6.38706186983254E-08i</v>
      </c>
      <c r="U271" s="17">
        <f t="shared" si="184"/>
        <v>1.000000000000002</v>
      </c>
      <c r="V271" s="17">
        <f t="shared" si="185"/>
        <v>6.3870618698325309E-8</v>
      </c>
      <c r="W271" s="31" t="str">
        <f t="shared" si="175"/>
        <v>1-0.0344901340970957i</v>
      </c>
      <c r="X271" s="17">
        <f t="shared" si="186"/>
        <v>1.0005946078957431</v>
      </c>
      <c r="Y271" s="17">
        <f t="shared" si="187"/>
        <v>-3.4476467714569428E-2</v>
      </c>
      <c r="Z271" s="31" t="str">
        <f t="shared" si="176"/>
        <v>0.995407385514012+2.10471233317969i</v>
      </c>
      <c r="AA271" s="17">
        <f t="shared" si="188"/>
        <v>2.328228912408429</v>
      </c>
      <c r="AB271" s="17">
        <f t="shared" si="189"/>
        <v>1.1290282684928896</v>
      </c>
      <c r="AC271" s="66" t="str">
        <f t="shared" si="190"/>
        <v>-20.2993923782831-8.78167397732309i</v>
      </c>
      <c r="AD271" s="64">
        <f t="shared" si="191"/>
        <v>26.894714704251783</v>
      </c>
      <c r="AE271" s="61">
        <f t="shared" si="192"/>
        <v>-156.60631814869359</v>
      </c>
      <c r="AF271" s="31" t="str">
        <f t="shared" si="177"/>
        <v>-0.332666666666667</v>
      </c>
      <c r="AG271" s="31" t="str">
        <f t="shared" si="193"/>
        <v>21290.2062327751i</v>
      </c>
      <c r="AH271" s="31">
        <f t="shared" si="194"/>
        <v>21290.206232775101</v>
      </c>
      <c r="AI271" s="31">
        <f t="shared" si="195"/>
        <v>1.5707963267948966</v>
      </c>
      <c r="AJ271" s="31" t="str">
        <f t="shared" si="178"/>
        <v>-23.1835043049838+175.568983121774i</v>
      </c>
      <c r="AK271" s="31">
        <f t="shared" si="196"/>
        <v>177.09303404220327</v>
      </c>
      <c r="AL271" s="31">
        <f t="shared" si="197"/>
        <v>1.7020846038766733</v>
      </c>
      <c r="AM271" s="31" t="str">
        <f t="shared" si="179"/>
        <v>1+638775.167251448i</v>
      </c>
      <c r="AN271" s="31">
        <f t="shared" si="198"/>
        <v>638775.16725223069</v>
      </c>
      <c r="AO271" s="31">
        <f t="shared" si="199"/>
        <v>1.5707947612988484</v>
      </c>
      <c r="AP271" s="31" t="str">
        <f t="shared" si="180"/>
        <v>1+68.9802681941913i</v>
      </c>
      <c r="AQ271" s="31">
        <f t="shared" si="200"/>
        <v>68.987516263035303</v>
      </c>
      <c r="AR271" s="31">
        <f t="shared" si="201"/>
        <v>1.5563004429480221</v>
      </c>
      <c r="AS271" s="58" t="str">
        <f t="shared" si="202"/>
        <v>-3.84693544177665+0.564835532405182i</v>
      </c>
      <c r="AT271" s="49">
        <f t="shared" si="203"/>
        <v>11.794929469364474</v>
      </c>
      <c r="AU271" s="61">
        <f t="shared" si="204"/>
        <v>171.64709316261587</v>
      </c>
      <c r="AV271" s="58" t="str">
        <f t="shared" si="181"/>
        <v>83.0506534829381+22.3167147600027i</v>
      </c>
      <c r="AW271" s="64">
        <f t="shared" si="205"/>
        <v>38.689644173616259</v>
      </c>
      <c r="AX271" s="61">
        <f t="shared" si="206"/>
        <v>15.040775013922287</v>
      </c>
    </row>
    <row r="272" spans="14:50" x14ac:dyDescent="0.3">
      <c r="N272" s="10">
        <v>54</v>
      </c>
      <c r="O272" s="50">
        <f t="shared" si="207"/>
        <v>3467.3685045253224</v>
      </c>
      <c r="P272" s="48" t="str">
        <f t="shared" si="172"/>
        <v>51201.9230769231</v>
      </c>
      <c r="Q272" s="17" t="str">
        <f t="shared" si="173"/>
        <v>1+1018.08209204947i</v>
      </c>
      <c r="R272" s="17">
        <f t="shared" si="182"/>
        <v>1018.0825831688829</v>
      </c>
      <c r="S272" s="17">
        <f t="shared" si="183"/>
        <v>1.5698140880479314</v>
      </c>
      <c r="T272" s="17" t="str">
        <f t="shared" si="174"/>
        <v>1+6.53583565266325E-08i</v>
      </c>
      <c r="U272" s="17">
        <f t="shared" si="184"/>
        <v>1.0000000000000022</v>
      </c>
      <c r="V272" s="17">
        <f t="shared" si="185"/>
        <v>6.5358356526632401E-8</v>
      </c>
      <c r="W272" s="31" t="str">
        <f t="shared" si="175"/>
        <v>1-0.0352935125243815i</v>
      </c>
      <c r="X272" s="17">
        <f t="shared" si="186"/>
        <v>1.0006226221839623</v>
      </c>
      <c r="Y272" s="17">
        <f t="shared" si="187"/>
        <v>-3.5278869223749294E-2</v>
      </c>
      <c r="Z272" s="31" t="str">
        <f t="shared" si="176"/>
        <v>0.99519094226153+2.15373738130965i</v>
      </c>
      <c r="AA272" s="17">
        <f t="shared" si="188"/>
        <v>2.3725492026952657</v>
      </c>
      <c r="AB272" s="17">
        <f t="shared" si="189"/>
        <v>1.1379452754066886</v>
      </c>
      <c r="AC272" s="66" t="str">
        <f t="shared" si="190"/>
        <v>-19.5484186434321-8.23165050754139i</v>
      </c>
      <c r="AD272" s="64">
        <f t="shared" si="191"/>
        <v>26.531167089807358</v>
      </c>
      <c r="AE272" s="61">
        <f t="shared" si="192"/>
        <v>-157.16451003073684</v>
      </c>
      <c r="AF272" s="31" t="str">
        <f t="shared" si="177"/>
        <v>-0.332666666666667</v>
      </c>
      <c r="AG272" s="31" t="str">
        <f t="shared" si="193"/>
        <v>21786.1188422108i</v>
      </c>
      <c r="AH272" s="31">
        <f t="shared" si="194"/>
        <v>21786.118842210799</v>
      </c>
      <c r="AI272" s="31">
        <f t="shared" si="195"/>
        <v>1.5707963267948966</v>
      </c>
      <c r="AJ272" s="31" t="str">
        <f t="shared" si="178"/>
        <v>-24.3232377496604+179.658510090369i</v>
      </c>
      <c r="AK272" s="31">
        <f t="shared" si="196"/>
        <v>181.29754588112252</v>
      </c>
      <c r="AL272" s="31">
        <f t="shared" si="197"/>
        <v>1.7053640755755219</v>
      </c>
      <c r="AM272" s="31" t="str">
        <f t="shared" si="179"/>
        <v>1+653654.152291374i</v>
      </c>
      <c r="AN272" s="31">
        <f t="shared" si="198"/>
        <v>653654.1522921389</v>
      </c>
      <c r="AO272" s="31">
        <f t="shared" si="199"/>
        <v>1.5707947969338891</v>
      </c>
      <c r="AP272" s="31" t="str">
        <f t="shared" si="180"/>
        <v>1+70.587025048763i</v>
      </c>
      <c r="AQ272" s="31">
        <f t="shared" si="200"/>
        <v>70.594108148164139</v>
      </c>
      <c r="AR272" s="31">
        <f t="shared" si="201"/>
        <v>1.5566303648929449</v>
      </c>
      <c r="AS272" s="58" t="str">
        <f t="shared" si="202"/>
        <v>-3.84354869603057+0.575924315324128i</v>
      </c>
      <c r="AT272" s="49">
        <f t="shared" si="203"/>
        <v>11.791079462912865</v>
      </c>
      <c r="AU272" s="61">
        <f t="shared" si="204"/>
        <v>171.47809845198952</v>
      </c>
      <c r="AV272" s="58" t="str">
        <f t="shared" si="181"/>
        <v>79.8761066689664+20.380339951552i</v>
      </c>
      <c r="AW272" s="64">
        <f t="shared" si="205"/>
        <v>38.322246552720216</v>
      </c>
      <c r="AX272" s="61">
        <f t="shared" si="206"/>
        <v>14.313588421252641</v>
      </c>
    </row>
    <row r="273" spans="14:50" x14ac:dyDescent="0.3">
      <c r="N273" s="10">
        <v>55</v>
      </c>
      <c r="O273" s="50">
        <f t="shared" si="207"/>
        <v>3548.1338923357539</v>
      </c>
      <c r="P273" s="48" t="str">
        <f t="shared" si="172"/>
        <v>51201.9230769231</v>
      </c>
      <c r="Q273" s="17" t="str">
        <f t="shared" si="173"/>
        <v>1+1041.79627036074i</v>
      </c>
      <c r="R273" s="17">
        <f t="shared" si="182"/>
        <v>1041.7967503009154</v>
      </c>
      <c r="S273" s="17">
        <f t="shared" si="183"/>
        <v>1.5698364465176038</v>
      </c>
      <c r="T273" s="17" t="str">
        <f t="shared" si="174"/>
        <v>1+6.68807482206898E-08i</v>
      </c>
      <c r="U273" s="17">
        <f t="shared" si="184"/>
        <v>1.0000000000000022</v>
      </c>
      <c r="V273" s="17">
        <f t="shared" si="185"/>
        <v>6.6880748220689697E-8</v>
      </c>
      <c r="W273" s="31" t="str">
        <f t="shared" si="175"/>
        <v>1-0.0361156040391724i</v>
      </c>
      <c r="X273" s="17">
        <f t="shared" si="186"/>
        <v>1.0006519559043066</v>
      </c>
      <c r="Y273" s="17">
        <f t="shared" si="187"/>
        <v>-3.6099914011927352E-2</v>
      </c>
      <c r="Z273" s="31" t="str">
        <f t="shared" si="176"/>
        <v>0.994964298352823+2.20390436950726i</v>
      </c>
      <c r="AA273" s="17">
        <f t="shared" si="188"/>
        <v>2.4180877620404764</v>
      </c>
      <c r="AB273" s="17">
        <f t="shared" si="189"/>
        <v>1.1467328350489387</v>
      </c>
      <c r="AC273" s="66" t="str">
        <f t="shared" si="190"/>
        <v>-18.8193740613326-7.71212506994684i</v>
      </c>
      <c r="AD273" s="64">
        <f t="shared" si="191"/>
        <v>26.166285278466749</v>
      </c>
      <c r="AE273" s="61">
        <f t="shared" si="192"/>
        <v>-157.71632347033304</v>
      </c>
      <c r="AF273" s="31" t="str">
        <f t="shared" si="177"/>
        <v>-0.332666666666667</v>
      </c>
      <c r="AG273" s="31" t="str">
        <f t="shared" si="193"/>
        <v>22293.5827402299i</v>
      </c>
      <c r="AH273" s="31">
        <f t="shared" si="194"/>
        <v>22293.5827402299</v>
      </c>
      <c r="AI273" s="31">
        <f t="shared" si="195"/>
        <v>1.5707963267948966</v>
      </c>
      <c r="AJ273" s="31" t="str">
        <f t="shared" si="178"/>
        <v>-25.5166851767494+183.843294379076i</v>
      </c>
      <c r="AK273" s="31">
        <f t="shared" si="196"/>
        <v>185.6056521514389</v>
      </c>
      <c r="AL273" s="31">
        <f t="shared" si="197"/>
        <v>1.708711065124356</v>
      </c>
      <c r="AM273" s="31" t="str">
        <f t="shared" si="179"/>
        <v>1+668879.713414976i</v>
      </c>
      <c r="AN273" s="31">
        <f t="shared" si="198"/>
        <v>668879.71341572353</v>
      </c>
      <c r="AO273" s="31">
        <f t="shared" si="199"/>
        <v>1.5707948317577771</v>
      </c>
      <c r="AP273" s="31" t="str">
        <f t="shared" si="180"/>
        <v>1+72.2312080783449i</v>
      </c>
      <c r="AQ273" s="31">
        <f t="shared" si="200"/>
        <v>72.238129962348538</v>
      </c>
      <c r="AR273" s="31">
        <f t="shared" si="201"/>
        <v>1.5569527798776763</v>
      </c>
      <c r="AS273" s="58" t="str">
        <f t="shared" si="202"/>
        <v>-3.84000950674664+0.5872744486223i</v>
      </c>
      <c r="AT273" s="49">
        <f t="shared" si="203"/>
        <v>11.787054798956509</v>
      </c>
      <c r="AU273" s="61">
        <f t="shared" si="204"/>
        <v>171.30480508990561</v>
      </c>
      <c r="AV273" s="58" t="str">
        <f t="shared" si="181"/>
        <v>76.7957093046976+18.562496060529i</v>
      </c>
      <c r="AW273" s="64">
        <f t="shared" si="205"/>
        <v>37.953340077423256</v>
      </c>
      <c r="AX273" s="61">
        <f t="shared" si="206"/>
        <v>13.588481619572518</v>
      </c>
    </row>
    <row r="274" spans="14:50" x14ac:dyDescent="0.3">
      <c r="N274" s="10">
        <v>56</v>
      </c>
      <c r="O274" s="50">
        <f t="shared" si="207"/>
        <v>3630.7805477010188</v>
      </c>
      <c r="P274" s="48" t="str">
        <f t="shared" si="172"/>
        <v>51201.9230769231</v>
      </c>
      <c r="Q274" s="17" t="str">
        <f t="shared" si="173"/>
        <v>1+1066.06282284438i</v>
      </c>
      <c r="R274" s="17">
        <f t="shared" si="182"/>
        <v>1066.063291859788</v>
      </c>
      <c r="S274" s="17">
        <f t="shared" si="183"/>
        <v>1.5698582960472984</v>
      </c>
      <c r="T274" s="17" t="str">
        <f t="shared" si="174"/>
        <v>1+6.84386009727256E-08i</v>
      </c>
      <c r="U274" s="17">
        <f t="shared" si="184"/>
        <v>1.0000000000000022</v>
      </c>
      <c r="V274" s="17">
        <f t="shared" si="185"/>
        <v>6.843860097272549E-8</v>
      </c>
      <c r="W274" s="31" t="str">
        <f t="shared" si="175"/>
        <v>1-0.0369568445252718i</v>
      </c>
      <c r="X274" s="17">
        <f t="shared" si="186"/>
        <v>1.0006826711586772</v>
      </c>
      <c r="Y274" s="17">
        <f t="shared" si="187"/>
        <v>-3.6940032977564007E-2</v>
      </c>
      <c r="Z274" s="31" t="str">
        <f t="shared" si="176"/>
        <v>0.994726973045774+2.25523989697372i</v>
      </c>
      <c r="AA274" s="17">
        <f t="shared" si="188"/>
        <v>2.4648709385699776</v>
      </c>
      <c r="AB274" s="17">
        <f t="shared" si="189"/>
        <v>1.1553902729043939</v>
      </c>
      <c r="AC274" s="66" t="str">
        <f t="shared" si="190"/>
        <v>-18.1120521205531-7.22167264664385i</v>
      </c>
      <c r="AD274" s="64">
        <f t="shared" si="191"/>
        <v>25.800109563506645</v>
      </c>
      <c r="AE274" s="61">
        <f t="shared" si="192"/>
        <v>-158.26174518844473</v>
      </c>
      <c r="AF274" s="31" t="str">
        <f t="shared" si="177"/>
        <v>-0.332666666666667</v>
      </c>
      <c r="AG274" s="31" t="str">
        <f t="shared" si="193"/>
        <v>22812.8669909085i</v>
      </c>
      <c r="AH274" s="31">
        <f t="shared" si="194"/>
        <v>22812.8669909085</v>
      </c>
      <c r="AI274" s="31">
        <f t="shared" si="195"/>
        <v>1.5707963267948966</v>
      </c>
      <c r="AJ274" s="31" t="str">
        <f t="shared" si="178"/>
        <v>-26.7663780482526+188.125554815916i</v>
      </c>
      <c r="AK274" s="31">
        <f t="shared" si="196"/>
        <v>190.02016568937674</v>
      </c>
      <c r="AL274" s="31">
        <f t="shared" si="197"/>
        <v>1.7121270798472574</v>
      </c>
      <c r="AM274" s="31" t="str">
        <f t="shared" si="179"/>
        <v>1+684459.923416307i</v>
      </c>
      <c r="AN274" s="31">
        <f t="shared" si="198"/>
        <v>684459.92341703735</v>
      </c>
      <c r="AO274" s="31">
        <f t="shared" si="199"/>
        <v>1.5707948657889768</v>
      </c>
      <c r="AP274" s="31" t="str">
        <f t="shared" si="180"/>
        <v>1+73.9136890505435i</v>
      </c>
      <c r="AQ274" s="31">
        <f t="shared" si="200"/>
        <v>73.920453387817048</v>
      </c>
      <c r="AR274" s="31">
        <f t="shared" si="201"/>
        <v>1.5572678585826309</v>
      </c>
      <c r="AS274" s="58" t="str">
        <f t="shared" si="202"/>
        <v>-3.83631124642554+0.598888933100211i</v>
      </c>
      <c r="AT274" s="49">
        <f t="shared" si="203"/>
        <v>11.782847441272779</v>
      </c>
      <c r="AU274" s="61">
        <f t="shared" si="204"/>
        <v>171.12713649338127</v>
      </c>
      <c r="AV274" s="58" t="str">
        <f t="shared" si="181"/>
        <v>73.8084490724709+16.85747642159i</v>
      </c>
      <c r="AW274" s="64">
        <f t="shared" si="205"/>
        <v>37.582957004779423</v>
      </c>
      <c r="AX274" s="61">
        <f t="shared" si="206"/>
        <v>12.8653913049365</v>
      </c>
    </row>
    <row r="275" spans="14:50" x14ac:dyDescent="0.3">
      <c r="N275" s="10">
        <v>57</v>
      </c>
      <c r="O275" s="50">
        <f t="shared" si="207"/>
        <v>3715.352290971724</v>
      </c>
      <c r="P275" s="48" t="str">
        <f t="shared" ref="P275:P338" si="208">COMPLEX(Adc,0)</f>
        <v>51201.9230769231</v>
      </c>
      <c r="Q275" s="17" t="str">
        <f t="shared" ref="Q275:Q338" si="209">IMSUM(COMPLEX(1,0),IMDIV(COMPLEX(0,2*PI()*O275),COMPLEX(wp_lf,0)))</f>
        <v>1+1090.89461594769i</v>
      </c>
      <c r="R275" s="17">
        <f t="shared" si="182"/>
        <v>1090.8950742870086</v>
      </c>
      <c r="S275" s="17">
        <f t="shared" si="183"/>
        <v>1.5698796482218418</v>
      </c>
      <c r="T275" s="17" t="str">
        <f t="shared" ref="T275:T338" si="210">IMSUM(COMPLEX(1,0),IMDIV(COMPLEX(0,2*PI()*O275),COMPLEX(wz_esr,0)))</f>
        <v>1+7.00327407768889E-08i</v>
      </c>
      <c r="U275" s="17">
        <f t="shared" si="184"/>
        <v>1.0000000000000024</v>
      </c>
      <c r="V275" s="17">
        <f t="shared" si="185"/>
        <v>7.0032740776888785E-8</v>
      </c>
      <c r="W275" s="31" t="str">
        <f t="shared" ref="W275:W338" si="211">IMSUB(COMPLEX(1,0),IMDIV(COMPLEX(0,2*PI()*O275),COMPLEX(wz_rhp,0)))</f>
        <v>1-0.0378176800195199i</v>
      </c>
      <c r="X275" s="17">
        <f t="shared" si="186"/>
        <v>1.0007148329679434</v>
      </c>
      <c r="Y275" s="17">
        <f t="shared" si="187"/>
        <v>-3.7799666816499052E-2</v>
      </c>
      <c r="Z275" s="31" t="str">
        <f t="shared" ref="Z275:Z338" si="212">IMSUM(COMPLEX(1,0),IMDIV(COMPLEX(0,2*PI()*O275),COMPLEX(Q*(wsl/2),0)),IMDIV(IMPOWER(COMPLEX(0,2*PI()*O275),2),IMPOWER(COMPLEX(wsl/2,0),2)))</f>
        <v>0.994478462941588+2.30777118248518i</v>
      </c>
      <c r="AA275" s="17">
        <f t="shared" si="188"/>
        <v>2.5129256343878761</v>
      </c>
      <c r="AB275" s="17">
        <f t="shared" si="189"/>
        <v>1.1639170823826952</v>
      </c>
      <c r="AC275" s="66" t="str">
        <f t="shared" si="190"/>
        <v>-17.4262136315072-6.75891266342424i</v>
      </c>
      <c r="AD275" s="64">
        <f t="shared" si="191"/>
        <v>25.432679850537802</v>
      </c>
      <c r="AE275" s="61">
        <f t="shared" si="192"/>
        <v>-158.80077207330848</v>
      </c>
      <c r="AF275" s="31" t="str">
        <f t="shared" ref="AF275:AF338" si="213">COMPLEX(Adc_ea_iso,0)</f>
        <v>-0.332666666666667</v>
      </c>
      <c r="AG275" s="31" t="str">
        <f t="shared" si="193"/>
        <v>23344.2469256296i</v>
      </c>
      <c r="AH275" s="31">
        <f t="shared" si="194"/>
        <v>23344.246925629599</v>
      </c>
      <c r="AI275" s="31">
        <f t="shared" si="195"/>
        <v>1.5707963267948966</v>
      </c>
      <c r="AJ275" s="31" t="str">
        <f t="shared" ref="AJ275:AJ338" si="214">IMSUM(IMPRODUCT(COMPLEX(wpA_ea_iso,0),IMPOWER(COMPLEX(0,2*PI()*O275),2)),COMPLEX(0,wpB_ea_iso*2*PI()*O275),COMPLEX(1,0))</f>
        <v>-28.0749671302991+192.507561912056i</v>
      </c>
      <c r="AK275" s="31">
        <f t="shared" si="196"/>
        <v>194.54399289798553</v>
      </c>
      <c r="AL275" s="31">
        <f t="shared" si="197"/>
        <v>1.7156136453592659</v>
      </c>
      <c r="AM275" s="31" t="str">
        <f t="shared" ref="AM275:AM338" si="215">IMSUM(COMPLEX(1,0),IMDIV(COMPLEX(0,2*PI()*O275),COMPLEX(wz1_ea_iso,0)))</f>
        <v>1+700403.043128928i</v>
      </c>
      <c r="AN275" s="31">
        <f t="shared" si="198"/>
        <v>700403.04312964191</v>
      </c>
      <c r="AO275" s="31">
        <f t="shared" si="199"/>
        <v>1.5707948990455318</v>
      </c>
      <c r="AP275" s="31" t="str">
        <f t="shared" ref="AP275:AP338" si="216">IMSUM(COMPLEX(1,0),IMDIV(COMPLEX(0,2*PI()*O275),COMPLEX(wz2_ea_iso,0)))</f>
        <v>1+75.6353600390399i</v>
      </c>
      <c r="AQ275" s="31">
        <f t="shared" si="200"/>
        <v>75.641970414811325</v>
      </c>
      <c r="AR275" s="31">
        <f t="shared" si="201"/>
        <v>1.5575757678163304</v>
      </c>
      <c r="AS275" s="58" t="str">
        <f t="shared" si="202"/>
        <v>-3.83244703139383+0.610770709197949i</v>
      </c>
      <c r="AT275" s="49">
        <f t="shared" si="203"/>
        <v>11.778449013038381</v>
      </c>
      <c r="AU275" s="61">
        <f t="shared" si="204"/>
        <v>170.94501480957163</v>
      </c>
      <c r="AV275" s="58" t="str">
        <f t="shared" ref="AV275:AV338" si="217">IMPRODUCT(AC275,AS275)</f>
        <v>70.9131865813511+15.2597539140398i</v>
      </c>
      <c r="AW275" s="64">
        <f t="shared" si="205"/>
        <v>37.211128863576185</v>
      </c>
      <c r="AX275" s="61">
        <f t="shared" si="206"/>
        <v>12.144242736263177</v>
      </c>
    </row>
    <row r="276" spans="14:50" x14ac:dyDescent="0.3">
      <c r="N276" s="10">
        <v>58</v>
      </c>
      <c r="O276" s="50">
        <f t="shared" si="207"/>
        <v>3801.8939632056172</v>
      </c>
      <c r="P276" s="48" t="str">
        <f t="shared" si="208"/>
        <v>51201.9230769231</v>
      </c>
      <c r="Q276" s="17" t="str">
        <f t="shared" si="209"/>
        <v>1+1116.30481581608i</v>
      </c>
      <c r="R276" s="17">
        <f t="shared" ref="R276:R339" si="218">IMABS(Q276)</f>
        <v>1116.3052637223261</v>
      </c>
      <c r="S276" s="17">
        <f t="shared" ref="S276:S339" si="219">IMARGUMENT(Q276)</f>
        <v>1.5699005143623617</v>
      </c>
      <c r="T276" s="17" t="str">
        <f t="shared" si="210"/>
        <v>1+7.1664012867205E-08i</v>
      </c>
      <c r="U276" s="17">
        <f t="shared" ref="U276:U339" si="220">IMABS(T276)</f>
        <v>1.0000000000000027</v>
      </c>
      <c r="V276" s="17">
        <f t="shared" ref="V276:V339" si="221">IMARGUMENT(T276)</f>
        <v>7.1664012867204881E-8</v>
      </c>
      <c r="W276" s="31" t="str">
        <f t="shared" si="211"/>
        <v>1-0.0386985669482906i</v>
      </c>
      <c r="X276" s="17">
        <f t="shared" ref="X276:X339" si="222">IMABS(W276)</f>
        <v>1.0007485094087583</v>
      </c>
      <c r="Y276" s="17">
        <f t="shared" ref="Y276:Y339" si="223">IMARGUMENT(W276)</f>
        <v>-3.8679266233120797E-2</v>
      </c>
      <c r="Z276" s="31" t="str">
        <f t="shared" si="212"/>
        <v>0.994218240917016+2.36152607882455i</v>
      </c>
      <c r="AA276" s="17">
        <f t="shared" ref="AA276:AA339" si="224">IMABS(Z276)</f>
        <v>2.5622793234814547</v>
      </c>
      <c r="AB276" s="17">
        <f t="shared" ref="AB276:AB339" si="225">IMARGUMENT(Z276)</f>
        <v>1.1723129183521497</v>
      </c>
      <c r="AC276" s="66" t="str">
        <f t="shared" ref="AC276:AC339" si="226">(IMDIV(IMPRODUCT(P276,T276,W276),IMPRODUCT(Q276,Z276)))</f>
        <v>-16.7615894425387-6.32250954999687i</v>
      </c>
      <c r="AD276" s="64">
        <f t="shared" ref="AD276:AD339" si="227">20*LOG(IMABS(AC276))</f>
        <v>25.06403560228096</v>
      </c>
      <c r="AE276" s="61">
        <f t="shared" ref="AE276:AE339" si="228">(180/PI())*IMARGUMENT(AC276)</f>
        <v>-159.33341082239852</v>
      </c>
      <c r="AF276" s="31" t="str">
        <f t="shared" si="213"/>
        <v>-0.332666666666667</v>
      </c>
      <c r="AG276" s="31" t="str">
        <f t="shared" ref="AG276:AG339" si="229">COMPLEX(0,1*2*PI()*O276)</f>
        <v>23888.0042890683i</v>
      </c>
      <c r="AH276" s="31">
        <f t="shared" ref="AH276:AH339" si="230">IMABS(AG276)</f>
        <v>23888.0042890683</v>
      </c>
      <c r="AI276" s="31">
        <f t="shared" ref="AI276:AI339" si="231">IMARGUMENT(AG276)</f>
        <v>1.5707963267948966</v>
      </c>
      <c r="AJ276" s="31" t="str">
        <f t="shared" si="214"/>
        <v>-29.4452281157777+196.99163906566i</v>
      </c>
      <c r="AK276" s="31">
        <f t="shared" ref="AK276:AK339" si="232">IMABS(AJ276)</f>
        <v>199.18013786661925</v>
      </c>
      <c r="AL276" s="31">
        <f t="shared" ref="AL276:AL339" si="233">IMARGUMENT(AJ276)</f>
        <v>1.7191723051608603</v>
      </c>
      <c r="AM276" s="31" t="str">
        <f t="shared" si="215"/>
        <v>1+716717.525805947i</v>
      </c>
      <c r="AN276" s="31">
        <f t="shared" ref="AN276:AN339" si="234">IMABS(AM276)</f>
        <v>716717.5258066447</v>
      </c>
      <c r="AO276" s="31">
        <f t="shared" ref="AO276:AO339" si="235">IMARGUMENT(AM276)</f>
        <v>1.5707949315450751</v>
      </c>
      <c r="AP276" s="31" t="str">
        <f t="shared" si="216"/>
        <v>1+77.3971338965813i</v>
      </c>
      <c r="AQ276" s="31">
        <f t="shared" ref="AQ276:AQ339" si="236">IMABS(AP276)</f>
        <v>77.403593814533792</v>
      </c>
      <c r="AR276" s="31">
        <f t="shared" ref="AR276:AR339" si="237">IMARGUMENT(AP276)</f>
        <v>1.5578766706026539</v>
      </c>
      <c r="AS276" s="58" t="str">
        <f t="shared" ref="AS276:AS339" si="238">IMDIV(IMPRODUCT(AF276,AM276,AP276),IMPRODUCT(AG276,AJ276))</f>
        <v>-3.82840971452365+0.62292264599061i</v>
      </c>
      <c r="AT276" s="49">
        <f t="shared" ref="AT276:AT339" si="239">20*LOG(IMABS(AS276))</f>
        <v>11.773850783390873</v>
      </c>
      <c r="AU276" s="61">
        <f t="shared" ref="AU276:AU339" si="240">(180/PI())*IMARGUMENT(AS276)</f>
        <v>170.75836094400418</v>
      </c>
      <c r="AV276" s="58" t="str">
        <f t="shared" si="217"/>
        <v>68.1086662308572+13.7639833348221i</v>
      </c>
      <c r="AW276" s="64">
        <f t="shared" ref="AW276:AW339" si="241">20*LOG(IMABS(AV276))</f>
        <v>36.837886385671837</v>
      </c>
      <c r="AX276" s="61">
        <f t="shared" ref="AX276:AX339" si="242">(180/PI())*IMARGUMENT(AV276)</f>
        <v>11.424950121605653</v>
      </c>
    </row>
    <row r="277" spans="14:50" x14ac:dyDescent="0.3">
      <c r="N277" s="10">
        <v>59</v>
      </c>
      <c r="O277" s="50">
        <f t="shared" si="207"/>
        <v>3890.451449942811</v>
      </c>
      <c r="P277" s="48" t="str">
        <f t="shared" si="208"/>
        <v>51201.9230769231</v>
      </c>
      <c r="Q277" s="17" t="str">
        <f t="shared" si="209"/>
        <v>1+1142.30689527385i</v>
      </c>
      <c r="R277" s="17">
        <f t="shared" si="218"/>
        <v>1142.307332984509</v>
      </c>
      <c r="S277" s="17">
        <f t="shared" si="219"/>
        <v>1.5699209055322891</v>
      </c>
      <c r="T277" s="17" t="str">
        <f t="shared" si="210"/>
        <v>1+7.33332821657287E-08i</v>
      </c>
      <c r="U277" s="17">
        <f t="shared" si="220"/>
        <v>1.0000000000000027</v>
      </c>
      <c r="V277" s="17">
        <f t="shared" si="221"/>
        <v>7.3333282165728563E-8</v>
      </c>
      <c r="W277" s="31" t="str">
        <f t="shared" si="211"/>
        <v>1-0.0395999723694934i</v>
      </c>
      <c r="X277" s="17">
        <f t="shared" si="222"/>
        <v>1.0007837717567489</v>
      </c>
      <c r="Y277" s="17">
        <f t="shared" si="223"/>
        <v>-3.9579292155241724E-2</v>
      </c>
      <c r="Z277" s="31" t="str">
        <f t="shared" si="212"/>
        <v>0.993945755006255+2.41653308754941i</v>
      </c>
      <c r="AA277" s="17">
        <f t="shared" si="224"/>
        <v>2.6129600699429067</v>
      </c>
      <c r="AB277" s="17">
        <f t="shared" si="225"/>
        <v>1.1805775905137552</v>
      </c>
      <c r="AC277" s="66" t="str">
        <f t="shared" si="226"/>
        <v>-16.1178831129903-5.91117309291083i</v>
      </c>
      <c r="AD277" s="64">
        <f t="shared" si="227"/>
        <v>24.694215788268167</v>
      </c>
      <c r="AE277" s="61">
        <f t="shared" si="228"/>
        <v>-159.85967757544168</v>
      </c>
      <c r="AF277" s="31" t="str">
        <f t="shared" si="213"/>
        <v>-0.332666666666667</v>
      </c>
      <c r="AG277" s="31" t="str">
        <f t="shared" si="229"/>
        <v>24444.4273885762i</v>
      </c>
      <c r="AH277" s="31">
        <f t="shared" si="230"/>
        <v>24444.427388576201</v>
      </c>
      <c r="AI277" s="31">
        <f t="shared" si="231"/>
        <v>1.5707963267948966</v>
      </c>
      <c r="AJ277" s="31" t="str">
        <f t="shared" si="214"/>
        <v>-30.8800675119527+201.58016379379i</v>
      </c>
      <c r="AK277" s="31">
        <f t="shared" si="232"/>
        <v>203.93170671740566</v>
      </c>
      <c r="AL277" s="31">
        <f t="shared" si="233"/>
        <v>1.7228046201660594</v>
      </c>
      <c r="AM277" s="31" t="str">
        <f t="shared" si="215"/>
        <v>1+733412.021602026i</v>
      </c>
      <c r="AN277" s="31">
        <f t="shared" si="234"/>
        <v>733412.02160270768</v>
      </c>
      <c r="AO277" s="31">
        <f t="shared" si="235"/>
        <v>1.5707949633048384</v>
      </c>
      <c r="AP277" s="31" t="str">
        <f t="shared" si="216"/>
        <v>1+79.1999447389869i</v>
      </c>
      <c r="AQ277" s="31">
        <f t="shared" si="236"/>
        <v>79.206257623110673</v>
      </c>
      <c r="AR277" s="31">
        <f t="shared" si="237"/>
        <v>1.5581707262661606</v>
      </c>
      <c r="AS277" s="58" t="str">
        <f t="shared" si="238"/>
        <v>-3.82419187802676+0.635347529448099i</v>
      </c>
      <c r="AT277" s="49">
        <f t="shared" si="239"/>
        <v>11.769043653627708</v>
      </c>
      <c r="AU277" s="61">
        <f t="shared" si="240"/>
        <v>170.56709459250544</v>
      </c>
      <c r="AV277" s="58" t="str">
        <f t="shared" si="217"/>
        <v>65.3935269124031+12.3650029157483i</v>
      </c>
      <c r="AW277" s="64">
        <f t="shared" si="241"/>
        <v>36.463259441895872</v>
      </c>
      <c r="AX277" s="61">
        <f t="shared" si="242"/>
        <v>10.707417017063797</v>
      </c>
    </row>
    <row r="278" spans="14:50" x14ac:dyDescent="0.3">
      <c r="N278" s="10">
        <v>60</v>
      </c>
      <c r="O278" s="50">
        <f t="shared" si="207"/>
        <v>3981.0717055349769</v>
      </c>
      <c r="P278" s="48" t="str">
        <f t="shared" si="208"/>
        <v>51201.9230769231</v>
      </c>
      <c r="Q278" s="17" t="str">
        <f t="shared" si="209"/>
        <v>1+1168.91464096771i</v>
      </c>
      <c r="R278" s="17">
        <f t="shared" si="218"/>
        <v>1168.9150687148619</v>
      </c>
      <c r="S278" s="17">
        <f t="shared" si="219"/>
        <v>1.5699408325432245</v>
      </c>
      <c r="T278" s="17" t="str">
        <f t="shared" si="210"/>
        <v>1+7.50414337411372E-08i</v>
      </c>
      <c r="U278" s="17">
        <f t="shared" si="220"/>
        <v>1.0000000000000027</v>
      </c>
      <c r="V278" s="17">
        <f t="shared" si="221"/>
        <v>7.5041433741137059E-8</v>
      </c>
      <c r="W278" s="31" t="str">
        <f t="shared" si="211"/>
        <v>1-0.040522374220214i</v>
      </c>
      <c r="X278" s="17">
        <f t="shared" si="222"/>
        <v>1.0008206946363785</v>
      </c>
      <c r="Y278" s="17">
        <f t="shared" si="223"/>
        <v>-4.0500215952687789E-2</v>
      </c>
      <c r="Z278" s="31" t="str">
        <f t="shared" si="212"/>
        <v>0.993660427230156+2.47282137410388i</v>
      </c>
      <c r="AA278" s="17">
        <f t="shared" si="224"/>
        <v>2.6649965465021181</v>
      </c>
      <c r="AB278" s="17">
        <f t="shared" si="225"/>
        <v>1.188711056658923</v>
      </c>
      <c r="AC278" s="66" t="str">
        <f t="shared" si="226"/>
        <v>-15.4947735286479-5.52365859382378i</v>
      </c>
      <c r="AD278" s="64">
        <f t="shared" si="227"/>
        <v>24.323258839379449</v>
      </c>
      <c r="AE278" s="61">
        <f t="shared" si="228"/>
        <v>-160.37959754097429</v>
      </c>
      <c r="AF278" s="31" t="str">
        <f t="shared" si="213"/>
        <v>-0.332666666666667</v>
      </c>
      <c r="AG278" s="31" t="str">
        <f t="shared" si="229"/>
        <v>25013.8112470457i</v>
      </c>
      <c r="AH278" s="31">
        <f t="shared" si="230"/>
        <v>25013.811247045702</v>
      </c>
      <c r="AI278" s="31">
        <f t="shared" si="231"/>
        <v>1.5707963267948966</v>
      </c>
      <c r="AJ278" s="31" t="str">
        <f t="shared" si="214"/>
        <v>-32.3825288055555+206.275568992992i</v>
      </c>
      <c r="AK278" s="31">
        <f t="shared" si="232"/>
        <v>208.8019121924539</v>
      </c>
      <c r="AL278" s="31">
        <f t="shared" si="233"/>
        <v>1.7265121681597506</v>
      </c>
      <c r="AM278" s="31" t="str">
        <f t="shared" si="215"/>
        <v>1+750495.382159813i</v>
      </c>
      <c r="AN278" s="31">
        <f t="shared" si="234"/>
        <v>750495.3821604792</v>
      </c>
      <c r="AO278" s="31">
        <f t="shared" si="235"/>
        <v>1.5707949943416615</v>
      </c>
      <c r="AP278" s="31" t="str">
        <f t="shared" si="216"/>
        <v>1+81.0447484404281i</v>
      </c>
      <c r="AQ278" s="31">
        <f t="shared" si="236"/>
        <v>81.050917636830448</v>
      </c>
      <c r="AR278" s="31">
        <f t="shared" si="237"/>
        <v>1.5584580905155259</v>
      </c>
      <c r="AS278" s="58" t="str">
        <f t="shared" si="238"/>
        <v>-3.81978582635975+0.648048049925335i</v>
      </c>
      <c r="AT278" s="49">
        <f t="shared" si="239"/>
        <v>11.76401814304935</v>
      </c>
      <c r="AU278" s="61">
        <f t="shared" si="240"/>
        <v>170.3711342770753</v>
      </c>
      <c r="AV278" s="58" t="str">
        <f t="shared" si="217"/>
        <v>62.7663124875643+11.0578350370633i</v>
      </c>
      <c r="AW278" s="64">
        <f t="shared" si="241"/>
        <v>36.087276982428797</v>
      </c>
      <c r="AX278" s="61">
        <f t="shared" si="242"/>
        <v>9.9915367361009864</v>
      </c>
    </row>
    <row r="279" spans="14:50" x14ac:dyDescent="0.3">
      <c r="N279" s="10">
        <v>61</v>
      </c>
      <c r="O279" s="50">
        <f t="shared" si="207"/>
        <v>4073.8027780411317</v>
      </c>
      <c r="P279" s="48" t="str">
        <f t="shared" si="208"/>
        <v>51201.9230769231</v>
      </c>
      <c r="Q279" s="17" t="str">
        <f t="shared" si="209"/>
        <v>1+1196.14216067664i</v>
      </c>
      <c r="R279" s="17">
        <f t="shared" si="218"/>
        <v>1196.1425786870816</v>
      </c>
      <c r="S279" s="17">
        <f t="shared" si="219"/>
        <v>1.5699603059606695</v>
      </c>
      <c r="T279" s="17" t="str">
        <f t="shared" si="210"/>
        <v>1+7.67893732780063E-08i</v>
      </c>
      <c r="U279" s="17">
        <f t="shared" si="220"/>
        <v>1.0000000000000031</v>
      </c>
      <c r="V279" s="17">
        <f t="shared" si="221"/>
        <v>7.6789373278006156E-8</v>
      </c>
      <c r="W279" s="31" t="str">
        <f t="shared" si="211"/>
        <v>1-0.0414662615701233i</v>
      </c>
      <c r="X279" s="17">
        <f t="shared" si="222"/>
        <v>1.0008593561777808</v>
      </c>
      <c r="Y279" s="17">
        <f t="shared" si="223"/>
        <v>-4.1442519659594834E-2</v>
      </c>
      <c r="Z279" s="31" t="str">
        <f t="shared" si="212"/>
        <v>0.99336165237025+2.53042078328257i</v>
      </c>
      <c r="AA279" s="17">
        <f t="shared" si="224"/>
        <v>2.718418053366356</v>
      </c>
      <c r="AB279" s="17">
        <f t="shared" si="225"/>
        <v>1.1967134158516186</v>
      </c>
      <c r="AC279" s="66" t="str">
        <f t="shared" si="226"/>
        <v>-14.8919174468191-5.15876684638825i</v>
      </c>
      <c r="AD279" s="64">
        <f t="shared" si="227"/>
        <v>23.951202607101699</v>
      </c>
      <c r="AE279" s="61">
        <f t="shared" si="228"/>
        <v>-160.89320461877145</v>
      </c>
      <c r="AF279" s="31" t="str">
        <f t="shared" si="213"/>
        <v>-0.332666666666667</v>
      </c>
      <c r="AG279" s="31" t="str">
        <f t="shared" si="229"/>
        <v>25596.4577593354i</v>
      </c>
      <c r="AH279" s="31">
        <f t="shared" si="230"/>
        <v>25596.457759335401</v>
      </c>
      <c r="AI279" s="31">
        <f t="shared" si="231"/>
        <v>1.5707963267948966</v>
      </c>
      <c r="AJ279" s="31" t="str">
        <f t="shared" si="214"/>
        <v>-33.9557989184287+211.080344229254i</v>
      </c>
      <c r="AK279" s="31">
        <f t="shared" si="232"/>
        <v>213.79407849641001</v>
      </c>
      <c r="AL279" s="31">
        <f t="shared" si="233"/>
        <v>1.7302965431795936</v>
      </c>
      <c r="AM279" s="31" t="str">
        <f t="shared" si="215"/>
        <v>1+767976.665303203i</v>
      </c>
      <c r="AN279" s="31">
        <f t="shared" si="234"/>
        <v>767976.66530385416</v>
      </c>
      <c r="AO279" s="31">
        <f t="shared" si="235"/>
        <v>1.5707950246719999</v>
      </c>
      <c r="AP279" s="31" t="str">
        <f t="shared" si="216"/>
        <v>1+82.9325231402467i</v>
      </c>
      <c r="AQ279" s="31">
        <f t="shared" si="236"/>
        <v>82.938551918921007</v>
      </c>
      <c r="AR279" s="31">
        <f t="shared" si="237"/>
        <v>1.558738915525129</v>
      </c>
      <c r="AS279" s="58" t="str">
        <f t="shared" si="238"/>
        <v>-3.81518357927888+0.661026788848428i</v>
      </c>
      <c r="AT279" s="49">
        <f t="shared" si="239"/>
        <v>11.758764374450074</v>
      </c>
      <c r="AU279" s="61">
        <f t="shared" si="240"/>
        <v>170.17039738597595</v>
      </c>
      <c r="AV279" s="58" t="str">
        <f t="shared" si="217"/>
        <v>60.2254819899667+9.83768619200204i</v>
      </c>
      <c r="AW279" s="64">
        <f t="shared" si="241"/>
        <v>35.70996698155178</v>
      </c>
      <c r="AX279" s="61">
        <f t="shared" si="242"/>
        <v>9.277192767204486</v>
      </c>
    </row>
    <row r="280" spans="14:50" x14ac:dyDescent="0.3">
      <c r="N280" s="10">
        <v>62</v>
      </c>
      <c r="O280" s="50">
        <f t="shared" si="207"/>
        <v>4168.6938347033583</v>
      </c>
      <c r="P280" s="48" t="str">
        <f t="shared" si="208"/>
        <v>51201.9230769231</v>
      </c>
      <c r="Q280" s="17" t="str">
        <f t="shared" si="209"/>
        <v>1+1224.00389079196i</v>
      </c>
      <c r="R280" s="17">
        <f t="shared" si="218"/>
        <v>1224.0042992873252</v>
      </c>
      <c r="S280" s="17">
        <f t="shared" si="219"/>
        <v>1.5699793361096286</v>
      </c>
      <c r="T280" s="17" t="str">
        <f t="shared" si="210"/>
        <v>1+7.8578027557015E-08i</v>
      </c>
      <c r="U280" s="17">
        <f t="shared" si="220"/>
        <v>1.0000000000000031</v>
      </c>
      <c r="V280" s="17">
        <f t="shared" si="221"/>
        <v>7.8578027557014844E-8</v>
      </c>
      <c r="W280" s="31" t="str">
        <f t="shared" si="211"/>
        <v>1-0.042432134880788i</v>
      </c>
      <c r="X280" s="17">
        <f t="shared" si="222"/>
        <v>1.0008998381808949</v>
      </c>
      <c r="Y280" s="17">
        <f t="shared" si="223"/>
        <v>-4.2406696200400149E-2</v>
      </c>
      <c r="Z280" s="31" t="str">
        <f t="shared" si="212"/>
        <v>0.993048796685002+2.58936185505464i</v>
      </c>
      <c r="AA280" s="17">
        <f t="shared" si="224"/>
        <v>2.7732545373639144</v>
      </c>
      <c r="AB280" s="17">
        <f t="shared" si="225"/>
        <v>1.2045849015727501</v>
      </c>
      <c r="AC280" s="66" t="str">
        <f t="shared" si="226"/>
        <v>-14.3089519601217-4.81534394542928i</v>
      </c>
      <c r="AD280" s="64">
        <f t="shared" si="227"/>
        <v>23.578084327376637</v>
      </c>
      <c r="AE280" s="61">
        <f t="shared" si="228"/>
        <v>-161.40054102031999</v>
      </c>
      <c r="AF280" s="31" t="str">
        <f t="shared" si="213"/>
        <v>-0.332666666666667</v>
      </c>
      <c r="AG280" s="31" t="str">
        <f t="shared" si="229"/>
        <v>26192.6758523383i</v>
      </c>
      <c r="AH280" s="31">
        <f t="shared" si="230"/>
        <v>26192.6758523383</v>
      </c>
      <c r="AI280" s="31">
        <f t="shared" si="231"/>
        <v>1.5707963267948966</v>
      </c>
      <c r="AJ280" s="31" t="str">
        <f t="shared" si="214"/>
        <v>-35.6032149674137+215.997037058004i</v>
      </c>
      <c r="AK280" s="31">
        <f t="shared" si="232"/>
        <v>218.91164640980759</v>
      </c>
      <c r="AL280" s="31">
        <f t="shared" si="233"/>
        <v>1.7341593548176741</v>
      </c>
      <c r="AM280" s="31" t="str">
        <f t="shared" si="215"/>
        <v>1+785865.139839912i</v>
      </c>
      <c r="AN280" s="31">
        <f t="shared" si="234"/>
        <v>785865.13984054816</v>
      </c>
      <c r="AO280" s="31">
        <f t="shared" si="235"/>
        <v>1.5707950543119358</v>
      </c>
      <c r="AP280" s="31" t="str">
        <f t="shared" si="216"/>
        <v>1+84.8642697615761i</v>
      </c>
      <c r="AQ280" s="31">
        <f t="shared" si="236"/>
        <v>84.870161318130883</v>
      </c>
      <c r="AR280" s="31">
        <f t="shared" si="237"/>
        <v>1.5590133500148331</v>
      </c>
      <c r="AS280" s="58" t="str">
        <f t="shared" si="238"/>
        <v>-3.81037686508947+0.674286204562745i</v>
      </c>
      <c r="AT280" s="49">
        <f t="shared" si="239"/>
        <v>11.753272059267559</v>
      </c>
      <c r="AU280" s="61">
        <f t="shared" si="240"/>
        <v>169.96480021831601</v>
      </c>
      <c r="AV280" s="58" t="str">
        <f t="shared" si="217"/>
        <v>57.7694195051521+8.69994625865127i</v>
      </c>
      <c r="AW280" s="64">
        <f t="shared" si="241"/>
        <v>35.331356386644202</v>
      </c>
      <c r="AX280" s="61">
        <f t="shared" si="242"/>
        <v>8.5642591979960105</v>
      </c>
    </row>
    <row r="281" spans="14:50" x14ac:dyDescent="0.3">
      <c r="N281" s="10">
        <v>63</v>
      </c>
      <c r="O281" s="50">
        <f t="shared" si="207"/>
        <v>4265.7951880159299</v>
      </c>
      <c r="P281" s="48" t="str">
        <f t="shared" si="208"/>
        <v>51201.9230769231</v>
      </c>
      <c r="Q281" s="17" t="str">
        <f t="shared" si="209"/>
        <v>1+1252.51460397179i</v>
      </c>
      <c r="R281" s="17">
        <f t="shared" si="218"/>
        <v>1252.5150031686687</v>
      </c>
      <c r="S281" s="17">
        <f t="shared" si="219"/>
        <v>1.5699979330800837</v>
      </c>
      <c r="T281" s="17" t="str">
        <f t="shared" si="210"/>
        <v>1+8.04083449463374E-08i</v>
      </c>
      <c r="U281" s="17">
        <f t="shared" si="220"/>
        <v>1.0000000000000031</v>
      </c>
      <c r="V281" s="17">
        <f t="shared" si="221"/>
        <v>8.0408344946337229E-8</v>
      </c>
      <c r="W281" s="31" t="str">
        <f t="shared" si="211"/>
        <v>1-0.0434205062710221i</v>
      </c>
      <c r="X281" s="17">
        <f t="shared" si="222"/>
        <v>1.0009422262872276</v>
      </c>
      <c r="Y281" s="17">
        <f t="shared" si="223"/>
        <v>-4.3393249619512804E-2</v>
      </c>
      <c r="Z281" s="31" t="str">
        <f t="shared" si="212"/>
        <v>0.99272119656556+2.6496758407565i</v>
      </c>
      <c r="AA281" s="17">
        <f t="shared" si="224"/>
        <v>2.8295366113904983</v>
      </c>
      <c r="AB281" s="17">
        <f t="shared" si="225"/>
        <v>1.2123258748617689</v>
      </c>
      <c r="AC281" s="66" t="str">
        <f t="shared" si="226"/>
        <v>-13.7454968697962-4.49228094229197i</v>
      </c>
      <c r="AD281" s="64">
        <f t="shared" si="227"/>
        <v>23.203940588883295</v>
      </c>
      <c r="AE281" s="61">
        <f t="shared" si="228"/>
        <v>-161.90165688933291</v>
      </c>
      <c r="AF281" s="31" t="str">
        <f t="shared" si="213"/>
        <v>-0.332666666666667</v>
      </c>
      <c r="AG281" s="31" t="str">
        <f t="shared" si="229"/>
        <v>26802.7816487791i</v>
      </c>
      <c r="AH281" s="31">
        <f t="shared" si="230"/>
        <v>26802.781648779099</v>
      </c>
      <c r="AI281" s="31">
        <f t="shared" si="231"/>
        <v>1.5707963267948966</v>
      </c>
      <c r="AJ281" s="31" t="str">
        <f t="shared" si="214"/>
        <v>-37.3282713428228+221.028254374862i</v>
      </c>
      <c r="AK281" s="31">
        <f t="shared" si="232"/>
        <v>224.15817868960775</v>
      </c>
      <c r="AL281" s="31">
        <f t="shared" si="233"/>
        <v>1.7381022274368709</v>
      </c>
      <c r="AM281" s="31" t="str">
        <f t="shared" si="215"/>
        <v>1+804170.290475916i</v>
      </c>
      <c r="AN281" s="31">
        <f t="shared" si="234"/>
        <v>804170.29047653778</v>
      </c>
      <c r="AO281" s="31">
        <f t="shared" si="235"/>
        <v>1.5707950832771842</v>
      </c>
      <c r="AP281" s="31" t="str">
        <f t="shared" si="216"/>
        <v>1+86.8410125420443i</v>
      </c>
      <c r="AQ281" s="31">
        <f t="shared" si="236"/>
        <v>86.84676999939316</v>
      </c>
      <c r="AR281" s="31">
        <f t="shared" si="237"/>
        <v>1.5592815393279911</v>
      </c>
      <c r="AS281" s="58" t="str">
        <f t="shared" si="238"/>
        <v>-3.80535711413695+0.687828617308829i</v>
      </c>
      <c r="AT281" s="49">
        <f t="shared" si="239"/>
        <v>11.747530482399799</v>
      </c>
      <c r="AU281" s="61">
        <f t="shared" si="240"/>
        <v>169.75425803341926</v>
      </c>
      <c r="AV281" s="58" t="str">
        <f t="shared" si="217"/>
        <v>55.3964436899256+7.64018713627783i</v>
      </c>
      <c r="AW281" s="64">
        <f t="shared" si="241"/>
        <v>34.951471071283088</v>
      </c>
      <c r="AX281" s="61">
        <f t="shared" si="242"/>
        <v>7.8526011440863499</v>
      </c>
    </row>
    <row r="282" spans="14:50" x14ac:dyDescent="0.3">
      <c r="N282" s="10">
        <v>64</v>
      </c>
      <c r="O282" s="50">
        <f t="shared" si="207"/>
        <v>4365.1583224016631</v>
      </c>
      <c r="P282" s="48" t="str">
        <f t="shared" si="208"/>
        <v>51201.9230769231</v>
      </c>
      <c r="Q282" s="17" t="str">
        <f t="shared" si="209"/>
        <v>1+1281.68941697364i</v>
      </c>
      <c r="R282" s="17">
        <f t="shared" si="218"/>
        <v>1281.689807083691</v>
      </c>
      <c r="S282" s="17">
        <f t="shared" si="219"/>
        <v>1.570016106732343</v>
      </c>
      <c r="T282" s="17" t="str">
        <f t="shared" si="210"/>
        <v>1+8.22812959044805E-08i</v>
      </c>
      <c r="U282" s="17">
        <f t="shared" si="220"/>
        <v>1.0000000000000033</v>
      </c>
      <c r="V282" s="17">
        <f t="shared" si="221"/>
        <v>8.2281295904480315E-8</v>
      </c>
      <c r="W282" s="31" t="str">
        <f t="shared" si="211"/>
        <v>1-0.0444318997884194i</v>
      </c>
      <c r="X282" s="17">
        <f t="shared" si="222"/>
        <v>1.0009866101596006</v>
      </c>
      <c r="Y282" s="17">
        <f t="shared" si="223"/>
        <v>-4.4402695314636503E-2</v>
      </c>
      <c r="Z282" s="31" t="str">
        <f t="shared" si="212"/>
        <v>0.992378157128147+2.71139471966174i</v>
      </c>
      <c r="AA282" s="17">
        <f t="shared" si="224"/>
        <v>2.8872955741583892</v>
      </c>
      <c r="AB282" s="17">
        <f t="shared" si="225"/>
        <v>1.2199368174874952</v>
      </c>
      <c r="AC282" s="66" t="str">
        <f t="shared" si="226"/>
        <v>-13.2011569610245-4.188513360267i</v>
      </c>
      <c r="AD282" s="64">
        <f t="shared" si="227"/>
        <v>22.828807305589798</v>
      </c>
      <c r="AE282" s="61">
        <f t="shared" si="228"/>
        <v>-162.39660992414207</v>
      </c>
      <c r="AF282" s="31" t="str">
        <f t="shared" si="213"/>
        <v>-0.332666666666667</v>
      </c>
      <c r="AG282" s="31" t="str">
        <f t="shared" si="229"/>
        <v>27427.0986348268i</v>
      </c>
      <c r="AH282" s="31">
        <f t="shared" si="230"/>
        <v>27427.098634826802</v>
      </c>
      <c r="AI282" s="31">
        <f t="shared" si="231"/>
        <v>1.5707963267948966</v>
      </c>
      <c r="AJ282" s="31" t="str">
        <f t="shared" si="214"/>
        <v>-39.1346271205108+226.176663797844i</v>
      </c>
      <c r="AK282" s="31">
        <f t="shared" si="232"/>
        <v>229.53736577425553</v>
      </c>
      <c r="AL282" s="31">
        <f t="shared" si="233"/>
        <v>1.7421267992967246</v>
      </c>
      <c r="AM282" s="31" t="str">
        <f t="shared" si="215"/>
        <v>1+822901.822844382i</v>
      </c>
      <c r="AN282" s="31">
        <f t="shared" si="234"/>
        <v>822901.82284498971</v>
      </c>
      <c r="AO282" s="31">
        <f t="shared" si="235"/>
        <v>1.5707951115831031</v>
      </c>
      <c r="AP282" s="31" t="str">
        <f t="shared" si="216"/>
        <v>1+88.8637995768388i</v>
      </c>
      <c r="AQ282" s="31">
        <f t="shared" si="236"/>
        <v>88.869425986852065</v>
      </c>
      <c r="AR282" s="31">
        <f t="shared" si="237"/>
        <v>1.5595436255077211</v>
      </c>
      <c r="AS282" s="58" t="str">
        <f t="shared" si="238"/>
        <v>-3.8001154525931+0.701656193293074i</v>
      </c>
      <c r="AT282" s="49">
        <f t="shared" si="239"/>
        <v>11.741528486704647</v>
      </c>
      <c r="AU282" s="61">
        <f t="shared" si="240"/>
        <v>169.53868510527943</v>
      </c>
      <c r="AV282" s="58" t="str">
        <f t="shared" si="217"/>
        <v>53.1048168996183+6.65416080340646i</v>
      </c>
      <c r="AW282" s="64">
        <f t="shared" si="241"/>
        <v>34.570335792294451</v>
      </c>
      <c r="AX282" s="61">
        <f t="shared" si="242"/>
        <v>7.1420751811373453</v>
      </c>
    </row>
    <row r="283" spans="14:50" x14ac:dyDescent="0.3">
      <c r="N283" s="10">
        <v>65</v>
      </c>
      <c r="O283" s="50">
        <f t="shared" si="207"/>
        <v>4466.8359215096343</v>
      </c>
      <c r="P283" s="48" t="str">
        <f t="shared" si="208"/>
        <v>51201.9230769231</v>
      </c>
      <c r="Q283" s="17" t="str">
        <f t="shared" si="209"/>
        <v>1+1311.54379866953i</v>
      </c>
      <c r="R283" s="17">
        <f t="shared" si="218"/>
        <v>1311.5441798995946</v>
      </c>
      <c r="S283" s="17">
        <f t="shared" si="219"/>
        <v>1.5700338667022695</v>
      </c>
      <c r="T283" s="17" t="str">
        <f t="shared" si="210"/>
        <v>1+8.4197873494834E-08i</v>
      </c>
      <c r="U283" s="17">
        <f t="shared" si="220"/>
        <v>1.0000000000000036</v>
      </c>
      <c r="V283" s="17">
        <f t="shared" si="221"/>
        <v>8.4197873494833802E-8</v>
      </c>
      <c r="W283" s="31" t="str">
        <f t="shared" si="211"/>
        <v>1-0.0454668516872103i</v>
      </c>
      <c r="X283" s="17">
        <f t="shared" si="222"/>
        <v>1.0010330836702386</v>
      </c>
      <c r="Y283" s="17">
        <f t="shared" si="223"/>
        <v>-4.5435560273710214E-2</v>
      </c>
      <c r="Z283" s="31" t="str">
        <f t="shared" si="212"/>
        <v>0.992018950740124+2.7745512159369i</v>
      </c>
      <c r="AA283" s="17">
        <f t="shared" si="224"/>
        <v>2.9465634302496304</v>
      </c>
      <c r="AB283" s="17">
        <f t="shared" si="225"/>
        <v>1.2274183251772322</v>
      </c>
      <c r="AC283" s="66" t="str">
        <f t="shared" si="226"/>
        <v>-12.6755241742909-3.90302058387451i</v>
      </c>
      <c r="AD283" s="64">
        <f t="shared" si="227"/>
        <v>22.452719693392929</v>
      </c>
      <c r="AE283" s="61">
        <f t="shared" si="228"/>
        <v>-162.88546500362983</v>
      </c>
      <c r="AF283" s="31" t="str">
        <f t="shared" si="213"/>
        <v>-0.332666666666667</v>
      </c>
      <c r="AG283" s="31" t="str">
        <f t="shared" si="229"/>
        <v>28065.9578316113i</v>
      </c>
      <c r="AH283" s="31">
        <f t="shared" si="230"/>
        <v>28065.9578316113</v>
      </c>
      <c r="AI283" s="31">
        <f t="shared" si="231"/>
        <v>1.5707963267948966</v>
      </c>
      <c r="AJ283" s="31" t="str">
        <f t="shared" si="214"/>
        <v>-41.0261138232647+231.444995081774i</v>
      </c>
      <c r="AK283" s="31">
        <f t="shared" si="232"/>
        <v>235.0530318116358</v>
      </c>
      <c r="AL283" s="31">
        <f t="shared" si="233"/>
        <v>1.746234721583354</v>
      </c>
      <c r="AM283" s="31" t="str">
        <f t="shared" si="215"/>
        <v>1+842069.668651715i</v>
      </c>
      <c r="AN283" s="31">
        <f t="shared" si="234"/>
        <v>842069.66865230887</v>
      </c>
      <c r="AO283" s="31">
        <f t="shared" si="235"/>
        <v>1.5707951392447006</v>
      </c>
      <c r="AP283" s="31" t="str">
        <f t="shared" si="216"/>
        <v>1+90.9337033744206i</v>
      </c>
      <c r="AQ283" s="31">
        <f t="shared" si="236"/>
        <v>90.939201719539597</v>
      </c>
      <c r="AR283" s="31">
        <f t="shared" si="237"/>
        <v>1.559799747371482</v>
      </c>
      <c r="AS283" s="58" t="str">
        <f t="shared" si="238"/>
        <v>-3.79464269659441+0.715770927820543i</v>
      </c>
      <c r="AT283" s="49">
        <f t="shared" si="239"/>
        <v>11.735254457196593</v>
      </c>
      <c r="AU283" s="61">
        <f t="shared" si="240"/>
        <v>169.31799478241518</v>
      </c>
      <c r="AV283" s="58" t="str">
        <f t="shared" si="217"/>
        <v>50.8927538981014+5.73779685441314i</v>
      </c>
      <c r="AW283" s="64">
        <f t="shared" si="241"/>
        <v>34.187974150589532</v>
      </c>
      <c r="AX283" s="61">
        <f t="shared" si="242"/>
        <v>6.4325297787853586</v>
      </c>
    </row>
    <row r="284" spans="14:50" x14ac:dyDescent="0.3">
      <c r="N284" s="10">
        <v>66</v>
      </c>
      <c r="O284" s="50">
        <f t="shared" ref="O284:O318" si="243">10^(3+(N284/100))</f>
        <v>4570.8818961487532</v>
      </c>
      <c r="P284" s="48" t="str">
        <f t="shared" si="208"/>
        <v>51201.9230769231</v>
      </c>
      <c r="Q284" s="17" t="str">
        <f t="shared" si="209"/>
        <v>1+1342.09357824781i</v>
      </c>
      <c r="R284" s="17">
        <f t="shared" si="218"/>
        <v>1342.0939508000213</v>
      </c>
      <c r="S284" s="17">
        <f t="shared" si="219"/>
        <v>1.5700512224063894</v>
      </c>
      <c r="T284" s="17" t="str">
        <f t="shared" si="210"/>
        <v>1+8.61590939122051E-08i</v>
      </c>
      <c r="U284" s="17">
        <f t="shared" si="220"/>
        <v>1.0000000000000036</v>
      </c>
      <c r="V284" s="17">
        <f t="shared" si="221"/>
        <v>8.6159093912204884E-8</v>
      </c>
      <c r="W284" s="31" t="str">
        <f t="shared" si="211"/>
        <v>1-0.0465259107125907i</v>
      </c>
      <c r="X284" s="17">
        <f t="shared" si="222"/>
        <v>1.00108174509759</v>
      </c>
      <c r="Y284" s="17">
        <f t="shared" si="223"/>
        <v>-4.6492383315424102E-2</v>
      </c>
      <c r="Z284" s="31" t="str">
        <f t="shared" si="212"/>
        <v>0.991642815476584+2.83917881599227i</v>
      </c>
      <c r="AA284" s="17">
        <f t="shared" si="224"/>
        <v>3.0073729104761178</v>
      </c>
      <c r="AB284" s="17">
        <f t="shared" si="225"/>
        <v>1.2347711009304014</v>
      </c>
      <c r="AC284" s="66" t="str">
        <f t="shared" si="226"/>
        <v>-12.1681796682818-3.63482513552435i</v>
      </c>
      <c r="AD284" s="64">
        <f t="shared" si="227"/>
        <v>22.075712250657105</v>
      </c>
      <c r="AE284" s="61">
        <f t="shared" si="228"/>
        <v>-163.36829381820195</v>
      </c>
      <c r="AF284" s="31" t="str">
        <f t="shared" si="213"/>
        <v>-0.332666666666667</v>
      </c>
      <c r="AG284" s="31" t="str">
        <f t="shared" si="229"/>
        <v>28719.697970735i</v>
      </c>
      <c r="AH284" s="31">
        <f t="shared" si="230"/>
        <v>28719.697970735</v>
      </c>
      <c r="AI284" s="31">
        <f t="shared" si="231"/>
        <v>1.5707963267948966</v>
      </c>
      <c r="AJ284" s="31" t="str">
        <f t="shared" si="214"/>
        <v>-43.006743547977+236.836041565633i</v>
      </c>
      <c r="AK284" s="31">
        <f t="shared" si="232"/>
        <v>240.70914102933381</v>
      </c>
      <c r="AL284" s="31">
        <f t="shared" si="233"/>
        <v>1.7504276573378355</v>
      </c>
      <c r="AM284" s="31" t="str">
        <f t="shared" si="215"/>
        <v>1+861683.990943476i</v>
      </c>
      <c r="AN284" s="31">
        <f t="shared" si="234"/>
        <v>861683.99094405607</v>
      </c>
      <c r="AO284" s="31">
        <f t="shared" si="235"/>
        <v>1.5707951662766435</v>
      </c>
      <c r="AP284" s="31" t="str">
        <f t="shared" si="216"/>
        <v>1+93.0518214251814i</v>
      </c>
      <c r="AQ284" s="31">
        <f t="shared" si="236"/>
        <v>93.057194619996196</v>
      </c>
      <c r="AR284" s="31">
        <f t="shared" si="237"/>
        <v>1.5600500405839897</v>
      </c>
      <c r="AS284" s="58" t="str">
        <f t="shared" si="238"/>
        <v>-3.78892934679559+0.730174627458968i</v>
      </c>
      <c r="AT284" s="49">
        <f t="shared" si="239"/>
        <v>11.728696304960824</v>
      </c>
      <c r="AU284" s="61">
        <f t="shared" si="240"/>
        <v>169.09209955344755</v>
      </c>
      <c r="AV284" s="58" t="str">
        <f t="shared" si="217"/>
        <v>48.7584301314443+4.88719957031702i</v>
      </c>
      <c r="AW284" s="64">
        <f t="shared" si="241"/>
        <v>33.804408555617925</v>
      </c>
      <c r="AX284" s="61">
        <f t="shared" si="242"/>
        <v>5.7238057352456133</v>
      </c>
    </row>
    <row r="285" spans="14:50" x14ac:dyDescent="0.3">
      <c r="N285" s="10">
        <v>67</v>
      </c>
      <c r="O285" s="50">
        <f t="shared" si="243"/>
        <v>4677.3514128719844</v>
      </c>
      <c r="P285" s="48" t="str">
        <f t="shared" si="208"/>
        <v>51201.9230769231</v>
      </c>
      <c r="Q285" s="17" t="str">
        <f t="shared" si="209"/>
        <v>1+1373.35495360598i</v>
      </c>
      <c r="R285" s="17">
        <f t="shared" si="218"/>
        <v>1373.3553176778701</v>
      </c>
      <c r="S285" s="17">
        <f t="shared" si="219"/>
        <v>1.570068183046885</v>
      </c>
      <c r="T285" s="17" t="str">
        <f t="shared" si="210"/>
        <v>1+8.81659970216188E-08i</v>
      </c>
      <c r="U285" s="17">
        <f t="shared" si="220"/>
        <v>1.000000000000004</v>
      </c>
      <c r="V285" s="17">
        <f t="shared" si="221"/>
        <v>8.816599702161857E-8</v>
      </c>
      <c r="W285" s="31" t="str">
        <f t="shared" si="211"/>
        <v>1-0.0476096383916741i</v>
      </c>
      <c r="X285" s="17">
        <f t="shared" si="222"/>
        <v>1.0011326973322698</v>
      </c>
      <c r="Y285" s="17">
        <f t="shared" si="223"/>
        <v>-4.7573715333258056E-2</v>
      </c>
      <c r="Z285" s="31" t="str">
        <f t="shared" si="212"/>
        <v>0.991248953504202+2.90531178623686i</v>
      </c>
      <c r="AA285" s="17">
        <f t="shared" si="224"/>
        <v>3.0697574925505089</v>
      </c>
      <c r="AB285" s="17">
        <f t="shared" si="225"/>
        <v>1.2419959484400953</v>
      </c>
      <c r="AC285" s="66" t="str">
        <f t="shared" si="226"/>
        <v>-11.6786957711605-3.38299185269346i</v>
      </c>
      <c r="AD285" s="64">
        <f t="shared" si="227"/>
        <v>21.697818742456704</v>
      </c>
      <c r="AE285" s="61">
        <f t="shared" si="228"/>
        <v>-163.84517450713832</v>
      </c>
      <c r="AF285" s="31" t="str">
        <f t="shared" si="213"/>
        <v>-0.332666666666667</v>
      </c>
      <c r="AG285" s="31" t="str">
        <f t="shared" si="229"/>
        <v>29388.6656738729i</v>
      </c>
      <c r="AH285" s="31">
        <f t="shared" si="230"/>
        <v>29388.6656738729</v>
      </c>
      <c r="AI285" s="31">
        <f t="shared" si="231"/>
        <v>1.5707963267948966</v>
      </c>
      <c r="AJ285" s="31" t="str">
        <f t="shared" si="214"/>
        <v>-45.0807174758414+242.352661653626i</v>
      </c>
      <c r="AK285" s="31">
        <f t="shared" si="232"/>
        <v>246.50980446776057</v>
      </c>
      <c r="AL285" s="31">
        <f t="shared" si="233"/>
        <v>1.7547072802772508</v>
      </c>
      <c r="AM285" s="31" t="str">
        <f t="shared" si="215"/>
        <v>1+881755.189492972i</v>
      </c>
      <c r="AN285" s="31">
        <f t="shared" si="234"/>
        <v>881755.18949353904</v>
      </c>
      <c r="AO285" s="31">
        <f t="shared" si="235"/>
        <v>1.570795192693264</v>
      </c>
      <c r="AP285" s="31" t="str">
        <f t="shared" si="216"/>
        <v>1+95.2192767833482i</v>
      </c>
      <c r="AQ285" s="31">
        <f t="shared" si="236"/>
        <v>95.224527676139587</v>
      </c>
      <c r="AR285" s="31">
        <f t="shared" si="237"/>
        <v>1.5602946377285061</v>
      </c>
      <c r="AS285" s="58" t="str">
        <f t="shared" si="238"/>
        <v>-3.78296558340646+0.744868891204427i</v>
      </c>
      <c r="AT285" s="49">
        <f t="shared" si="239"/>
        <v>11.721841450807258</v>
      </c>
      <c r="AU285" s="61">
        <f t="shared" si="240"/>
        <v>168.86091111873435</v>
      </c>
      <c r="AV285" s="58" t="str">
        <f t="shared" si="217"/>
        <v>46.6999895516441+4.09864457790566i</v>
      </c>
      <c r="AW285" s="64">
        <f t="shared" si="241"/>
        <v>33.419660193263958</v>
      </c>
      <c r="AX285" s="61">
        <f t="shared" si="242"/>
        <v>5.0157366115960356</v>
      </c>
    </row>
    <row r="286" spans="14:50" x14ac:dyDescent="0.3">
      <c r="N286" s="10">
        <v>68</v>
      </c>
      <c r="O286" s="50">
        <f t="shared" si="243"/>
        <v>4786.3009232263848</v>
      </c>
      <c r="P286" s="48" t="str">
        <f t="shared" si="208"/>
        <v>51201.9230769231</v>
      </c>
      <c r="Q286" s="17" t="str">
        <f t="shared" si="209"/>
        <v>1+1405.34449993906i</v>
      </c>
      <c r="R286" s="17">
        <f t="shared" si="218"/>
        <v>1405.3448557236643</v>
      </c>
      <c r="S286" s="17">
        <f t="shared" si="219"/>
        <v>1.5700847576164736</v>
      </c>
      <c r="T286" s="17" t="str">
        <f t="shared" si="210"/>
        <v>1+9.02196469096684E-08i</v>
      </c>
      <c r="U286" s="17">
        <f t="shared" si="220"/>
        <v>1.000000000000004</v>
      </c>
      <c r="V286" s="17">
        <f t="shared" si="221"/>
        <v>9.0219646909668158E-8</v>
      </c>
      <c r="W286" s="31" t="str">
        <f t="shared" si="211"/>
        <v>1-0.0487186093312209i</v>
      </c>
      <c r="X286" s="17">
        <f t="shared" si="222"/>
        <v>1.0011860480925452</v>
      </c>
      <c r="Y286" s="17">
        <f t="shared" si="223"/>
        <v>-4.8680119542979267E-2</v>
      </c>
      <c r="Z286" s="31" t="str">
        <f t="shared" si="212"/>
        <v>0.990836529388929+2.97298519124686i</v>
      </c>
      <c r="AA286" s="17">
        <f t="shared" si="224"/>
        <v>3.1337514220730123</v>
      </c>
      <c r="AB286" s="17">
        <f t="shared" si="225"/>
        <v>1.2490937656431942</v>
      </c>
      <c r="AC286" s="66" t="str">
        <f t="shared" si="226"/>
        <v>-11.2066378182798-3.1466269782871i</v>
      </c>
      <c r="AD286" s="64">
        <f t="shared" si="227"/>
        <v>21.319072188322018</v>
      </c>
      <c r="AE286" s="61">
        <f t="shared" si="228"/>
        <v>-164.31619130350305</v>
      </c>
      <c r="AF286" s="31" t="str">
        <f t="shared" si="213"/>
        <v>-0.332666666666667</v>
      </c>
      <c r="AG286" s="31" t="str">
        <f t="shared" si="229"/>
        <v>30073.2156365561i</v>
      </c>
      <c r="AH286" s="31">
        <f t="shared" si="230"/>
        <v>30073.215636556099</v>
      </c>
      <c r="AI286" s="31">
        <f t="shared" si="231"/>
        <v>1.5707963267948966</v>
      </c>
      <c r="AJ286" s="31" t="str">
        <f t="shared" si="214"/>
        <v>-47.2524347836216+247.997780330744i</v>
      </c>
      <c r="AK286" s="31">
        <f t="shared" si="232"/>
        <v>252.45928709785341</v>
      </c>
      <c r="AL286" s="31">
        <f t="shared" si="233"/>
        <v>1.7590752735024515</v>
      </c>
      <c r="AM286" s="31" t="str">
        <f t="shared" si="215"/>
        <v>1+902293.906315347i</v>
      </c>
      <c r="AN286" s="31">
        <f t="shared" si="234"/>
        <v>902293.90631590108</v>
      </c>
      <c r="AO286" s="31">
        <f t="shared" si="235"/>
        <v>1.570795218508569</v>
      </c>
      <c r="AP286" s="31" t="str">
        <f t="shared" si="216"/>
        <v>1+97.4372186624418i</v>
      </c>
      <c r="AQ286" s="31">
        <f t="shared" si="236"/>
        <v>97.442350036688339</v>
      </c>
      <c r="AR286" s="31">
        <f t="shared" si="237"/>
        <v>1.5605336683765381</v>
      </c>
      <c r="AS286" s="58" t="str">
        <f t="shared" si="238"/>
        <v>-3.77674126178594+0.759855090621521i</v>
      </c>
      <c r="AT286" s="49">
        <f t="shared" si="239"/>
        <v>11.714676808690758</v>
      </c>
      <c r="AU286" s="61">
        <f t="shared" si="240"/>
        <v>168.62434046840309</v>
      </c>
      <c r="AV286" s="58" t="str">
        <f t="shared" si="217"/>
        <v>44.7155519819266+3.36857514937414i</v>
      </c>
      <c r="AW286" s="64">
        <f t="shared" si="241"/>
        <v>33.033748997012786</v>
      </c>
      <c r="AX286" s="61">
        <f t="shared" si="242"/>
        <v>4.3081491649000405</v>
      </c>
    </row>
    <row r="287" spans="14:50" x14ac:dyDescent="0.3">
      <c r="N287" s="10">
        <v>69</v>
      </c>
      <c r="O287" s="50">
        <f t="shared" si="243"/>
        <v>4897.7881936844633</v>
      </c>
      <c r="P287" s="48" t="str">
        <f t="shared" si="208"/>
        <v>51201.9230769231</v>
      </c>
      <c r="Q287" s="17" t="str">
        <f t="shared" si="209"/>
        <v>1+1438.07917852795i</v>
      </c>
      <c r="R287" s="17">
        <f t="shared" si="218"/>
        <v>1438.0795262139097</v>
      </c>
      <c r="S287" s="17">
        <f t="shared" si="219"/>
        <v>1.5701009549031744</v>
      </c>
      <c r="T287" s="17" t="str">
        <f t="shared" si="210"/>
        <v>1+9.23211324487078E-08i</v>
      </c>
      <c r="U287" s="17">
        <f t="shared" si="220"/>
        <v>1.0000000000000042</v>
      </c>
      <c r="V287" s="17">
        <f t="shared" si="221"/>
        <v>9.2321132448707537E-8</v>
      </c>
      <c r="W287" s="31" t="str">
        <f t="shared" si="211"/>
        <v>1-0.0498534115223022i</v>
      </c>
      <c r="X287" s="17">
        <f t="shared" si="222"/>
        <v>1.001241910149796</v>
      </c>
      <c r="Y287" s="17">
        <f t="shared" si="223"/>
        <v>-4.9812171733523175E-2</v>
      </c>
      <c r="Z287" s="31" t="str">
        <f t="shared" si="212"/>
        <v>0.990404668323922+3.04223491235737i</v>
      </c>
      <c r="AA287" s="17">
        <f t="shared" si="224"/>
        <v>3.1993897338404826</v>
      </c>
      <c r="AB287" s="17">
        <f t="shared" si="225"/>
        <v>1.2560655384171353</v>
      </c>
      <c r="AC287" s="66" t="str">
        <f t="shared" si="226"/>
        <v>-10.7515658754993-2.92487717629844i</v>
      </c>
      <c r="AD287" s="64">
        <f t="shared" si="227"/>
        <v>20.939504853284753</v>
      </c>
      <c r="AE287" s="61">
        <f t="shared" si="228"/>
        <v>-164.78143418764202</v>
      </c>
      <c r="AF287" s="31" t="str">
        <f t="shared" si="213"/>
        <v>-0.332666666666667</v>
      </c>
      <c r="AG287" s="31" t="str">
        <f t="shared" si="229"/>
        <v>30773.7108162359i</v>
      </c>
      <c r="AH287" s="31">
        <f t="shared" si="230"/>
        <v>30773.7108162359</v>
      </c>
      <c r="AI287" s="31">
        <f t="shared" si="231"/>
        <v>1.5707963267948966</v>
      </c>
      <c r="AJ287" s="31" t="str">
        <f t="shared" si="214"/>
        <v>-49.5265019748945+253.774390713632i</v>
      </c>
      <c r="AK287" s="31">
        <f t="shared" si="232"/>
        <v>258.56201534630793</v>
      </c>
      <c r="AL287" s="31">
        <f t="shared" si="233"/>
        <v>1.7635333280864272</v>
      </c>
      <c r="AM287" s="31" t="str">
        <f t="shared" si="215"/>
        <v>1+923311.031310123i</v>
      </c>
      <c r="AN287" s="31">
        <f t="shared" si="234"/>
        <v>923311.03131066472</v>
      </c>
      <c r="AO287" s="31">
        <f t="shared" si="235"/>
        <v>1.5707952437362456</v>
      </c>
      <c r="AP287" s="31" t="str">
        <f t="shared" si="216"/>
        <v>1+99.7068230446043i</v>
      </c>
      <c r="AQ287" s="31">
        <f t="shared" si="236"/>
        <v>99.711837620455256</v>
      </c>
      <c r="AR287" s="31">
        <f t="shared" si="237"/>
        <v>1.5607672591559789</v>
      </c>
      <c r="AS287" s="58" t="str">
        <f t="shared" si="238"/>
        <v>-3.77024590867266+0.775134348933136i</v>
      </c>
      <c r="AT287" s="49">
        <f t="shared" si="239"/>
        <v>11.707188768927136</v>
      </c>
      <c r="AU287" s="61">
        <f t="shared" si="240"/>
        <v>168.38229796713691</v>
      </c>
      <c r="AV287" s="58" t="str">
        <f t="shared" si="217"/>
        <v>42.8032200196853+2.69359819239236i</v>
      </c>
      <c r="AW287" s="64">
        <f t="shared" si="241"/>
        <v>32.646693622211885</v>
      </c>
      <c r="AX287" s="61">
        <f t="shared" si="242"/>
        <v>3.6008637794948974</v>
      </c>
    </row>
    <row r="288" spans="14:50" x14ac:dyDescent="0.3">
      <c r="N288" s="10">
        <v>70</v>
      </c>
      <c r="O288" s="50">
        <f t="shared" si="243"/>
        <v>5011.8723362727324</v>
      </c>
      <c r="P288" s="48" t="str">
        <f t="shared" si="208"/>
        <v>51201.9230769231</v>
      </c>
      <c r="Q288" s="17" t="str">
        <f t="shared" si="209"/>
        <v>1+1471.57634573251i</v>
      </c>
      <c r="R288" s="17">
        <f t="shared" si="218"/>
        <v>1471.5766855041729</v>
      </c>
      <c r="S288" s="17">
        <f t="shared" si="219"/>
        <v>1.5701167834949696</v>
      </c>
      <c r="T288" s="17" t="str">
        <f t="shared" si="210"/>
        <v>1+9.44715678741862E-08i</v>
      </c>
      <c r="U288" s="17">
        <f t="shared" si="220"/>
        <v>1.0000000000000044</v>
      </c>
      <c r="V288" s="17">
        <f t="shared" si="221"/>
        <v>9.4471567874185917E-8</v>
      </c>
      <c r="W288" s="31" t="str">
        <f t="shared" si="211"/>
        <v>1-0.0510146466520605i</v>
      </c>
      <c r="X288" s="17">
        <f t="shared" si="222"/>
        <v>1.0013004015644029</v>
      </c>
      <c r="Y288" s="17">
        <f t="shared" si="223"/>
        <v>-5.0970460521171372E-2</v>
      </c>
      <c r="Z288" s="31" t="str">
        <f t="shared" si="212"/>
        <v>0.989952454273962+3.11309766668716i</v>
      </c>
      <c r="AA288" s="17">
        <f t="shared" si="224"/>
        <v>3.2667082734851118</v>
      </c>
      <c r="AB288" s="17">
        <f t="shared" si="225"/>
        <v>1.2629123344388786</v>
      </c>
      <c r="AC288" s="66" t="str">
        <f t="shared" si="226"/>
        <v>-10.3130363482674-2.71692848426714i</v>
      </c>
      <c r="AD288" s="64">
        <f t="shared" si="227"/>
        <v>20.559148242020981</v>
      </c>
      <c r="AE288" s="61">
        <f t="shared" si="228"/>
        <v>-165.24099855015913</v>
      </c>
      <c r="AF288" s="31" t="str">
        <f t="shared" si="213"/>
        <v>-0.332666666666667</v>
      </c>
      <c r="AG288" s="31" t="str">
        <f t="shared" si="229"/>
        <v>31490.5226247287i</v>
      </c>
      <c r="AH288" s="31">
        <f t="shared" si="230"/>
        <v>31490.522624728699</v>
      </c>
      <c r="AI288" s="31">
        <f t="shared" si="231"/>
        <v>1.5707963267948966</v>
      </c>
      <c r="AJ288" s="31" t="str">
        <f t="shared" si="214"/>
        <v>-51.9077426510624+259.685555637578i</v>
      </c>
      <c r="AK288" s="31">
        <f t="shared" si="232"/>
        <v>264.82258505257158</v>
      </c>
      <c r="AL288" s="31">
        <f t="shared" si="233"/>
        <v>1.7680831415370459</v>
      </c>
      <c r="AM288" s="31" t="str">
        <f t="shared" si="215"/>
        <v>1+944817.708035166i</v>
      </c>
      <c r="AN288" s="31">
        <f t="shared" si="234"/>
        <v>944817.70803569513</v>
      </c>
      <c r="AO288" s="31">
        <f t="shared" si="235"/>
        <v>1.5707952683896704</v>
      </c>
      <c r="AP288" s="31" t="str">
        <f t="shared" si="216"/>
        <v>1+102.029293304121i</v>
      </c>
      <c r="AQ288" s="31">
        <f t="shared" si="236"/>
        <v>102.03419373983581</v>
      </c>
      <c r="AR288" s="31">
        <f t="shared" si="237"/>
        <v>1.5609955338177268</v>
      </c>
      <c r="AS288" s="58" t="str">
        <f t="shared" si="238"/>
        <v>-3.76346871913834+0.790707519038628i</v>
      </c>
      <c r="AT288" s="49">
        <f t="shared" si="239"/>
        <v>11.699363181240237</v>
      </c>
      <c r="AU288" s="61">
        <f t="shared" si="240"/>
        <v>168.13469344606969</v>
      </c>
      <c r="AV288" s="58" t="str">
        <f t="shared" si="217"/>
        <v>40.9610854772413+2.07047997798162i</v>
      </c>
      <c r="AW288" s="64">
        <f t="shared" si="241"/>
        <v>32.258511423261218</v>
      </c>
      <c r="AX288" s="61">
        <f t="shared" si="242"/>
        <v>2.8936948959105777</v>
      </c>
    </row>
    <row r="289" spans="14:50" x14ac:dyDescent="0.3">
      <c r="N289" s="10">
        <v>71</v>
      </c>
      <c r="O289" s="50">
        <f t="shared" si="243"/>
        <v>5128.6138399136489</v>
      </c>
      <c r="P289" s="48" t="str">
        <f t="shared" si="208"/>
        <v>51201.9230769231</v>
      </c>
      <c r="Q289" s="17" t="str">
        <f t="shared" si="209"/>
        <v>1+1505.8537621942i</v>
      </c>
      <c r="R289" s="17">
        <f t="shared" si="218"/>
        <v>1505.8540942317177</v>
      </c>
      <c r="S289" s="17">
        <f t="shared" si="219"/>
        <v>1.5701322517843561</v>
      </c>
      <c r="T289" s="17" t="str">
        <f t="shared" si="210"/>
        <v>1+9.667209337543E-08i</v>
      </c>
      <c r="U289" s="17">
        <f t="shared" si="220"/>
        <v>1.0000000000000047</v>
      </c>
      <c r="V289" s="17">
        <f t="shared" si="221"/>
        <v>9.6672093375429699E-8</v>
      </c>
      <c r="W289" s="31" t="str">
        <f t="shared" si="211"/>
        <v>1-0.0522029304227321i</v>
      </c>
      <c r="X289" s="17">
        <f t="shared" si="222"/>
        <v>1.0013616459325374</v>
      </c>
      <c r="Y289" s="17">
        <f t="shared" si="223"/>
        <v>-5.2155587606924916E-2</v>
      </c>
      <c r="Z289" s="31" t="str">
        <f t="shared" si="212"/>
        <v>0.989478928032419+3.18561102660653i</v>
      </c>
      <c r="AA289" s="17">
        <f t="shared" si="224"/>
        <v>3.3357437194510755</v>
      </c>
      <c r="AB289" s="17">
        <f t="shared" si="225"/>
        <v>1.2696352972192801</v>
      </c>
      <c r="AC289" s="66" t="str">
        <f t="shared" si="226"/>
        <v>-9.8906034774993-2.52200521337936i</v>
      </c>
      <c r="AD289" s="64">
        <f t="shared" si="227"/>
        <v>20.178033095888765</v>
      </c>
      <c r="AE289" s="61">
        <f t="shared" si="228"/>
        <v>-165.69498486511719</v>
      </c>
      <c r="AF289" s="31" t="str">
        <f t="shared" si="213"/>
        <v>-0.332666666666667</v>
      </c>
      <c r="AG289" s="31" t="str">
        <f t="shared" si="229"/>
        <v>32224.0311251433i</v>
      </c>
      <c r="AH289" s="31">
        <f t="shared" si="230"/>
        <v>32224.031125143301</v>
      </c>
      <c r="AI289" s="31">
        <f t="shared" si="231"/>
        <v>1.5707963267948966</v>
      </c>
      <c r="AJ289" s="31" t="str">
        <f t="shared" si="214"/>
        <v>-54.401207742857+265.734409280467i</v>
      </c>
      <c r="AK289" s="31">
        <f t="shared" si="232"/>
        <v>271.24576988318222</v>
      </c>
      <c r="AL289" s="31">
        <f t="shared" si="233"/>
        <v>1.7727264161277985</v>
      </c>
      <c r="AM289" s="31" t="str">
        <f t="shared" si="215"/>
        <v>1+966825.339615146i</v>
      </c>
      <c r="AN289" s="31">
        <f t="shared" si="234"/>
        <v>966825.33961566316</v>
      </c>
      <c r="AO289" s="31">
        <f t="shared" si="235"/>
        <v>1.5707952924819146</v>
      </c>
      <c r="AP289" s="31" t="str">
        <f t="shared" si="216"/>
        <v>1+104.405860845464i</v>
      </c>
      <c r="AQ289" s="31">
        <f t="shared" si="236"/>
        <v>104.41064973881923</v>
      </c>
      <c r="AR289" s="31">
        <f t="shared" si="237"/>
        <v>1.5612186133008124</v>
      </c>
      <c r="AS289" s="58" t="str">
        <f t="shared" si="238"/>
        <v>-3.75639855435592+0.806575160442493i</v>
      </c>
      <c r="AT289" s="49">
        <f t="shared" si="239"/>
        <v>11.691185337678656</v>
      </c>
      <c r="AU289" s="61">
        <f t="shared" si="240"/>
        <v>167.88143630215995</v>
      </c>
      <c r="AV289" s="58" t="str">
        <f t="shared" si="217"/>
        <v>39.1872353642043+1.49614165087925i</v>
      </c>
      <c r="AW289" s="64">
        <f t="shared" si="241"/>
        <v>31.869218433567429</v>
      </c>
      <c r="AX289" s="61">
        <f t="shared" si="242"/>
        <v>2.1864514370427743</v>
      </c>
    </row>
    <row r="290" spans="14:50" x14ac:dyDescent="0.3">
      <c r="N290" s="10">
        <v>72</v>
      </c>
      <c r="O290" s="50">
        <f t="shared" si="243"/>
        <v>5248.0746024977261</v>
      </c>
      <c r="P290" s="48" t="str">
        <f t="shared" si="208"/>
        <v>51201.9230769231</v>
      </c>
      <c r="Q290" s="17" t="str">
        <f t="shared" si="209"/>
        <v>1+1540.92960225293i</v>
      </c>
      <c r="R290" s="17">
        <f t="shared" si="218"/>
        <v>1540.9299267323522</v>
      </c>
      <c r="S290" s="17">
        <f t="shared" si="219"/>
        <v>1.5701473679727964</v>
      </c>
      <c r="T290" s="17" t="str">
        <f t="shared" si="210"/>
        <v>1+9.89238757001884E-08i</v>
      </c>
      <c r="U290" s="17">
        <f t="shared" si="220"/>
        <v>1.0000000000000049</v>
      </c>
      <c r="V290" s="17">
        <f t="shared" si="221"/>
        <v>9.8923875700188089E-8</v>
      </c>
      <c r="W290" s="31" t="str">
        <f t="shared" si="211"/>
        <v>1-0.0534188928781017i</v>
      </c>
      <c r="X290" s="17">
        <f t="shared" si="222"/>
        <v>1.0014257726443443</v>
      </c>
      <c r="Y290" s="17">
        <f t="shared" si="223"/>
        <v>-5.3368168036959276E-2</v>
      </c>
      <c r="Z290" s="31" t="str">
        <f t="shared" si="212"/>
        <v>0.988983085186647+3.25981343965876i</v>
      </c>
      <c r="AA290" s="17">
        <f t="shared" si="224"/>
        <v>3.4065336053186344</v>
      </c>
      <c r="AB290" s="17">
        <f t="shared" si="225"/>
        <v>1.2762356403238739</v>
      </c>
      <c r="AC290" s="66" t="str">
        <f t="shared" si="226"/>
        <v>-9.48382072404786-2.33936880635874i</v>
      </c>
      <c r="AD290" s="64">
        <f t="shared" si="227"/>
        <v>19.796189392661745</v>
      </c>
      <c r="AE290" s="61">
        <f t="shared" si="228"/>
        <v>-166.14349837409222</v>
      </c>
      <c r="AF290" s="31" t="str">
        <f t="shared" si="213"/>
        <v>-0.332666666666667</v>
      </c>
      <c r="AG290" s="31" t="str">
        <f t="shared" si="229"/>
        <v>32974.6252333961i</v>
      </c>
      <c r="AH290" s="31">
        <f t="shared" si="230"/>
        <v>32974.625233396102</v>
      </c>
      <c r="AI290" s="31">
        <f t="shared" si="231"/>
        <v>1.5707963267948966</v>
      </c>
      <c r="AJ290" s="31" t="str">
        <f t="shared" si="214"/>
        <v>-57.0121862240444+271.924158824568i</v>
      </c>
      <c r="AK290" s="31">
        <f t="shared" si="232"/>
        <v>277.83653023044684</v>
      </c>
      <c r="AL290" s="31">
        <f t="shared" si="233"/>
        <v>1.7774648570901195</v>
      </c>
      <c r="AM290" s="31" t="str">
        <f t="shared" si="215"/>
        <v>1+989345.594787641i</v>
      </c>
      <c r="AN290" s="31">
        <f t="shared" si="234"/>
        <v>989345.59478814621</v>
      </c>
      <c r="AO290" s="31">
        <f t="shared" si="235"/>
        <v>1.5707953160257526</v>
      </c>
      <c r="AP290" s="31" t="str">
        <f t="shared" si="216"/>
        <v>1+106.837785756203i</v>
      </c>
      <c r="AQ290" s="31">
        <f t="shared" si="236"/>
        <v>106.84246564586728</v>
      </c>
      <c r="AR290" s="31">
        <f t="shared" si="237"/>
        <v>1.5614366157960684</v>
      </c>
      <c r="AS290" s="58" t="str">
        <f t="shared" si="238"/>
        <v>-3.74902394028094+0.822737515080563i</v>
      </c>
      <c r="AT290" s="49">
        <f t="shared" si="239"/>
        <v>11.682639955445786</v>
      </c>
      <c r="AU290" s="61">
        <f t="shared" si="240"/>
        <v>167.62243560541108</v>
      </c>
      <c r="AV290" s="58" t="str">
        <f t="shared" si="217"/>
        <v>37.4797574183885+0.967654564212681i</v>
      </c>
      <c r="AW290" s="64">
        <f t="shared" si="241"/>
        <v>31.478829348107528</v>
      </c>
      <c r="AX290" s="61">
        <f t="shared" si="242"/>
        <v>1.4789372313188598</v>
      </c>
    </row>
    <row r="291" spans="14:50" x14ac:dyDescent="0.3">
      <c r="N291" s="10">
        <v>73</v>
      </c>
      <c r="O291" s="50">
        <f t="shared" si="243"/>
        <v>5370.3179637025269</v>
      </c>
      <c r="P291" s="48" t="str">
        <f t="shared" si="208"/>
        <v>51201.9230769231</v>
      </c>
      <c r="Q291" s="17" t="str">
        <f t="shared" si="209"/>
        <v>1+1576.82246358339i</v>
      </c>
      <c r="R291" s="17">
        <f t="shared" si="218"/>
        <v>1576.8227806767604</v>
      </c>
      <c r="S291" s="17">
        <f t="shared" si="219"/>
        <v>1.5701621400750656</v>
      </c>
      <c r="T291" s="17" t="str">
        <f t="shared" si="210"/>
        <v>1+1.01228108773255E-07i</v>
      </c>
      <c r="U291" s="17">
        <f t="shared" si="220"/>
        <v>1.0000000000000051</v>
      </c>
      <c r="V291" s="17">
        <f t="shared" si="221"/>
        <v>1.0122810877325465E-7</v>
      </c>
      <c r="W291" s="31" t="str">
        <f t="shared" si="211"/>
        <v>1-0.0546631787375576i</v>
      </c>
      <c r="X291" s="17">
        <f t="shared" si="222"/>
        <v>1.0014929171540328</v>
      </c>
      <c r="Y291" s="17">
        <f t="shared" si="223"/>
        <v>-5.4608830466025098E-2</v>
      </c>
      <c r="Z291" s="31" t="str">
        <f t="shared" si="212"/>
        <v>0.988463873987493+3.33574424894543i</v>
      </c>
      <c r="AA291" s="17">
        <f t="shared" si="224"/>
        <v>3.4791163424856713</v>
      </c>
      <c r="AB291" s="17">
        <f t="shared" si="225"/>
        <v>1.282714641788957</v>
      </c>
      <c r="AC291" s="66" t="str">
        <f t="shared" si="226"/>
        <v>-9.09224204421849-2.16831666258909i</v>
      </c>
      <c r="AD291" s="64">
        <f t="shared" si="227"/>
        <v>19.413646348762505</v>
      </c>
      <c r="AE291" s="61">
        <f t="shared" si="228"/>
        <v>-166.58664878157811</v>
      </c>
      <c r="AF291" s="31" t="str">
        <f t="shared" si="213"/>
        <v>-0.332666666666667</v>
      </c>
      <c r="AG291" s="31" t="str">
        <f t="shared" si="229"/>
        <v>33742.7029244183i</v>
      </c>
      <c r="AH291" s="31">
        <f t="shared" si="230"/>
        <v>33742.7029244183</v>
      </c>
      <c r="AI291" s="31">
        <f t="shared" si="231"/>
        <v>1.5707963267948966</v>
      </c>
      <c r="AJ291" s="31" t="str">
        <f t="shared" si="214"/>
        <v>-59.7462163300421+278.258086157019i</v>
      </c>
      <c r="AK291" s="31">
        <f t="shared" si="232"/>
        <v>284.60002262389793</v>
      </c>
      <c r="AL291" s="31">
        <f t="shared" si="233"/>
        <v>1.7823001706607327</v>
      </c>
      <c r="AM291" s="31" t="str">
        <f t="shared" si="215"/>
        <v>1+1012390.41409003i</v>
      </c>
      <c r="AN291" s="31">
        <f t="shared" si="234"/>
        <v>1012390.4140905238</v>
      </c>
      <c r="AO291" s="31">
        <f t="shared" si="235"/>
        <v>1.5707953390336673</v>
      </c>
      <c r="AP291" s="31" t="str">
        <f t="shared" si="216"/>
        <v>1+109.326357475115i</v>
      </c>
      <c r="AQ291" s="31">
        <f t="shared" si="236"/>
        <v>109.33093084199288</v>
      </c>
      <c r="AR291" s="31">
        <f t="shared" si="237"/>
        <v>1.5616496568083706</v>
      </c>
      <c r="AS291" s="58" t="str">
        <f t="shared" si="238"/>
        <v>-3.74133306735153+0.839194482035483i</v>
      </c>
      <c r="AT291" s="49">
        <f t="shared" si="239"/>
        <v>11.673711159692516</v>
      </c>
      <c r="AU291" s="61">
        <f t="shared" si="240"/>
        <v>167.35760021431716</v>
      </c>
      <c r="AV291" s="58" t="str">
        <f t="shared" si="217"/>
        <v>35.8367451949489+0.482235477394696i</v>
      </c>
      <c r="AW291" s="64">
        <f t="shared" si="241"/>
        <v>31.087357508455025</v>
      </c>
      <c r="AX291" s="61">
        <f t="shared" si="242"/>
        <v>0.77095143273905697</v>
      </c>
    </row>
    <row r="292" spans="14:50" x14ac:dyDescent="0.3">
      <c r="N292" s="10">
        <v>74</v>
      </c>
      <c r="O292" s="50">
        <f t="shared" si="243"/>
        <v>5495.4087385762541</v>
      </c>
      <c r="P292" s="48" t="str">
        <f t="shared" si="208"/>
        <v>51201.9230769231</v>
      </c>
      <c r="Q292" s="17" t="str">
        <f t="shared" si="209"/>
        <v>1+1613.55137705576i</v>
      </c>
      <c r="R292" s="17">
        <f t="shared" si="218"/>
        <v>1613.5516869312057</v>
      </c>
      <c r="S292" s="17">
        <f t="shared" si="219"/>
        <v>1.5701765759235025</v>
      </c>
      <c r="T292" s="17" t="str">
        <f t="shared" si="210"/>
        <v>1+1.03586014329506E-07i</v>
      </c>
      <c r="U292" s="17">
        <f t="shared" si="220"/>
        <v>1.0000000000000053</v>
      </c>
      <c r="V292" s="17">
        <f t="shared" si="221"/>
        <v>1.0358601432950563E-7</v>
      </c>
      <c r="W292" s="31" t="str">
        <f t="shared" si="211"/>
        <v>1-0.0559364477379331i</v>
      </c>
      <c r="X292" s="17">
        <f t="shared" si="222"/>
        <v>1.0015632212624117</v>
      </c>
      <c r="Y292" s="17">
        <f t="shared" si="223"/>
        <v>-5.5878217423655376E-2</v>
      </c>
      <c r="Z292" s="31" t="str">
        <f t="shared" si="212"/>
        <v>0.987920193118392+3.41344371398669i</v>
      </c>
      <c r="AA292" s="17">
        <f t="shared" si="224"/>
        <v>3.5535312432179813</v>
      </c>
      <c r="AB292" s="17">
        <f t="shared" si="225"/>
        <v>1.2890736387400039</v>
      </c>
      <c r="AC292" s="66" t="str">
        <f t="shared" si="226"/>
        <v>-8.71542305933851-2.00818093918864i</v>
      </c>
      <c r="AD292" s="64">
        <f t="shared" si="227"/>
        <v>19.030432423806481</v>
      </c>
      <c r="AE292" s="61">
        <f t="shared" si="228"/>
        <v>-167.02454996214192</v>
      </c>
      <c r="AF292" s="31" t="str">
        <f t="shared" si="213"/>
        <v>-0.332666666666667</v>
      </c>
      <c r="AG292" s="31" t="str">
        <f t="shared" si="229"/>
        <v>34528.6714431686i</v>
      </c>
      <c r="AH292" s="31">
        <f t="shared" si="230"/>
        <v>34528.671443168598</v>
      </c>
      <c r="AI292" s="31">
        <f t="shared" si="231"/>
        <v>1.5707963267948966</v>
      </c>
      <c r="AJ292" s="31" t="str">
        <f t="shared" si="214"/>
        <v>-62.609097305263+284.739549609932i</v>
      </c>
      <c r="AK292" s="31">
        <f t="shared" si="232"/>
        <v>291.54160968452999</v>
      </c>
      <c r="AL292" s="31">
        <f t="shared" si="233"/>
        <v>1.7872340619775355</v>
      </c>
      <c r="AM292" s="31" t="str">
        <f t="shared" si="215"/>
        <v>1+1035972.01619054i</v>
      </c>
      <c r="AN292" s="31">
        <f t="shared" si="234"/>
        <v>1035972.0161910227</v>
      </c>
      <c r="AO292" s="31">
        <f t="shared" si="235"/>
        <v>1.5707953615178578</v>
      </c>
      <c r="AP292" s="31" t="str">
        <f t="shared" si="216"/>
        <v>1+111.872895475866i</v>
      </c>
      <c r="AQ292" s="31">
        <f t="shared" si="236"/>
        <v>111.87736474441128</v>
      </c>
      <c r="AR292" s="31">
        <f t="shared" si="237"/>
        <v>1.5618578492174862</v>
      </c>
      <c r="AS292" s="58" t="str">
        <f t="shared" si="238"/>
        <v>-3.73331379131866+0.85594559113979i</v>
      </c>
      <c r="AT292" s="49">
        <f t="shared" si="239"/>
        <v>11.664382466326835</v>
      </c>
      <c r="AU292" s="61">
        <f t="shared" si="240"/>
        <v>167.08683889990627</v>
      </c>
      <c r="AV292" s="58" t="str">
        <f t="shared" si="217"/>
        <v>34.2563027257146+0.0372416531773512i</v>
      </c>
      <c r="AW292" s="64">
        <f t="shared" si="241"/>
        <v>30.694814890133316</v>
      </c>
      <c r="AX292" s="61">
        <f t="shared" si="242"/>
        <v>6.228893776433346E-2</v>
      </c>
    </row>
    <row r="293" spans="14:50" x14ac:dyDescent="0.3">
      <c r="N293" s="10">
        <v>75</v>
      </c>
      <c r="O293" s="50">
        <f t="shared" si="243"/>
        <v>5623.4132519034993</v>
      </c>
      <c r="P293" s="48" t="str">
        <f t="shared" si="208"/>
        <v>51201.9230769231</v>
      </c>
      <c r="Q293" s="17" t="str">
        <f t="shared" si="209"/>
        <v>1+1651.13581682612i</v>
      </c>
      <c r="R293" s="17">
        <f t="shared" si="218"/>
        <v>1651.1361196479404</v>
      </c>
      <c r="S293" s="17">
        <f t="shared" si="219"/>
        <v>1.5701906831721606</v>
      </c>
      <c r="T293" s="17" t="str">
        <f t="shared" si="210"/>
        <v>1+1.05998842561677E-07i</v>
      </c>
      <c r="U293" s="17">
        <f t="shared" si="220"/>
        <v>1.0000000000000058</v>
      </c>
      <c r="V293" s="17">
        <f t="shared" si="221"/>
        <v>1.059988425616766E-7</v>
      </c>
      <c r="W293" s="31" t="str">
        <f t="shared" si="211"/>
        <v>1-0.0572393749833056i</v>
      </c>
      <c r="X293" s="17">
        <f t="shared" si="222"/>
        <v>1.0016368334124297</v>
      </c>
      <c r="Y293" s="17">
        <f t="shared" si="223"/>
        <v>-5.7176985583003416E-2</v>
      </c>
      <c r="Z293" s="31" t="str">
        <f t="shared" si="212"/>
        <v>0.987350889359326+3.49295303206737i</v>
      </c>
      <c r="AA293" s="17">
        <f t="shared" si="224"/>
        <v>3.6298185440800323</v>
      </c>
      <c r="AB293" s="17">
        <f t="shared" si="225"/>
        <v>1.2953140222176243</v>
      </c>
      <c r="AC293" s="66" t="str">
        <f t="shared" si="226"/>
        <v>-8.35292212285089-1.85832733604008i</v>
      </c>
      <c r="AD293" s="64">
        <f t="shared" si="227"/>
        <v>18.646575327271517</v>
      </c>
      <c r="AE293" s="61">
        <f t="shared" si="228"/>
        <v>-167.45731967961319</v>
      </c>
      <c r="AF293" s="31" t="str">
        <f t="shared" si="213"/>
        <v>-0.332666666666667</v>
      </c>
      <c r="AG293" s="31" t="str">
        <f t="shared" si="229"/>
        <v>35332.947520559i</v>
      </c>
      <c r="AH293" s="31">
        <f t="shared" si="230"/>
        <v>35332.947520558999</v>
      </c>
      <c r="AI293" s="31">
        <f t="shared" si="231"/>
        <v>1.5707963267948966</v>
      </c>
      <c r="AJ293" s="31" t="str">
        <f t="shared" si="214"/>
        <v>-65.6069017040884+291.371985741022i</v>
      </c>
      <c r="AK293" s="31">
        <f t="shared" si="232"/>
        <v>298.66687065336896</v>
      </c>
      <c r="AL293" s="31">
        <f t="shared" si="233"/>
        <v>1.7922682328174508</v>
      </c>
      <c r="AM293" s="31" t="str">
        <f t="shared" si="215"/>
        <v>1+1060102.90436674i</v>
      </c>
      <c r="AN293" s="31">
        <f t="shared" si="234"/>
        <v>1060102.9043672117</v>
      </c>
      <c r="AO293" s="31">
        <f t="shared" si="235"/>
        <v>1.5707953834902459</v>
      </c>
      <c r="AP293" s="31" t="str">
        <f t="shared" si="216"/>
        <v>1+114.478749966611i</v>
      </c>
      <c r="AQ293" s="31">
        <f t="shared" si="236"/>
        <v>114.48311750611022</v>
      </c>
      <c r="AR293" s="31">
        <f t="shared" si="237"/>
        <v>1.5620613033375532</v>
      </c>
      <c r="AS293" s="58" t="str">
        <f t="shared" si="238"/>
        <v>-3.72495363532556+0.87298997547134i</v>
      </c>
      <c r="AT293" s="49">
        <f t="shared" si="239"/>
        <v>11.654636764901605</v>
      </c>
      <c r="AU293" s="61">
        <f t="shared" si="240"/>
        <v>166.81006047876082</v>
      </c>
      <c r="AV293" s="58" t="str">
        <f t="shared" si="217"/>
        <v>32.7365487626121-0.369834113134252i</v>
      </c>
      <c r="AW293" s="64">
        <f t="shared" si="241"/>
        <v>30.301212092173131</v>
      </c>
      <c r="AX293" s="61">
        <f t="shared" si="242"/>
        <v>-0.64725920085236133</v>
      </c>
    </row>
    <row r="294" spans="14:50" x14ac:dyDescent="0.3">
      <c r="N294" s="10">
        <v>76</v>
      </c>
      <c r="O294" s="50">
        <f t="shared" si="243"/>
        <v>5754.399373371567</v>
      </c>
      <c r="P294" s="48" t="str">
        <f t="shared" si="208"/>
        <v>51201.9230769231</v>
      </c>
      <c r="Q294" s="17" t="str">
        <f t="shared" si="209"/>
        <v>1+1689.59571066193i</v>
      </c>
      <c r="R294" s="17">
        <f t="shared" si="218"/>
        <v>1689.5960065906856</v>
      </c>
      <c r="S294" s="17">
        <f t="shared" si="219"/>
        <v>1.5702044693008674</v>
      </c>
      <c r="T294" s="17" t="str">
        <f t="shared" si="210"/>
        <v>1+1.08467872783235E-07i</v>
      </c>
      <c r="U294" s="17">
        <f t="shared" si="220"/>
        <v>1.0000000000000058</v>
      </c>
      <c r="V294" s="17">
        <f t="shared" si="221"/>
        <v>1.0846787278323457E-7</v>
      </c>
      <c r="W294" s="31" t="str">
        <f t="shared" si="211"/>
        <v>1-0.0585726513029468i</v>
      </c>
      <c r="X294" s="17">
        <f t="shared" si="222"/>
        <v>1.0017139089983009</v>
      </c>
      <c r="Y294" s="17">
        <f t="shared" si="223"/>
        <v>-5.8505806032133748E-2</v>
      </c>
      <c r="Z294" s="31" t="str">
        <f t="shared" si="212"/>
        <v>0.986754755140696+3.57431436008034i</v>
      </c>
      <c r="AA294" s="17">
        <f t="shared" si="224"/>
        <v>3.7080194297588709</v>
      </c>
      <c r="AB294" s="17">
        <f t="shared" si="225"/>
        <v>1.3014372322146788</v>
      </c>
      <c r="AC294" s="66" t="str">
        <f t="shared" si="226"/>
        <v>-8.004301288779-1.71815387207063i</v>
      </c>
      <c r="AD294" s="64">
        <f t="shared" si="227"/>
        <v>18.262102027115649</v>
      </c>
      <c r="AE294" s="61">
        <f t="shared" si="228"/>
        <v>-167.88507931850833</v>
      </c>
      <c r="AF294" s="31" t="str">
        <f t="shared" si="213"/>
        <v>-0.332666666666667</v>
      </c>
      <c r="AG294" s="31" t="str">
        <f t="shared" si="229"/>
        <v>36155.9575944116i</v>
      </c>
      <c r="AH294" s="31">
        <f t="shared" si="230"/>
        <v>36155.9575944116</v>
      </c>
      <c r="AI294" s="31">
        <f t="shared" si="231"/>
        <v>1.5707963267948966</v>
      </c>
      <c r="AJ294" s="31" t="str">
        <f t="shared" si="214"/>
        <v>-68.7459882715706+298.158911155715i</v>
      </c>
      <c r="AK294" s="31">
        <f t="shared" si="232"/>
        <v>305.98161252760997</v>
      </c>
      <c r="AL294" s="31">
        <f t="shared" si="233"/>
        <v>1.797404379169784</v>
      </c>
      <c r="AM294" s="31" t="str">
        <f t="shared" si="215"/>
        <v>1+1084795.87313496i</v>
      </c>
      <c r="AN294" s="31">
        <f t="shared" si="234"/>
        <v>1084795.873135421</v>
      </c>
      <c r="AO294" s="31">
        <f t="shared" si="235"/>
        <v>1.5707954049624813</v>
      </c>
      <c r="AP294" s="31" t="str">
        <f t="shared" si="216"/>
        <v>1+117.145302605894i</v>
      </c>
      <c r="AQ294" s="31">
        <f t="shared" si="236"/>
        <v>117.14957073172089</v>
      </c>
      <c r="AR294" s="31">
        <f t="shared" si="237"/>
        <v>1.5622601269752272</v>
      </c>
      <c r="AS294" s="58" t="str">
        <f t="shared" si="238"/>
        <v>-3.71623979336108+0.890326342753868i</v>
      </c>
      <c r="AT294" s="49">
        <f t="shared" si="239"/>
        <v>11.644456301646311</v>
      </c>
      <c r="AU294" s="61">
        <f t="shared" si="240"/>
        <v>166.52717395538528</v>
      </c>
      <c r="AV294" s="58" t="str">
        <f t="shared" si="217"/>
        <v>31.2756206206209-0.741368502232383i</v>
      </c>
      <c r="AW294" s="64">
        <f t="shared" si="241"/>
        <v>29.906558328761946</v>
      </c>
      <c r="AX294" s="61">
        <f t="shared" si="242"/>
        <v>-1.3579053631230269</v>
      </c>
    </row>
    <row r="295" spans="14:50" x14ac:dyDescent="0.3">
      <c r="N295" s="10">
        <v>77</v>
      </c>
      <c r="O295" s="50">
        <f t="shared" si="243"/>
        <v>5888.4365535558973</v>
      </c>
      <c r="P295" s="48" t="str">
        <f t="shared" si="208"/>
        <v>51201.9230769231</v>
      </c>
      <c r="Q295" s="17" t="str">
        <f t="shared" si="209"/>
        <v>1+1728.95145050798i</v>
      </c>
      <c r="R295" s="17">
        <f t="shared" si="218"/>
        <v>1728.9517397005761</v>
      </c>
      <c r="S295" s="17">
        <f t="shared" si="219"/>
        <v>1.5702179416191901</v>
      </c>
      <c r="T295" s="17" t="str">
        <f t="shared" si="210"/>
        <v>1+1.10994414106685E-07i</v>
      </c>
      <c r="U295" s="17">
        <f t="shared" si="220"/>
        <v>1.0000000000000062</v>
      </c>
      <c r="V295" s="17">
        <f t="shared" si="221"/>
        <v>1.1099441410668455E-7</v>
      </c>
      <c r="W295" s="31" t="str">
        <f t="shared" si="211"/>
        <v>1-0.0599369836176098i</v>
      </c>
      <c r="X295" s="17">
        <f t="shared" si="222"/>
        <v>1.0017946106888265</v>
      </c>
      <c r="Y295" s="17">
        <f t="shared" si="223"/>
        <v>-5.9865364547555568E-2</v>
      </c>
      <c r="Z295" s="31" t="str">
        <f t="shared" si="212"/>
        <v>0.986130525981899+3.65757083687869i</v>
      </c>
      <c r="AA295" s="17">
        <f t="shared" si="224"/>
        <v>3.7881760572944359</v>
      </c>
      <c r="AB295" s="17">
        <f t="shared" si="225"/>
        <v>1.3074447529266959</v>
      </c>
      <c r="AC295" s="66" t="str">
        <f t="shared" si="226"/>
        <v>-7.66912718570347-1.58708965938623i</v>
      </c>
      <c r="AD295" s="64">
        <f t="shared" si="227"/>
        <v>17.877038760173289</v>
      </c>
      <c r="AE295" s="61">
        <f t="shared" si="228"/>
        <v>-168.30795362779895</v>
      </c>
      <c r="AF295" s="31" t="str">
        <f t="shared" si="213"/>
        <v>-0.332666666666667</v>
      </c>
      <c r="AG295" s="31" t="str">
        <f t="shared" si="229"/>
        <v>36998.1380355616i</v>
      </c>
      <c r="AH295" s="31">
        <f t="shared" si="230"/>
        <v>36998.138035561598</v>
      </c>
      <c r="AI295" s="31">
        <f t="shared" si="231"/>
        <v>1.5707963267948966</v>
      </c>
      <c r="AJ295" s="31" t="str">
        <f t="shared" si="214"/>
        <v>-72.0330154311851+305.103924371704i</v>
      </c>
      <c r="AK295" s="31">
        <f t="shared" si="232"/>
        <v>313.49188183926526</v>
      </c>
      <c r="AL295" s="31">
        <f t="shared" si="233"/>
        <v>1.8026441886387006</v>
      </c>
      <c r="AM295" s="31" t="str">
        <f t="shared" si="215"/>
        <v>1+1110064.01503408i</v>
      </c>
      <c r="AN295" s="31">
        <f t="shared" si="234"/>
        <v>1110064.0150345305</v>
      </c>
      <c r="AO295" s="31">
        <f t="shared" si="235"/>
        <v>1.5707954259459487</v>
      </c>
      <c r="AP295" s="31" t="str">
        <f t="shared" si="216"/>
        <v>1+119.87396723522i</v>
      </c>
      <c r="AQ295" s="31">
        <f t="shared" si="236"/>
        <v>119.87813821006146</v>
      </c>
      <c r="AR295" s="31">
        <f t="shared" si="237"/>
        <v>1.5624544254865189</v>
      </c>
      <c r="AS295" s="58" t="str">
        <f t="shared" si="238"/>
        <v>-3.7071591352187+0.907952945684097i</v>
      </c>
      <c r="AT295" s="49">
        <f t="shared" si="239"/>
        <v>11.633822662716112</v>
      </c>
      <c r="AU295" s="61">
        <f t="shared" si="240"/>
        <v>166.23808867429048</v>
      </c>
      <c r="AV295" s="58" t="str">
        <f t="shared" si="217"/>
        <v>29.8716776369392-1.07961268988066i</v>
      </c>
      <c r="AW295" s="64">
        <f t="shared" si="241"/>
        <v>29.510861422889402</v>
      </c>
      <c r="AX295" s="61">
        <f t="shared" si="242"/>
        <v>-2.0698649535085067</v>
      </c>
    </row>
    <row r="296" spans="14:50" x14ac:dyDescent="0.3">
      <c r="N296" s="10">
        <v>78</v>
      </c>
      <c r="O296" s="50">
        <f t="shared" si="243"/>
        <v>6025.595860743585</v>
      </c>
      <c r="P296" s="48" t="str">
        <f t="shared" si="208"/>
        <v>51201.9230769231</v>
      </c>
      <c r="Q296" s="17" t="str">
        <f t="shared" si="209"/>
        <v>1+1769.22390329846i</v>
      </c>
      <c r="R296" s="17">
        <f t="shared" si="218"/>
        <v>1769.2241859082301</v>
      </c>
      <c r="S296" s="17">
        <f t="shared" si="219"/>
        <v>1.5702311072703103</v>
      </c>
      <c r="T296" s="17" t="str">
        <f t="shared" si="210"/>
        <v>1+1.13579806137679E-07i</v>
      </c>
      <c r="U296" s="17">
        <f t="shared" si="220"/>
        <v>1.0000000000000064</v>
      </c>
      <c r="V296" s="17">
        <f t="shared" si="221"/>
        <v>1.1357980613767851E-7</v>
      </c>
      <c r="W296" s="31" t="str">
        <f t="shared" si="211"/>
        <v>1-0.0613330953143464i</v>
      </c>
      <c r="X296" s="17">
        <f t="shared" si="222"/>
        <v>1.001879108765543</v>
      </c>
      <c r="Y296" s="17">
        <f t="shared" si="223"/>
        <v>-6.1256361869768572E-2</v>
      </c>
      <c r="Z296" s="31" t="str">
        <f t="shared" si="212"/>
        <v>0.985476877809196+3.74276660614842i</v>
      </c>
      <c r="AA296" s="17">
        <f t="shared" si="224"/>
        <v>3.8703315807300438</v>
      </c>
      <c r="AB296" s="17">
        <f t="shared" si="225"/>
        <v>1.3133381082163804</v>
      </c>
      <c r="AC296" s="66" t="str">
        <f t="shared" si="226"/>
        <v>-7.34697180061497-1.4645936811938i</v>
      </c>
      <c r="AD296" s="64">
        <f t="shared" si="227"/>
        <v>17.491411044168284</v>
      </c>
      <c r="AE296" s="61">
        <f t="shared" si="228"/>
        <v>-168.72607047705756</v>
      </c>
      <c r="AF296" s="31" t="str">
        <f t="shared" si="213"/>
        <v>-0.332666666666667</v>
      </c>
      <c r="AG296" s="31" t="str">
        <f t="shared" si="229"/>
        <v>37859.9353792262i</v>
      </c>
      <c r="AH296" s="31">
        <f t="shared" si="230"/>
        <v>37859.935379226197</v>
      </c>
      <c r="AI296" s="31">
        <f t="shared" si="231"/>
        <v>1.5707963267948966</v>
      </c>
      <c r="AJ296" s="31" t="str">
        <f t="shared" si="214"/>
        <v>-75.4749554082356+312.210707726922i</v>
      </c>
      <c r="AK296" s="31">
        <f t="shared" si="232"/>
        <v>321.20397711301877</v>
      </c>
      <c r="AL296" s="31">
        <f t="shared" si="233"/>
        <v>1.8079893376685952</v>
      </c>
      <c r="AM296" s="31" t="str">
        <f t="shared" si="215"/>
        <v>1+1135920.72756742i</v>
      </c>
      <c r="AN296" s="31">
        <f t="shared" si="234"/>
        <v>1135920.7275678602</v>
      </c>
      <c r="AO296" s="31">
        <f t="shared" si="235"/>
        <v>1.5707954464517744</v>
      </c>
      <c r="AP296" s="31" t="str">
        <f t="shared" si="216"/>
        <v>1+122.666190628693i</v>
      </c>
      <c r="AQ296" s="31">
        <f t="shared" si="236"/>
        <v>122.6702666637472</v>
      </c>
      <c r="AR296" s="31">
        <f t="shared" si="237"/>
        <v>1.5626443018323561</v>
      </c>
      <c r="AS296" s="58" t="str">
        <f t="shared" si="238"/>
        <v>-3.69769821309983+0.925867551216909i</v>
      </c>
      <c r="AT296" s="49">
        <f t="shared" si="239"/>
        <v>11.622716757739877</v>
      </c>
      <c r="AU296" s="61">
        <f t="shared" si="240"/>
        <v>165.94271448215207</v>
      </c>
      <c r="AV296" s="58" t="str">
        <f t="shared" si="217"/>
        <v>28.5229042639635-1.38669735202745i</v>
      </c>
      <c r="AW296" s="64">
        <f t="shared" si="241"/>
        <v>29.114127801908168</v>
      </c>
      <c r="AX296" s="61">
        <f t="shared" si="242"/>
        <v>-2.7833559949054987</v>
      </c>
    </row>
    <row r="297" spans="14:50" x14ac:dyDescent="0.3">
      <c r="N297" s="10">
        <v>79</v>
      </c>
      <c r="O297" s="50">
        <f t="shared" si="243"/>
        <v>6165.9500186148289</v>
      </c>
      <c r="P297" s="48" t="str">
        <f t="shared" si="208"/>
        <v>51201.9230769231</v>
      </c>
      <c r="Q297" s="17" t="str">
        <f t="shared" si="209"/>
        <v>1+1810.43442202091i</v>
      </c>
      <c r="R297" s="17">
        <f t="shared" si="218"/>
        <v>1810.4346981976971</v>
      </c>
      <c r="S297" s="17">
        <f t="shared" si="219"/>
        <v>1.5702439732348126</v>
      </c>
      <c r="T297" s="17" t="str">
        <f t="shared" si="210"/>
        <v>1+1.16225419685293E-07i</v>
      </c>
      <c r="U297" s="17">
        <f t="shared" si="220"/>
        <v>1.0000000000000067</v>
      </c>
      <c r="V297" s="17">
        <f t="shared" si="221"/>
        <v>1.1622541968529248E-7</v>
      </c>
      <c r="W297" s="31" t="str">
        <f t="shared" si="211"/>
        <v>1-0.0627617266300583i</v>
      </c>
      <c r="X297" s="17">
        <f t="shared" si="222"/>
        <v>1.00196758147636</v>
      </c>
      <c r="Y297" s="17">
        <f t="shared" si="223"/>
        <v>-6.267951398057274E-2</v>
      </c>
      <c r="Z297" s="31" t="str">
        <f t="shared" si="212"/>
        <v>0.984792424147177+3.8299468398141i</v>
      </c>
      <c r="AA297" s="17">
        <f t="shared" si="224"/>
        <v>3.9545301761978857</v>
      </c>
      <c r="AB297" s="17">
        <f t="shared" si="225"/>
        <v>1.3191188572918537</v>
      </c>
      <c r="AC297" s="66" t="str">
        <f t="shared" si="226"/>
        <v>-7.03741317716097-1.35015357880266i</v>
      </c>
      <c r="AD297" s="64">
        <f t="shared" si="227"/>
        <v>17.105243691188104</v>
      </c>
      <c r="AE297" s="61">
        <f t="shared" si="228"/>
        <v>-169.13956062494333</v>
      </c>
      <c r="AF297" s="31" t="str">
        <f t="shared" si="213"/>
        <v>-0.332666666666667</v>
      </c>
      <c r="AG297" s="31" t="str">
        <f t="shared" si="229"/>
        <v>38741.8065617644i</v>
      </c>
      <c r="AH297" s="31">
        <f t="shared" si="230"/>
        <v>38741.806561764402</v>
      </c>
      <c r="AI297" s="31">
        <f t="shared" si="231"/>
        <v>1.5707963267948966</v>
      </c>
      <c r="AJ297" s="31" t="str">
        <f t="shared" si="214"/>
        <v>-79.0791090188833+319.483029331974i</v>
      </c>
      <c r="AK297" s="31">
        <f t="shared" si="232"/>
        <v>329.12446204187768</v>
      </c>
      <c r="AL297" s="31">
        <f t="shared" si="233"/>
        <v>1.8134414885863623</v>
      </c>
      <c r="AM297" s="31" t="str">
        <f t="shared" si="215"/>
        <v>1+1162379.72030619i</v>
      </c>
      <c r="AN297" s="31">
        <f t="shared" si="234"/>
        <v>1162379.72030662</v>
      </c>
      <c r="AO297" s="31">
        <f t="shared" si="235"/>
        <v>1.5707954664908303</v>
      </c>
      <c r="AP297" s="31" t="str">
        <f t="shared" si="216"/>
        <v>1+125.523453260117i</v>
      </c>
      <c r="AQ297" s="31">
        <f t="shared" si="236"/>
        <v>125.52743651626434</v>
      </c>
      <c r="AR297" s="31">
        <f t="shared" si="237"/>
        <v>1.5628298566328944</v>
      </c>
      <c r="AS297" s="58" t="str">
        <f t="shared" si="238"/>
        <v>-3.68784327000394+0.944067408850667i</v>
      </c>
      <c r="AT297" s="49">
        <f t="shared" si="239"/>
        <v>11.611118803751378</v>
      </c>
      <c r="AU297" s="61">
        <f t="shared" si="240"/>
        <v>165.64096190038816</v>
      </c>
      <c r="AV297" s="58" t="str">
        <f t="shared" si="217"/>
        <v>27.2275128143208-1.66463763411477i</v>
      </c>
      <c r="AW297" s="64">
        <f t="shared" si="241"/>
        <v>28.716362494939478</v>
      </c>
      <c r="AX297" s="61">
        <f t="shared" si="242"/>
        <v>-3.4985987245551509</v>
      </c>
    </row>
    <row r="298" spans="14:50" x14ac:dyDescent="0.3">
      <c r="N298" s="10">
        <v>80</v>
      </c>
      <c r="O298" s="50">
        <f t="shared" si="243"/>
        <v>6309.5734448019384</v>
      </c>
      <c r="P298" s="48" t="str">
        <f t="shared" si="208"/>
        <v>51201.9230769231</v>
      </c>
      <c r="Q298" s="17" t="str">
        <f t="shared" si="209"/>
        <v>1+1852.60485703786i</v>
      </c>
      <c r="R298" s="17">
        <f t="shared" si="218"/>
        <v>1852.6051269280968</v>
      </c>
      <c r="S298" s="17">
        <f t="shared" si="219"/>
        <v>1.5702565463343845</v>
      </c>
      <c r="T298" s="17" t="str">
        <f t="shared" si="210"/>
        <v>1+1.1893265748885E-07i</v>
      </c>
      <c r="U298" s="17">
        <f t="shared" si="220"/>
        <v>1.0000000000000071</v>
      </c>
      <c r="V298" s="17">
        <f t="shared" si="221"/>
        <v>1.1893265748884945E-7</v>
      </c>
      <c r="W298" s="31" t="str">
        <f t="shared" si="211"/>
        <v>1-0.064223635043979i</v>
      </c>
      <c r="X298" s="17">
        <f t="shared" si="222"/>
        <v>1.0020602154053728</v>
      </c>
      <c r="Y298" s="17">
        <f t="shared" si="223"/>
        <v>-6.4135552381855879E-2</v>
      </c>
      <c r="Z298" s="31" t="str">
        <f t="shared" si="212"/>
        <v>0.98407571317786+3.91915776198958i</v>
      </c>
      <c r="AA298" s="17">
        <f t="shared" si="224"/>
        <v>4.0408170674542649</v>
      </c>
      <c r="AB298" s="17">
        <f t="shared" si="225"/>
        <v>1.3247885905971537</v>
      </c>
      <c r="AC298" s="66" t="str">
        <f t="shared" si="226"/>
        <v>-6.74003603290553-1.24328445238404i</v>
      </c>
      <c r="AD298" s="64">
        <f t="shared" si="227"/>
        <v>16.718560822475791</v>
      </c>
      <c r="AE298" s="61">
        <f t="shared" si="228"/>
        <v>-169.54855749993186</v>
      </c>
      <c r="AF298" s="31" t="str">
        <f t="shared" si="213"/>
        <v>-0.332666666666667</v>
      </c>
      <c r="AG298" s="31" t="str">
        <f t="shared" si="229"/>
        <v>39644.21916295i</v>
      </c>
      <c r="AH298" s="31">
        <f t="shared" si="230"/>
        <v>39644.219162950001</v>
      </c>
      <c r="AI298" s="31">
        <f t="shared" si="231"/>
        <v>1.5707963267948966</v>
      </c>
      <c r="AJ298" s="31" t="str">
        <f t="shared" si="214"/>
        <v>-82.8531211561527+326.924745068035i</v>
      </c>
      <c r="AK298" s="31">
        <f t="shared" si="232"/>
        <v>337.26017942104545</v>
      </c>
      <c r="AL298" s="31">
        <f t="shared" si="233"/>
        <v>1.8190022864548119</v>
      </c>
      <c r="AM298" s="31" t="str">
        <f t="shared" si="215"/>
        <v>1+1189455.02215859i</v>
      </c>
      <c r="AN298" s="31">
        <f t="shared" si="234"/>
        <v>1189455.0221590104</v>
      </c>
      <c r="AO298" s="31">
        <f t="shared" si="235"/>
        <v>1.5707954860737416</v>
      </c>
      <c r="AP298" s="31" t="str">
        <f t="shared" si="216"/>
        <v>1+128.447270087958i</v>
      </c>
      <c r="AQ298" s="31">
        <f t="shared" si="236"/>
        <v>128.45116267690545</v>
      </c>
      <c r="AR298" s="31">
        <f t="shared" si="237"/>
        <v>1.5630111882206055</v>
      </c>
      <c r="AS298" s="58" t="str">
        <f t="shared" si="238"/>
        <v>-3.67758025005692+0.96254921796744i</v>
      </c>
      <c r="AT298" s="49">
        <f t="shared" si="239"/>
        <v>11.599008309602883</v>
      </c>
      <c r="AU298" s="61">
        <f t="shared" si="240"/>
        <v>165.3327423084871</v>
      </c>
      <c r="AV298" s="58" t="str">
        <f t="shared" si="217"/>
        <v>25.9837458766387-1.91533806525521i</v>
      </c>
      <c r="AW298" s="64">
        <f t="shared" si="241"/>
        <v>28.31756913207867</v>
      </c>
      <c r="AX298" s="61">
        <f t="shared" si="242"/>
        <v>-4.2158151914447437</v>
      </c>
    </row>
    <row r="299" spans="14:50" x14ac:dyDescent="0.3">
      <c r="N299" s="10">
        <v>81</v>
      </c>
      <c r="O299" s="50">
        <f t="shared" si="243"/>
        <v>6456.5422903465615</v>
      </c>
      <c r="P299" s="48" t="str">
        <f t="shared" si="208"/>
        <v>51201.9230769231</v>
      </c>
      <c r="Q299" s="17" t="str">
        <f t="shared" si="209"/>
        <v>1+1895.75756767213i</v>
      </c>
      <c r="R299" s="17">
        <f t="shared" si="218"/>
        <v>1895.7578314189159</v>
      </c>
      <c r="S299" s="17">
        <f t="shared" si="219"/>
        <v>1.5702688332354338</v>
      </c>
      <c r="T299" s="17" t="str">
        <f t="shared" si="210"/>
        <v>1+1.21702954961668E-07i</v>
      </c>
      <c r="U299" s="17">
        <f t="shared" si="220"/>
        <v>1.0000000000000075</v>
      </c>
      <c r="V299" s="17">
        <f t="shared" si="221"/>
        <v>1.217029549616674E-7</v>
      </c>
      <c r="W299" s="31" t="str">
        <f t="shared" si="211"/>
        <v>1-0.0657195956793005i</v>
      </c>
      <c r="X299" s="17">
        <f t="shared" si="222"/>
        <v>1.0021572058595651</v>
      </c>
      <c r="Y299" s="17">
        <f t="shared" si="223"/>
        <v>-6.5625224375557914E-2</v>
      </c>
      <c r="Z299" s="31" t="str">
        <f t="shared" si="212"/>
        <v>0.983325224661187+4.01044667348667i</v>
      </c>
      <c r="AA299" s="17">
        <f t="shared" si="224"/>
        <v>4.1292385518803911</v>
      </c>
      <c r="AB299" s="17">
        <f t="shared" si="225"/>
        <v>1.33034892591263</v>
      </c>
      <c r="AC299" s="66" t="str">
        <f t="shared" si="226"/>
        <v>-6.45443230026405-1.14352767958814i</v>
      </c>
      <c r="AD299" s="64">
        <f t="shared" si="227"/>
        <v>16.331385884401655</v>
      </c>
      <c r="AE299" s="61">
        <f t="shared" si="228"/>
        <v>-169.95319699313117</v>
      </c>
      <c r="AF299" s="31" t="str">
        <f t="shared" si="213"/>
        <v>-0.332666666666667</v>
      </c>
      <c r="AG299" s="31" t="str">
        <f t="shared" si="229"/>
        <v>40567.6516538892i</v>
      </c>
      <c r="AH299" s="31">
        <f t="shared" si="230"/>
        <v>40567.651653889203</v>
      </c>
      <c r="AI299" s="31">
        <f t="shared" si="231"/>
        <v>1.5707963267948966</v>
      </c>
      <c r="AJ299" s="31" t="str">
        <f t="shared" si="214"/>
        <v>-86.8049970057788+334.539800631292i</v>
      </c>
      <c r="AK299" s="31">
        <f t="shared" si="232"/>
        <v>345.61826588245862</v>
      </c>
      <c r="AL299" s="31">
        <f t="shared" si="233"/>
        <v>1.824673355731901</v>
      </c>
      <c r="AM299" s="31" t="str">
        <f t="shared" si="215"/>
        <v>1+1217160.98880804i</v>
      </c>
      <c r="AN299" s="31">
        <f t="shared" si="234"/>
        <v>1217160.9888084508</v>
      </c>
      <c r="AO299" s="31">
        <f t="shared" si="235"/>
        <v>1.5707955052108915</v>
      </c>
      <c r="AP299" s="31" t="str">
        <f t="shared" si="216"/>
        <v>1+131.439191358601i</v>
      </c>
      <c r="AQ299" s="31">
        <f t="shared" si="236"/>
        <v>131.44299534400045</v>
      </c>
      <c r="AR299" s="31">
        <f t="shared" si="237"/>
        <v>1.563188392692171</v>
      </c>
      <c r="AS299" s="58" t="str">
        <f t="shared" si="238"/>
        <v>-3.66689481093017+0.981309094295527i</v>
      </c>
      <c r="AT299" s="49">
        <f t="shared" si="239"/>
        <v>11.586364060959284</v>
      </c>
      <c r="AU299" s="61">
        <f t="shared" si="240"/>
        <v>165.01796813839314</v>
      </c>
      <c r="AV299" s="58" t="str">
        <f t="shared" si="217"/>
        <v>24.7898784208968-2.14059740032714i</v>
      </c>
      <c r="AW299" s="64">
        <f t="shared" si="241"/>
        <v>27.917749945360939</v>
      </c>
      <c r="AX299" s="61">
        <f t="shared" si="242"/>
        <v>-4.9352288547380443</v>
      </c>
    </row>
    <row r="300" spans="14:50" x14ac:dyDescent="0.3">
      <c r="N300" s="10">
        <v>82</v>
      </c>
      <c r="O300" s="50">
        <f t="shared" si="243"/>
        <v>6606.9344800759654</v>
      </c>
      <c r="P300" s="48" t="str">
        <f t="shared" si="208"/>
        <v>51201.9230769231</v>
      </c>
      <c r="Q300" s="17" t="str">
        <f t="shared" si="209"/>
        <v>1+1939.9154340621i</v>
      </c>
      <c r="R300" s="17">
        <f t="shared" si="218"/>
        <v>1939.9156918052768</v>
      </c>
      <c r="S300" s="17">
        <f t="shared" si="219"/>
        <v>1.5702808404526232</v>
      </c>
      <c r="T300" s="17" t="str">
        <f t="shared" si="210"/>
        <v>1+1.24537780952135E-07i</v>
      </c>
      <c r="U300" s="17">
        <f t="shared" si="220"/>
        <v>1.0000000000000078</v>
      </c>
      <c r="V300" s="17">
        <f t="shared" si="221"/>
        <v>1.2453778095213435E-7</v>
      </c>
      <c r="W300" s="31" t="str">
        <f t="shared" si="211"/>
        <v>1-0.0672504017141526i</v>
      </c>
      <c r="X300" s="17">
        <f t="shared" si="222"/>
        <v>1.0022587572731478</v>
      </c>
      <c r="Y300" s="17">
        <f t="shared" si="223"/>
        <v>-6.7149293344469077E-2</v>
      </c>
      <c r="Z300" s="31" t="str">
        <f t="shared" si="212"/>
        <v>0.982539366710393+4.10386197689457i</v>
      </c>
      <c r="AA300" s="17">
        <f t="shared" si="224"/>
        <v>4.2198420269645949</v>
      </c>
      <c r="AB300" s="17">
        <f t="shared" si="225"/>
        <v>1.3358015046620138</v>
      </c>
      <c r="AC300" s="66" t="str">
        <f t="shared" si="226"/>
        <v>-6.18020159577607-1.05044975557284i</v>
      </c>
      <c r="AD300" s="64">
        <f t="shared" si="227"/>
        <v>15.943741665486314</v>
      </c>
      <c r="AE300" s="61">
        <f t="shared" si="228"/>
        <v>-170.35361726298413</v>
      </c>
      <c r="AF300" s="31" t="str">
        <f t="shared" si="213"/>
        <v>-0.332666666666667</v>
      </c>
      <c r="AG300" s="31" t="str">
        <f t="shared" si="229"/>
        <v>41512.5936507115i</v>
      </c>
      <c r="AH300" s="31">
        <f t="shared" si="230"/>
        <v>41512.593650711497</v>
      </c>
      <c r="AI300" s="31">
        <f t="shared" si="231"/>
        <v>1.5707963267948966</v>
      </c>
      <c r="AJ300" s="31" t="str">
        <f t="shared" si="214"/>
        <v>-90.9431190262743+342.332233625002i</v>
      </c>
      <c r="AK300" s="31">
        <f t="shared" si="232"/>
        <v>354.20616747441039</v>
      </c>
      <c r="AL300" s="31">
        <f t="shared" si="233"/>
        <v>1.8304562967308133</v>
      </c>
      <c r="AM300" s="31" t="str">
        <f t="shared" si="215"/>
        <v>1+1245512.31032478i</v>
      </c>
      <c r="AN300" s="31">
        <f t="shared" si="234"/>
        <v>1245512.3103251816</v>
      </c>
      <c r="AO300" s="31">
        <f t="shared" si="235"/>
        <v>1.5707955239124267</v>
      </c>
      <c r="AP300" s="31" t="str">
        <f t="shared" si="216"/>
        <v>1+134.500803428305i</v>
      </c>
      <c r="AQ300" s="31">
        <f t="shared" si="236"/>
        <v>134.50452082684635</v>
      </c>
      <c r="AR300" s="31">
        <f t="shared" si="237"/>
        <v>1.563361563959206</v>
      </c>
      <c r="AS300" s="58" t="str">
        <f t="shared" si="238"/>
        <v>-3.65577233851057+1.00034253557687i</v>
      </c>
      <c r="AT300" s="49">
        <f t="shared" si="239"/>
        <v>11.573164105986717</v>
      </c>
      <c r="AU300" s="61">
        <f t="shared" si="240"/>
        <v>164.69655308023536</v>
      </c>
      <c r="AV300" s="58" t="str">
        <f t="shared" si="217"/>
        <v>23.6442196122429-2.34211337527647i</v>
      </c>
      <c r="AW300" s="64">
        <f t="shared" si="241"/>
        <v>27.516905771473041</v>
      </c>
      <c r="AX300" s="61">
        <f t="shared" si="242"/>
        <v>-5.657064182748754</v>
      </c>
    </row>
    <row r="301" spans="14:50" x14ac:dyDescent="0.3">
      <c r="N301" s="10">
        <v>83</v>
      </c>
      <c r="O301" s="50">
        <f t="shared" si="243"/>
        <v>6760.8297539198229</v>
      </c>
      <c r="P301" s="48" t="str">
        <f t="shared" si="208"/>
        <v>51201.9230769231</v>
      </c>
      <c r="Q301" s="17" t="str">
        <f t="shared" si="209"/>
        <v>1+1985.10186929302i</v>
      </c>
      <c r="R301" s="17">
        <f t="shared" si="218"/>
        <v>1985.1021211692469</v>
      </c>
      <c r="S301" s="17">
        <f t="shared" si="219"/>
        <v>1.5702925743523244</v>
      </c>
      <c r="T301" s="17" t="str">
        <f t="shared" si="210"/>
        <v>1+1.27438638522515E-07i</v>
      </c>
      <c r="U301" s="17">
        <f t="shared" si="220"/>
        <v>1.000000000000008</v>
      </c>
      <c r="V301" s="17">
        <f t="shared" si="221"/>
        <v>1.2743863852251431E-7</v>
      </c>
      <c r="W301" s="31" t="str">
        <f t="shared" si="211"/>
        <v>1-0.068816864802158i</v>
      </c>
      <c r="X301" s="17">
        <f t="shared" si="222"/>
        <v>1.00236508363031</v>
      </c>
      <c r="Y301" s="17">
        <f t="shared" si="223"/>
        <v>-6.8708539033498203E-2</v>
      </c>
      <c r="Z301" s="31" t="str">
        <f t="shared" si="212"/>
        <v>0.981716472415405+4.19945320224365i</v>
      </c>
      <c r="AA301" s="17">
        <f t="shared" si="224"/>
        <v>4.3126760172827954</v>
      </c>
      <c r="AB301" s="17">
        <f t="shared" si="225"/>
        <v>1.3411479884222723</v>
      </c>
      <c r="AC301" s="66" t="str">
        <f t="shared" si="226"/>
        <v>-5.91695162234067-0.96364115748972i</v>
      </c>
      <c r="AD301" s="64">
        <f t="shared" si="227"/>
        <v>15.555650314356033</v>
      </c>
      <c r="AE301" s="61">
        <f t="shared" si="228"/>
        <v>-170.7499585516108</v>
      </c>
      <c r="AF301" s="31" t="str">
        <f t="shared" si="213"/>
        <v>-0.332666666666667</v>
      </c>
      <c r="AG301" s="31" t="str">
        <f t="shared" si="229"/>
        <v>42479.5461741716i</v>
      </c>
      <c r="AH301" s="31">
        <f t="shared" si="230"/>
        <v>42479.546174171599</v>
      </c>
      <c r="AI301" s="31">
        <f t="shared" si="231"/>
        <v>1.5707963267948966</v>
      </c>
      <c r="AJ301" s="31" t="str">
        <f t="shared" si="214"/>
        <v>-95.2762647292539+350.306175700282i</v>
      </c>
      <c r="AK301" s="31">
        <f t="shared" si="232"/>
        <v>363.03165613278918</v>
      </c>
      <c r="AL301" s="31">
        <f t="shared" si="233"/>
        <v>1.836352681876541</v>
      </c>
      <c r="AM301" s="31" t="str">
        <f t="shared" si="215"/>
        <v>1+1274524.01895475i</v>
      </c>
      <c r="AN301" s="31">
        <f t="shared" si="234"/>
        <v>1274524.0189551422</v>
      </c>
      <c r="AO301" s="31">
        <f t="shared" si="235"/>
        <v>1.5707955421882629</v>
      </c>
      <c r="AP301" s="31" t="str">
        <f t="shared" si="216"/>
        <v>1+137.633729604316i</v>
      </c>
      <c r="AQ301" s="31">
        <f t="shared" si="236"/>
        <v>137.63736238679513</v>
      </c>
      <c r="AR301" s="31">
        <f t="shared" si="237"/>
        <v>1.5635307937978398</v>
      </c>
      <c r="AS301" s="58" t="str">
        <f t="shared" si="238"/>
        <v>-3.64419796398267+1.01964438653753i</v>
      </c>
      <c r="AT301" s="49">
        <f t="shared" si="239"/>
        <v>11.559385741852735</v>
      </c>
      <c r="AU301" s="61">
        <f t="shared" si="240"/>
        <v>164.36841229965117</v>
      </c>
      <c r="AV301" s="58" t="str">
        <f t="shared" si="217"/>
        <v>22.5451143519887-2.52148736299985i</v>
      </c>
      <c r="AW301" s="64">
        <f t="shared" si="241"/>
        <v>27.115036056208751</v>
      </c>
      <c r="AX301" s="61">
        <f t="shared" si="242"/>
        <v>-6.3815462519596453</v>
      </c>
    </row>
    <row r="302" spans="14:50" x14ac:dyDescent="0.3">
      <c r="N302" s="10">
        <v>84</v>
      </c>
      <c r="O302" s="50">
        <f t="shared" si="243"/>
        <v>6918.3097091893687</v>
      </c>
      <c r="P302" s="48" t="str">
        <f t="shared" si="208"/>
        <v>51201.9230769231</v>
      </c>
      <c r="Q302" s="17" t="str">
        <f t="shared" si="209"/>
        <v>1+2031.34083181097i</v>
      </c>
      <c r="R302" s="17">
        <f t="shared" si="218"/>
        <v>2031.3410779537944</v>
      </c>
      <c r="S302" s="17">
        <f t="shared" si="219"/>
        <v>1.5703040411559934</v>
      </c>
      <c r="T302" s="17" t="str">
        <f t="shared" si="210"/>
        <v>1+1.3040706574589E-07i</v>
      </c>
      <c r="U302" s="17">
        <f t="shared" si="220"/>
        <v>1.0000000000000084</v>
      </c>
      <c r="V302" s="17">
        <f t="shared" si="221"/>
        <v>1.3040706574588925E-7</v>
      </c>
      <c r="W302" s="31" t="str">
        <f t="shared" si="211"/>
        <v>1-0.0704198155027803i</v>
      </c>
      <c r="X302" s="17">
        <f t="shared" si="222"/>
        <v>1.0024764089071851</v>
      </c>
      <c r="Y302" s="17">
        <f t="shared" si="223"/>
        <v>-7.0303757831001609E-2</v>
      </c>
      <c r="Z302" s="31" t="str">
        <f t="shared" si="212"/>
        <v>0.980854796307094+4.2972710332669i</v>
      </c>
      <c r="AA302" s="17">
        <f t="shared" si="224"/>
        <v>4.4077902019938975</v>
      </c>
      <c r="AB302" s="17">
        <f t="shared" si="225"/>
        <v>1.3463900556317214</v>
      </c>
      <c r="AC302" s="66" t="str">
        <f t="shared" si="226"/>
        <v>-5.66429850896503-0.882715235999986i</v>
      </c>
      <c r="AD302" s="64">
        <f t="shared" si="227"/>
        <v>15.167133358518548</v>
      </c>
      <c r="AE302" s="61">
        <f t="shared" si="228"/>
        <v>-171.14236301250941</v>
      </c>
      <c r="AF302" s="31" t="str">
        <f t="shared" si="213"/>
        <v>-0.332666666666667</v>
      </c>
      <c r="AG302" s="31" t="str">
        <f t="shared" si="229"/>
        <v>43469.0219152965i</v>
      </c>
      <c r="AH302" s="31">
        <f t="shared" si="230"/>
        <v>43469.0219152965</v>
      </c>
      <c r="AI302" s="31">
        <f t="shared" si="231"/>
        <v>1.5707963267948966</v>
      </c>
      <c r="AJ302" s="31" t="str">
        <f t="shared" si="214"/>
        <v>-99.813625297708+358.46585474677i</v>
      </c>
      <c r="AK302" s="31">
        <f t="shared" si="232"/>
        <v>372.10284709257962</v>
      </c>
      <c r="AL302" s="31">
        <f t="shared" si="233"/>
        <v>1.8423640517551361</v>
      </c>
      <c r="AM302" s="31" t="str">
        <f t="shared" si="215"/>
        <v>1+1304211.4970899i</v>
      </c>
      <c r="AN302" s="31">
        <f t="shared" si="234"/>
        <v>1304211.4970902835</v>
      </c>
      <c r="AO302" s="31">
        <f t="shared" si="235"/>
        <v>1.5707955600480905</v>
      </c>
      <c r="AP302" s="31" t="str">
        <f t="shared" si="216"/>
        <v>1+140.839631005561i</v>
      </c>
      <c r="AQ302" s="31">
        <f t="shared" si="236"/>
        <v>140.84318109792386</v>
      </c>
      <c r="AR302" s="31">
        <f t="shared" si="237"/>
        <v>1.563696171897178</v>
      </c>
      <c r="AS302" s="58" t="str">
        <f t="shared" si="238"/>
        <v>-3.63215658348793+1.03920880327647i</v>
      </c>
      <c r="AT302" s="49">
        <f t="shared" si="239"/>
        <v>11.545005502166109</v>
      </c>
      <c r="AU302" s="61">
        <f t="shared" si="240"/>
        <v>164.03346266692438</v>
      </c>
      <c r="AV302" s="58" t="str">
        <f t="shared" si="217"/>
        <v>21.4909445642157-2.68022891911979i</v>
      </c>
      <c r="AW302" s="64">
        <f t="shared" si="241"/>
        <v>26.712138860684679</v>
      </c>
      <c r="AX302" s="61">
        <f t="shared" si="242"/>
        <v>-7.1089003455850195</v>
      </c>
    </row>
    <row r="303" spans="14:50" x14ac:dyDescent="0.3">
      <c r="N303" s="10">
        <v>85</v>
      </c>
      <c r="O303" s="50">
        <f t="shared" si="243"/>
        <v>7079.4578438413828</v>
      </c>
      <c r="P303" s="48" t="str">
        <f t="shared" si="208"/>
        <v>51201.9230769231</v>
      </c>
      <c r="Q303" s="17" t="str">
        <f t="shared" si="209"/>
        <v>1+2078.65683812592i</v>
      </c>
      <c r="R303" s="17">
        <f t="shared" si="218"/>
        <v>2078.6570786658503</v>
      </c>
      <c r="S303" s="17">
        <f t="shared" si="219"/>
        <v>1.5703152469434694</v>
      </c>
      <c r="T303" s="17" t="str">
        <f t="shared" si="210"/>
        <v>1+1.33444636521664E-07i</v>
      </c>
      <c r="U303" s="17">
        <f t="shared" si="220"/>
        <v>1.0000000000000089</v>
      </c>
      <c r="V303" s="17">
        <f t="shared" si="221"/>
        <v>1.334446365216632E-7</v>
      </c>
      <c r="W303" s="31" t="str">
        <f t="shared" si="211"/>
        <v>1-0.0720601037216987i</v>
      </c>
      <c r="X303" s="17">
        <f t="shared" si="222"/>
        <v>1.0025929675338752</v>
      </c>
      <c r="Y303" s="17">
        <f t="shared" si="223"/>
        <v>-7.1935763049737769E-2</v>
      </c>
      <c r="Z303" s="31" t="str">
        <f t="shared" si="212"/>
        <v>0.979952510654909+4.39736733427309i</v>
      </c>
      <c r="AA303" s="17">
        <f t="shared" si="224"/>
        <v>4.5052354428676518</v>
      </c>
      <c r="AB303" s="17">
        <f t="shared" si="225"/>
        <v>1.3515293984913666</v>
      </c>
      <c r="AC303" s="66" t="str">
        <f t="shared" si="226"/>
        <v>-5.42186709247671-0.807307135956634i</v>
      </c>
      <c r="AD303" s="64">
        <f t="shared" si="227"/>
        <v>14.778211723857236</v>
      </c>
      <c r="AE303" s="61">
        <f t="shared" si="228"/>
        <v>-171.53097454930318</v>
      </c>
      <c r="AF303" s="31" t="str">
        <f t="shared" si="213"/>
        <v>-0.332666666666667</v>
      </c>
      <c r="AG303" s="31" t="str">
        <f t="shared" si="229"/>
        <v>44481.5455072214i</v>
      </c>
      <c r="AH303" s="31">
        <f t="shared" si="230"/>
        <v>44481.545507221403</v>
      </c>
      <c r="AI303" s="31">
        <f t="shared" si="231"/>
        <v>1.5707963267948966</v>
      </c>
      <c r="AJ303" s="31" t="str">
        <f t="shared" si="214"/>
        <v>-104.564825081736+366.8155971343i</v>
      </c>
      <c r="AK303" s="31">
        <f t="shared" si="232"/>
        <v>381.42821729044528</v>
      </c>
      <c r="AL303" s="31">
        <f t="shared" si="233"/>
        <v>1.8484919109526565</v>
      </c>
      <c r="AM303" s="31" t="str">
        <f t="shared" si="215"/>
        <v>1+1334590.48542409i</v>
      </c>
      <c r="AN303" s="31">
        <f t="shared" si="234"/>
        <v>1334590.4854244646</v>
      </c>
      <c r="AO303" s="31">
        <f t="shared" si="235"/>
        <v>1.5707955775013787</v>
      </c>
      <c r="AP303" s="31" t="str">
        <f t="shared" si="216"/>
        <v>1+144.120207443397i</v>
      </c>
      <c r="AQ303" s="31">
        <f t="shared" si="236"/>
        <v>144.12367672775969</v>
      </c>
      <c r="AR303" s="31">
        <f t="shared" si="237"/>
        <v>1.5638577859066731</v>
      </c>
      <c r="AS303" s="58" t="str">
        <f t="shared" si="238"/>
        <v>-3.61963288052599+1.05902921720657i</v>
      </c>
      <c r="AT303" s="49">
        <f t="shared" si="239"/>
        <v>11.529999145490633</v>
      </c>
      <c r="AU303" s="61">
        <f t="shared" si="240"/>
        <v>163.69162299811012</v>
      </c>
      <c r="AV303" s="58" t="str">
        <f t="shared" si="217"/>
        <v>20.480130246008-2.81976020875177i</v>
      </c>
      <c r="AW303" s="64">
        <f t="shared" si="241"/>
        <v>26.308210869347871</v>
      </c>
      <c r="AX303" s="61">
        <f t="shared" si="242"/>
        <v>-7.8393515511930678</v>
      </c>
    </row>
    <row r="304" spans="14:50" x14ac:dyDescent="0.3">
      <c r="N304" s="10">
        <v>86</v>
      </c>
      <c r="O304" s="50">
        <f t="shared" si="243"/>
        <v>7244.3596007499036</v>
      </c>
      <c r="P304" s="48" t="str">
        <f t="shared" si="208"/>
        <v>51201.9230769231</v>
      </c>
      <c r="Q304" s="17" t="str">
        <f t="shared" si="209"/>
        <v>1+2127.07497581073i</v>
      </c>
      <c r="R304" s="17">
        <f t="shared" si="218"/>
        <v>2127.0752108753036</v>
      </c>
      <c r="S304" s="17">
        <f t="shared" si="219"/>
        <v>1.5703261976561975</v>
      </c>
      <c r="T304" s="17" t="str">
        <f t="shared" si="210"/>
        <v>1+1.36552961410072E-07i</v>
      </c>
      <c r="U304" s="17">
        <f t="shared" si="220"/>
        <v>1.0000000000000093</v>
      </c>
      <c r="V304" s="17">
        <f t="shared" si="221"/>
        <v>1.3655296141007116E-7</v>
      </c>
      <c r="W304" s="31" t="str">
        <f t="shared" si="211"/>
        <v>1-0.0737385991614387i</v>
      </c>
      <c r="X304" s="17">
        <f t="shared" si="222"/>
        <v>1.0027150048774034</v>
      </c>
      <c r="Y304" s="17">
        <f t="shared" si="223"/>
        <v>-7.3605385206964261E-2</v>
      </c>
      <c r="Z304" s="31" t="str">
        <f t="shared" si="212"/>
        <v>0.979007701590009+4.49979517764596i</v>
      </c>
      <c r="AA304" s="17">
        <f t="shared" si="224"/>
        <v>4.6050638128627908</v>
      </c>
      <c r="AB304" s="17">
        <f t="shared" si="225"/>
        <v>1.3565677200540409</v>
      </c>
      <c r="AC304" s="66" t="str">
        <f t="shared" si="226"/>
        <v>-5.1892911455241-0.737072747988462i</v>
      </c>
      <c r="AD304" s="64">
        <f t="shared" si="227"/>
        <v>14.388905754747991</v>
      </c>
      <c r="AE304" s="61">
        <f t="shared" si="228"/>
        <v>-171.9159386651929</v>
      </c>
      <c r="AF304" s="31" t="str">
        <f t="shared" si="213"/>
        <v>-0.332666666666667</v>
      </c>
      <c r="AG304" s="31" t="str">
        <f t="shared" si="229"/>
        <v>45517.6538033572i</v>
      </c>
      <c r="AH304" s="31">
        <f t="shared" si="230"/>
        <v>45517.6538033572</v>
      </c>
      <c r="AI304" s="31">
        <f t="shared" si="231"/>
        <v>1.5707963267948966</v>
      </c>
      <c r="AJ304" s="31" t="str">
        <f t="shared" si="214"/>
        <v>-109.539942013086+375.359830006809i</v>
      </c>
      <c r="AK304" s="31">
        <f t="shared" si="232"/>
        <v>391.01662481149162</v>
      </c>
      <c r="AL304" s="31">
        <f t="shared" si="233"/>
        <v>1.8547377236815732</v>
      </c>
      <c r="AM304" s="31" t="str">
        <f t="shared" si="215"/>
        <v>1+1365677.09129904i</v>
      </c>
      <c r="AN304" s="31">
        <f t="shared" si="234"/>
        <v>1365677.0912994063</v>
      </c>
      <c r="AO304" s="31">
        <f t="shared" si="235"/>
        <v>1.5707955945573813</v>
      </c>
      <c r="AP304" s="31" t="str">
        <f t="shared" si="216"/>
        <v>1+147.477198322877i</v>
      </c>
      <c r="AQ304" s="31">
        <f t="shared" si="236"/>
        <v>147.48058863852285</v>
      </c>
      <c r="AR304" s="31">
        <f t="shared" si="237"/>
        <v>1.5640157214824226</v>
      </c>
      <c r="AS304" s="58" t="str">
        <f t="shared" si="238"/>
        <v>-3.60661135126396+1.0790982987014i</v>
      </c>
      <c r="AT304" s="49">
        <f t="shared" si="239"/>
        <v>11.514341645078769</v>
      </c>
      <c r="AU304" s="61">
        <f t="shared" si="240"/>
        <v>163.3428143082763</v>
      </c>
      <c r="AV304" s="58" t="str">
        <f t="shared" si="217"/>
        <v>19.5111302988343-2.94142030699879i</v>
      </c>
      <c r="AW304" s="64">
        <f t="shared" si="241"/>
        <v>25.903247399826764</v>
      </c>
      <c r="AX304" s="61">
        <f t="shared" si="242"/>
        <v>-8.5731243569165905</v>
      </c>
    </row>
    <row r="305" spans="14:50" x14ac:dyDescent="0.3">
      <c r="N305" s="10">
        <v>87</v>
      </c>
      <c r="O305" s="50">
        <f t="shared" si="243"/>
        <v>7413.1024130091773</v>
      </c>
      <c r="P305" s="48" t="str">
        <f t="shared" si="208"/>
        <v>51201.9230769231</v>
      </c>
      <c r="Q305" s="17" t="str">
        <f t="shared" si="209"/>
        <v>1+2176.62091680287i</v>
      </c>
      <c r="R305" s="17">
        <f t="shared" si="218"/>
        <v>2176.6211465167212</v>
      </c>
      <c r="S305" s="17">
        <f t="shared" si="219"/>
        <v>1.5703368991003805</v>
      </c>
      <c r="T305" s="17" t="str">
        <f t="shared" si="210"/>
        <v>1+1.39733688486111E-07i</v>
      </c>
      <c r="U305" s="17">
        <f t="shared" si="220"/>
        <v>1.0000000000000098</v>
      </c>
      <c r="V305" s="17">
        <f t="shared" si="221"/>
        <v>1.397336884861101E-7</v>
      </c>
      <c r="W305" s="31" t="str">
        <f t="shared" si="211"/>
        <v>1-0.0754561917824996i</v>
      </c>
      <c r="X305" s="17">
        <f t="shared" si="222"/>
        <v>1.0028427777465008</v>
      </c>
      <c r="Y305" s="17">
        <f t="shared" si="223"/>
        <v>-7.5313472303157408E-2</v>
      </c>
      <c r="Z305" s="31" t="str">
        <f t="shared" si="212"/>
        <v>0.978018365045695+4.60460887198384i</v>
      </c>
      <c r="AA305" s="17">
        <f t="shared" si="224"/>
        <v>4.7073286252734619</v>
      </c>
      <c r="AB305" s="17">
        <f t="shared" si="225"/>
        <v>1.3615067314955336</v>
      </c>
      <c r="AC305" s="66" t="str">
        <f t="shared" si="226"/>
        <v>-4.96621355504718-0.671687692355891i</v>
      </c>
      <c r="AD305" s="64">
        <f t="shared" si="227"/>
        <v>13.999235234713163</v>
      </c>
      <c r="AE305" s="61">
        <f t="shared" si="228"/>
        <v>-172.29740232275392</v>
      </c>
      <c r="AF305" s="31" t="str">
        <f t="shared" si="213"/>
        <v>-0.332666666666667</v>
      </c>
      <c r="AG305" s="31" t="str">
        <f t="shared" si="229"/>
        <v>46577.8961620368i</v>
      </c>
      <c r="AH305" s="31">
        <f t="shared" si="230"/>
        <v>46577.896162036799</v>
      </c>
      <c r="AI305" s="31">
        <f t="shared" si="231"/>
        <v>1.5707963267948966</v>
      </c>
      <c r="AJ305" s="31" t="str">
        <f t="shared" si="214"/>
        <v>-114.749528981792+384.103083629663i</v>
      </c>
      <c r="AK305" s="31">
        <f t="shared" si="232"/>
        <v>400.87732943552567</v>
      </c>
      <c r="AL305" s="31">
        <f t="shared" si="233"/>
        <v>1.8611029091933984</v>
      </c>
      <c r="AM305" s="31" t="str">
        <f t="shared" si="215"/>
        <v>1+1397487.79724467i</v>
      </c>
      <c r="AN305" s="31">
        <f t="shared" si="234"/>
        <v>1397487.797245028</v>
      </c>
      <c r="AO305" s="31">
        <f t="shared" si="235"/>
        <v>1.5707956112251422</v>
      </c>
      <c r="AP305" s="31" t="str">
        <f t="shared" si="216"/>
        <v>1+150.912383564999i</v>
      </c>
      <c r="AQ305" s="31">
        <f t="shared" si="236"/>
        <v>150.91569670935289</v>
      </c>
      <c r="AR305" s="31">
        <f t="shared" si="237"/>
        <v>1.5641700623324253</v>
      </c>
      <c r="AS305" s="58" t="str">
        <f t="shared" si="238"/>
        <v>-3.59307633291606+1.09940792062189i</v>
      </c>
      <c r="AT305" s="49">
        <f t="shared" si="239"/>
        <v>11.498007179975588</v>
      </c>
      <c r="AU305" s="61">
        <f t="shared" si="240"/>
        <v>162.98696007693491</v>
      </c>
      <c r="AV305" s="58" t="str">
        <f t="shared" si="217"/>
        <v>18.5824431580073-3.04646936740371i</v>
      </c>
      <c r="AW305" s="64">
        <f t="shared" si="241"/>
        <v>25.497242414688767</v>
      </c>
      <c r="AX305" s="61">
        <f t="shared" si="242"/>
        <v>-9.3104422458190008</v>
      </c>
    </row>
    <row r="306" spans="14:50" x14ac:dyDescent="0.3">
      <c r="N306" s="10">
        <v>88</v>
      </c>
      <c r="O306" s="50">
        <f t="shared" si="243"/>
        <v>7585.7757502918394</v>
      </c>
      <c r="P306" s="48" t="str">
        <f t="shared" si="208"/>
        <v>51201.9230769231</v>
      </c>
      <c r="Q306" s="17" t="str">
        <f t="shared" si="209"/>
        <v>1+2227.32093101609i</v>
      </c>
      <c r="R306" s="17">
        <f t="shared" si="218"/>
        <v>2227.3211555010162</v>
      </c>
      <c r="S306" s="17">
        <f t="shared" si="219"/>
        <v>1.5703473569500559</v>
      </c>
      <c r="T306" s="17" t="str">
        <f t="shared" si="210"/>
        <v>1+1.42988504213379E-07i</v>
      </c>
      <c r="U306" s="17">
        <f t="shared" si="220"/>
        <v>1.0000000000000102</v>
      </c>
      <c r="V306" s="17">
        <f t="shared" si="221"/>
        <v>1.4298850421337801E-7</v>
      </c>
      <c r="W306" s="31" t="str">
        <f t="shared" si="211"/>
        <v>1-0.0772137922752245i</v>
      </c>
      <c r="X306" s="17">
        <f t="shared" si="222"/>
        <v>1.0029765549191674</v>
      </c>
      <c r="Y306" s="17">
        <f t="shared" si="223"/>
        <v>-7.7060890098789678E-2</v>
      </c>
      <c r="Z306" s="31" t="str">
        <f t="shared" si="212"/>
        <v>0.976982402506514+4.71186399089485i</v>
      </c>
      <c r="AA306" s="17">
        <f t="shared" si="224"/>
        <v>4.8120844634626838</v>
      </c>
      <c r="AB306" s="17">
        <f t="shared" si="225"/>
        <v>1.3663481495616678</v>
      </c>
      <c r="AC306" s="66" t="str">
        <f t="shared" si="226"/>
        <v>-4.75228645523987-0.610846336116377i</v>
      </c>
      <c r="AD306" s="64">
        <f t="shared" si="227"/>
        <v>13.609219407531546</v>
      </c>
      <c r="AE306" s="61">
        <f t="shared" si="228"/>
        <v>-172.67551381369964</v>
      </c>
      <c r="AF306" s="31" t="str">
        <f t="shared" si="213"/>
        <v>-0.332666666666667</v>
      </c>
      <c r="AG306" s="31" t="str">
        <f t="shared" si="229"/>
        <v>47662.8347377929i</v>
      </c>
      <c r="AH306" s="31">
        <f t="shared" si="230"/>
        <v>47662.834737792902</v>
      </c>
      <c r="AI306" s="31">
        <f t="shared" si="231"/>
        <v>1.5707963267948966</v>
      </c>
      <c r="AJ306" s="31" t="str">
        <f t="shared" si="214"/>
        <v>-120.20463622028+393.049993791663i</v>
      </c>
      <c r="AK306" s="31">
        <f t="shared" si="232"/>
        <v>411.0200143405138</v>
      </c>
      <c r="AL306" s="31">
        <f t="shared" si="233"/>
        <v>1.8675888369774538</v>
      </c>
      <c r="AM306" s="31" t="str">
        <f t="shared" si="215"/>
        <v>1+1430039.46971834i</v>
      </c>
      <c r="AN306" s="31">
        <f t="shared" si="234"/>
        <v>1430039.4697186898</v>
      </c>
      <c r="AO306" s="31">
        <f t="shared" si="235"/>
        <v>1.5707956275134982</v>
      </c>
      <c r="AP306" s="31" t="str">
        <f t="shared" si="216"/>
        <v>1+154.427584550449i</v>
      </c>
      <c r="AQ306" s="31">
        <f t="shared" si="236"/>
        <v>154.43082228002956</v>
      </c>
      <c r="AR306" s="31">
        <f t="shared" si="237"/>
        <v>1.5643208902608137</v>
      </c>
      <c r="AS306" s="58" t="str">
        <f t="shared" si="238"/>
        <v>-3.57901203535356+1.11994912192011i</v>
      </c>
      <c r="AT306" s="49">
        <f t="shared" si="239"/>
        <v>11.480969127655499</v>
      </c>
      <c r="AU306" s="61">
        <f t="shared" si="240"/>
        <v>162.6239865256654</v>
      </c>
      <c r="AV306" s="58" t="str">
        <f t="shared" si="217"/>
        <v>17.6926072365129-3.13609265394659i</v>
      </c>
      <c r="AW306" s="64">
        <f t="shared" si="241"/>
        <v>25.09018853518706</v>
      </c>
      <c r="AX306" s="61">
        <f t="shared" si="242"/>
        <v>-10.051527288034222</v>
      </c>
    </row>
    <row r="307" spans="14:50" x14ac:dyDescent="0.3">
      <c r="N307" s="10">
        <v>89</v>
      </c>
      <c r="O307" s="50">
        <f t="shared" si="243"/>
        <v>7762.4711662869322</v>
      </c>
      <c r="P307" s="48" t="str">
        <f t="shared" si="208"/>
        <v>51201.9230769231</v>
      </c>
      <c r="Q307" s="17" t="str">
        <f t="shared" si="209"/>
        <v>1+2279.20190026901i</v>
      </c>
      <c r="R307" s="17">
        <f t="shared" si="218"/>
        <v>2279.202119644036</v>
      </c>
      <c r="S307" s="17">
        <f t="shared" si="219"/>
        <v>1.5703575767501048</v>
      </c>
      <c r="T307" s="17" t="str">
        <f t="shared" si="210"/>
        <v>1+1.46319134338258E-07i</v>
      </c>
      <c r="U307" s="17">
        <f t="shared" si="220"/>
        <v>1.0000000000000107</v>
      </c>
      <c r="V307" s="17">
        <f t="shared" si="221"/>
        <v>1.4631913433825698E-7</v>
      </c>
      <c r="W307" s="31" t="str">
        <f t="shared" si="211"/>
        <v>1-0.0790123325426591i</v>
      </c>
      <c r="X307" s="17">
        <f t="shared" si="222"/>
        <v>1.0031166176939907</v>
      </c>
      <c r="Y307" s="17">
        <f t="shared" si="223"/>
        <v>-7.8848522388547448E-2</v>
      </c>
      <c r="Z307" s="31" t="str">
        <f t="shared" si="212"/>
        <v>0.975897616557026+4.82161740246273i</v>
      </c>
      <c r="AA307" s="17">
        <f t="shared" si="224"/>
        <v>4.9193872112015251</v>
      </c>
      <c r="AB307" s="17">
        <f t="shared" si="225"/>
        <v>1.3710936941850569</v>
      </c>
      <c r="AC307" s="66" t="str">
        <f t="shared" si="226"/>
        <v>-4.54717131885733-0.554260844338322i</v>
      </c>
      <c r="AD307" s="64">
        <f t="shared" si="227"/>
        <v>13.218876998735032</v>
      </c>
      <c r="AE307" s="61">
        <f t="shared" si="228"/>
        <v>-173.05042263821446</v>
      </c>
      <c r="AF307" s="31" t="str">
        <f t="shared" si="213"/>
        <v>-0.332666666666667</v>
      </c>
      <c r="AG307" s="31" t="str">
        <f t="shared" si="229"/>
        <v>48773.0447794192i</v>
      </c>
      <c r="AH307" s="31">
        <f t="shared" si="230"/>
        <v>48773.0447794192</v>
      </c>
      <c r="AI307" s="31">
        <f t="shared" si="231"/>
        <v>1.5707963267948966</v>
      </c>
      <c r="AJ307" s="31" t="str">
        <f t="shared" si="214"/>
        <v>-125.916834742379+402.205304263003i</v>
      </c>
      <c r="AK307" s="31">
        <f t="shared" si="232"/>
        <v>421.4548090232621</v>
      </c>
      <c r="AL307" s="31">
        <f t="shared" si="233"/>
        <v>1.8741968217467504</v>
      </c>
      <c r="AM307" s="31" t="str">
        <f t="shared" si="215"/>
        <v>1+1463349.36804766i</v>
      </c>
      <c r="AN307" s="31">
        <f t="shared" si="234"/>
        <v>1463349.3680480018</v>
      </c>
      <c r="AO307" s="31">
        <f t="shared" si="235"/>
        <v>1.5707956434310864</v>
      </c>
      <c r="AP307" s="31" t="str">
        <f t="shared" si="216"/>
        <v>1+158.024665085318i</v>
      </c>
      <c r="AQ307" s="31">
        <f t="shared" si="236"/>
        <v>158.0278291166683</v>
      </c>
      <c r="AR307" s="31">
        <f t="shared" si="237"/>
        <v>1.5644682852110863</v>
      </c>
      <c r="AS307" s="58" t="str">
        <f t="shared" si="238"/>
        <v>-3.56440257609762+1.14071207153892i</v>
      </c>
      <c r="AT307" s="49">
        <f t="shared" si="239"/>
        <v>11.463200058358638</v>
      </c>
      <c r="AU307" s="61">
        <f t="shared" si="240"/>
        <v>162.25382290788079</v>
      </c>
      <c r="AV307" s="58" t="str">
        <f t="shared" si="217"/>
        <v>16.8402011988104-3.21140443338655i</v>
      </c>
      <c r="AW307" s="64">
        <f t="shared" si="241"/>
        <v>24.682077057093686</v>
      </c>
      <c r="AX307" s="61">
        <f t="shared" si="242"/>
        <v>-10.796599730333654</v>
      </c>
    </row>
    <row r="308" spans="14:50" x14ac:dyDescent="0.3">
      <c r="N308" s="10">
        <v>90</v>
      </c>
      <c r="O308" s="50">
        <f t="shared" si="243"/>
        <v>7943.2823472428154</v>
      </c>
      <c r="P308" s="48" t="str">
        <f t="shared" si="208"/>
        <v>51201.9230769231</v>
      </c>
      <c r="Q308" s="17" t="str">
        <f t="shared" si="209"/>
        <v>1+2332.29133253826i</v>
      </c>
      <c r="R308" s="17">
        <f t="shared" si="218"/>
        <v>2332.291546919701</v>
      </c>
      <c r="S308" s="17">
        <f t="shared" si="219"/>
        <v>1.5703675639191916</v>
      </c>
      <c r="T308" s="17" t="str">
        <f t="shared" si="210"/>
        <v>1+1.49727344804925E-07i</v>
      </c>
      <c r="U308" s="17">
        <f t="shared" si="220"/>
        <v>1.0000000000000111</v>
      </c>
      <c r="V308" s="17">
        <f t="shared" si="221"/>
        <v>1.497273448049239E-7</v>
      </c>
      <c r="W308" s="31" t="str">
        <f t="shared" si="211"/>
        <v>1-0.0808527661946595i</v>
      </c>
      <c r="X308" s="17">
        <f t="shared" si="222"/>
        <v>1.003263260466229</v>
      </c>
      <c r="Y308" s="17">
        <f t="shared" si="223"/>
        <v>-8.0677271272328682E-2</v>
      </c>
      <c r="Z308" s="31" t="str">
        <f t="shared" si="212"/>
        <v>0.974761706220792+4.93392729939904i</v>
      </c>
      <c r="AA308" s="17">
        <f t="shared" si="224"/>
        <v>5.0292940836333662</v>
      </c>
      <c r="AB308" s="17">
        <f t="shared" si="225"/>
        <v>1.3757450862651417</v>
      </c>
      <c r="AC308" s="66" t="str">
        <f t="shared" si="226"/>
        <v>-4.35053901053961-0.501660265832814i</v>
      </c>
      <c r="AD308" s="64">
        <f t="shared" si="227"/>
        <v>12.828226237423957</v>
      </c>
      <c r="AE308" s="61">
        <f t="shared" si="228"/>
        <v>-173.42227939345574</v>
      </c>
      <c r="AF308" s="31" t="str">
        <f t="shared" si="213"/>
        <v>-0.332666666666667</v>
      </c>
      <c r="AG308" s="31" t="str">
        <f t="shared" si="229"/>
        <v>49909.114934975i</v>
      </c>
      <c r="AH308" s="31">
        <f t="shared" si="230"/>
        <v>49909.114934974998</v>
      </c>
      <c r="AI308" s="31">
        <f t="shared" si="231"/>
        <v>1.5707963267948966</v>
      </c>
      <c r="AJ308" s="31" t="str">
        <f t="shared" si="214"/>
        <v>-131.898240887003+411.573869310479i</v>
      </c>
      <c r="AK308" s="31">
        <f t="shared" si="232"/>
        <v>432.1923134997719</v>
      </c>
      <c r="AL308" s="31">
        <f t="shared" si="233"/>
        <v>1.8809281182135411</v>
      </c>
      <c r="AM308" s="31" t="str">
        <f t="shared" si="215"/>
        <v>1+1497435.15358164i</v>
      </c>
      <c r="AN308" s="31">
        <f t="shared" si="234"/>
        <v>1497435.1535819739</v>
      </c>
      <c r="AO308" s="31">
        <f t="shared" si="235"/>
        <v>1.5707956589863457</v>
      </c>
      <c r="AP308" s="31" t="str">
        <f t="shared" si="216"/>
        <v>1+161.705532389319i</v>
      </c>
      <c r="AQ308" s="31">
        <f t="shared" si="236"/>
        <v>161.70862439991598</v>
      </c>
      <c r="AR308" s="31">
        <f t="shared" si="237"/>
        <v>1.5646123253083644</v>
      </c>
      <c r="AS308" s="58" t="str">
        <f t="shared" si="238"/>
        <v>-3.54923201884042+1.16168603285209i</v>
      </c>
      <c r="AT308" s="49">
        <f t="shared" si="239"/>
        <v>11.444671731304993</v>
      </c>
      <c r="AU308" s="61">
        <f t="shared" si="240"/>
        <v>161.87640181058777</v>
      </c>
      <c r="AV308" s="58" t="str">
        <f t="shared" si="217"/>
        <v>16.0238440794763-3.2734517258482i</v>
      </c>
      <c r="AW308" s="64">
        <f t="shared" si="241"/>
        <v>24.272897968728927</v>
      </c>
      <c r="AX308" s="61">
        <f t="shared" si="242"/>
        <v>-11.545877582868016</v>
      </c>
    </row>
    <row r="309" spans="14:50" x14ac:dyDescent="0.3">
      <c r="N309" s="10">
        <v>91</v>
      </c>
      <c r="O309" s="50">
        <f t="shared" si="243"/>
        <v>8128.3051616410066</v>
      </c>
      <c r="P309" s="48" t="str">
        <f t="shared" si="208"/>
        <v>51201.9230769231</v>
      </c>
      <c r="Q309" s="17" t="str">
        <f t="shared" si="209"/>
        <v>1+2386.61737654355i</v>
      </c>
      <c r="R309" s="17">
        <f t="shared" si="218"/>
        <v>2386.6175860450744</v>
      </c>
      <c r="S309" s="17">
        <f t="shared" si="219"/>
        <v>1.5703773237526382</v>
      </c>
      <c r="T309" s="17" t="str">
        <f t="shared" si="210"/>
        <v>1+1.53214942691685E-07i</v>
      </c>
      <c r="U309" s="17">
        <f t="shared" si="220"/>
        <v>1.0000000000000118</v>
      </c>
      <c r="V309" s="17">
        <f t="shared" si="221"/>
        <v>1.5321494269168381E-7</v>
      </c>
      <c r="W309" s="31" t="str">
        <f t="shared" si="211"/>
        <v>1-0.0827360690535096i</v>
      </c>
      <c r="X309" s="17">
        <f t="shared" si="222"/>
        <v>1.0034167913297181</v>
      </c>
      <c r="Y309" s="17">
        <f t="shared" si="223"/>
        <v>-8.2548057422300439E-2</v>
      </c>
      <c r="Z309" s="31" t="str">
        <f t="shared" si="212"/>
        <v>0.973572262079696+5.04885322989776i</v>
      </c>
      <c r="AA309" s="17">
        <f t="shared" si="224"/>
        <v>5.1418636588828388</v>
      </c>
      <c r="AB309" s="17">
        <f t="shared" si="225"/>
        <v>1.3803040456050211</v>
      </c>
      <c r="AC309" s="66" t="str">
        <f t="shared" si="226"/>
        <v>-4.16206980564217-0.452789653634117i</v>
      </c>
      <c r="AD309" s="64">
        <f t="shared" si="227"/>
        <v>12.43728487834602</v>
      </c>
      <c r="AE309" s="61">
        <f t="shared" si="228"/>
        <v>-173.79123567080805</v>
      </c>
      <c r="AF309" s="31" t="str">
        <f t="shared" si="213"/>
        <v>-0.332666666666667</v>
      </c>
      <c r="AG309" s="31" t="str">
        <f t="shared" si="229"/>
        <v>51071.6475638948i</v>
      </c>
      <c r="AH309" s="31">
        <f t="shared" si="230"/>
        <v>51071.647563894803</v>
      </c>
      <c r="AI309" s="31">
        <f t="shared" si="231"/>
        <v>1.5707963267948966</v>
      </c>
      <c r="AJ309" s="31" t="str">
        <f t="shared" si="214"/>
        <v>-138.161542018527+421.160656271289i</v>
      </c>
      <c r="AK309" s="31">
        <f t="shared" si="232"/>
        <v>443.24362385013507</v>
      </c>
      <c r="AL309" s="31">
        <f t="shared" si="233"/>
        <v>1.8877839156583975</v>
      </c>
      <c r="AM309" s="31" t="str">
        <f t="shared" si="215"/>
        <v>1+1532314.89905495i</v>
      </c>
      <c r="AN309" s="31">
        <f t="shared" si="234"/>
        <v>1532314.8990552763</v>
      </c>
      <c r="AO309" s="31">
        <f t="shared" si="235"/>
        <v>1.5707956741875242</v>
      </c>
      <c r="AP309" s="31" t="str">
        <f t="shared" si="216"/>
        <v>1+165.472138107019i</v>
      </c>
      <c r="AQ309" s="31">
        <f t="shared" si="236"/>
        <v>165.47515973616211</v>
      </c>
      <c r="AR309" s="31">
        <f t="shared" si="237"/>
        <v>1.5647530869006927</v>
      </c>
      <c r="AS309" s="58" t="str">
        <f t="shared" si="238"/>
        <v>-3.53348441562754+1.18285932891281i</v>
      </c>
      <c r="AT309" s="49">
        <f t="shared" si="239"/>
        <v>11.425355092967706</v>
      </c>
      <c r="AU309" s="61">
        <f t="shared" si="240"/>
        <v>161.49165946792215</v>
      </c>
      <c r="AV309" s="58" t="str">
        <f t="shared" si="217"/>
        <v>15.2421952608269-3.32321791251662i</v>
      </c>
      <c r="AW309" s="64">
        <f t="shared" si="241"/>
        <v>23.862639971313744</v>
      </c>
      <c r="AX309" s="61">
        <f t="shared" si="242"/>
        <v>-12.299576202885865</v>
      </c>
    </row>
    <row r="310" spans="14:50" x14ac:dyDescent="0.3">
      <c r="N310" s="10">
        <v>92</v>
      </c>
      <c r="O310" s="50">
        <f t="shared" si="243"/>
        <v>8317.6377110267094</v>
      </c>
      <c r="P310" s="48" t="str">
        <f t="shared" si="208"/>
        <v>51201.9230769231</v>
      </c>
      <c r="Q310" s="17" t="str">
        <f t="shared" si="209"/>
        <v>1+2442.20883667248i</v>
      </c>
      <c r="R310" s="17">
        <f t="shared" si="218"/>
        <v>2442.2090414051681</v>
      </c>
      <c r="S310" s="17">
        <f t="shared" si="219"/>
        <v>1.5703868614252294</v>
      </c>
      <c r="T310" s="17" t="str">
        <f t="shared" si="210"/>
        <v>1+1.56783777169098E-07i</v>
      </c>
      <c r="U310" s="17">
        <f t="shared" si="220"/>
        <v>1.0000000000000124</v>
      </c>
      <c r="V310" s="17">
        <f t="shared" si="221"/>
        <v>1.567837771690967E-7</v>
      </c>
      <c r="W310" s="31" t="str">
        <f t="shared" si="211"/>
        <v>1-0.0846632396713128i</v>
      </c>
      <c r="X310" s="17">
        <f t="shared" si="222"/>
        <v>1.0035775327056908</v>
      </c>
      <c r="Y310" s="17">
        <f t="shared" si="223"/>
        <v>-8.4461820345236763E-2</v>
      </c>
      <c r="Z310" s="31" t="str">
        <f t="shared" si="212"/>
        <v>0.972326761163242+5.16645612920842i</v>
      </c>
      <c r="AA310" s="17">
        <f t="shared" si="224"/>
        <v>5.25715591032922</v>
      </c>
      <c r="AB310" s="17">
        <f t="shared" si="225"/>
        <v>1.3847722889985332</v>
      </c>
      <c r="AC310" s="66" t="str">
        <f t="shared" si="226"/>
        <v>-3.98145337787305-0.40740922024708i</v>
      </c>
      <c r="AD310" s="64">
        <f t="shared" si="227"/>
        <v>12.046070224183696</v>
      </c>
      <c r="AE310" s="61">
        <f t="shared" si="228"/>
        <v>-174.15744396147306</v>
      </c>
      <c r="AF310" s="31" t="str">
        <f t="shared" si="213"/>
        <v>-0.332666666666667</v>
      </c>
      <c r="AG310" s="31" t="str">
        <f t="shared" si="229"/>
        <v>52261.2590563659i</v>
      </c>
      <c r="AH310" s="31">
        <f t="shared" si="230"/>
        <v>52261.259056365903</v>
      </c>
      <c r="AI310" s="31">
        <f t="shared" si="231"/>
        <v>1.5707963267948966</v>
      </c>
      <c r="AJ310" s="31" t="str">
        <f t="shared" si="214"/>
        <v>-144.720023438384+430.970748186772i</v>
      </c>
      <c r="AK310" s="31">
        <f t="shared" si="232"/>
        <v>454.62035917529306</v>
      </c>
      <c r="AL310" s="31">
        <f t="shared" si="233"/>
        <v>1.8947653322984468</v>
      </c>
      <c r="AM310" s="31" t="str">
        <f t="shared" si="215"/>
        <v>1+1568007.09817032i</v>
      </c>
      <c r="AN310" s="31">
        <f t="shared" si="234"/>
        <v>1568007.098170639</v>
      </c>
      <c r="AO310" s="31">
        <f t="shared" si="235"/>
        <v>1.5707956890426815</v>
      </c>
      <c r="AP310" s="31" t="str">
        <f t="shared" si="216"/>
        <v>1+169.326479342626i</v>
      </c>
      <c r="AQ310" s="31">
        <f t="shared" si="236"/>
        <v>169.32943219230597</v>
      </c>
      <c r="AR310" s="31">
        <f t="shared" si="237"/>
        <v>1.5648906445994057</v>
      </c>
      <c r="AS310" s="58" t="str">
        <f t="shared" si="238"/>
        <v>-3.51714385282213+1.20421930880486i</v>
      </c>
      <c r="AT310" s="49">
        <f t="shared" si="239"/>
        <v>11.405220277597522</v>
      </c>
      <c r="AU310" s="61">
        <f t="shared" si="240"/>
        <v>161.09953608613853</v>
      </c>
      <c r="AV310" s="58" t="str">
        <f t="shared" si="217"/>
        <v>14.4939543228908-3.36162620016599i</v>
      </c>
      <c r="AW310" s="64">
        <f t="shared" si="241"/>
        <v>23.451290501781237</v>
      </c>
      <c r="AX310" s="61">
        <f t="shared" si="242"/>
        <v>-13.05790787533455</v>
      </c>
    </row>
    <row r="311" spans="14:50" x14ac:dyDescent="0.3">
      <c r="N311" s="10">
        <v>93</v>
      </c>
      <c r="O311" s="50">
        <f t="shared" si="243"/>
        <v>8511.3803820237772</v>
      </c>
      <c r="P311" s="48" t="str">
        <f t="shared" si="208"/>
        <v>51201.9230769231</v>
      </c>
      <c r="Q311" s="17" t="str">
        <f t="shared" si="209"/>
        <v>1+2499.09518825309i</v>
      </c>
      <c r="R311" s="17">
        <f t="shared" si="218"/>
        <v>2499.0953883254933</v>
      </c>
      <c r="S311" s="17">
        <f t="shared" si="219"/>
        <v>1.5703961819939589</v>
      </c>
      <c r="T311" s="17" t="str">
        <f t="shared" si="210"/>
        <v>1+1.60435740480445E-07i</v>
      </c>
      <c r="U311" s="17">
        <f t="shared" si="220"/>
        <v>1.0000000000000129</v>
      </c>
      <c r="V311" s="17">
        <f t="shared" si="221"/>
        <v>1.6043574048044363E-7</v>
      </c>
      <c r="W311" s="31" t="str">
        <f t="shared" si="211"/>
        <v>1-0.0866352998594404i</v>
      </c>
      <c r="X311" s="17">
        <f t="shared" si="222"/>
        <v>1.0037458219996411</v>
      </c>
      <c r="Y311" s="17">
        <f t="shared" si="223"/>
        <v>-8.641951863930733E-2</v>
      </c>
      <c r="Z311" s="31" t="str">
        <f t="shared" si="212"/>
        <v>0.971022561597+5.28679835194493i</v>
      </c>
      <c r="AA311" s="17">
        <f t="shared" si="224"/>
        <v>5.3752322395649133</v>
      </c>
      <c r="AB311" s="17">
        <f t="shared" si="225"/>
        <v>1.3891515284610731</v>
      </c>
      <c r="AC311" s="66" t="str">
        <f t="shared" si="226"/>
        <v>-3.80838875885106-0.365293527493802i</v>
      </c>
      <c r="AD311" s="64">
        <f t="shared" si="227"/>
        <v>11.654599148006536</v>
      </c>
      <c r="AE311" s="61">
        <f t="shared" si="228"/>
        <v>-174.52105756997273</v>
      </c>
      <c r="AF311" s="31" t="str">
        <f t="shared" si="213"/>
        <v>-0.332666666666667</v>
      </c>
      <c r="AG311" s="31" t="str">
        <f t="shared" si="229"/>
        <v>53478.5801601484i</v>
      </c>
      <c r="AH311" s="31">
        <f t="shared" si="230"/>
        <v>53478.580160148398</v>
      </c>
      <c r="AI311" s="31">
        <f t="shared" si="231"/>
        <v>1.5707963267948966</v>
      </c>
      <c r="AJ311" s="31" t="str">
        <f t="shared" si="214"/>
        <v>-151.587596564979+441.009346497518i</v>
      </c>
      <c r="AK311" s="31">
        <f t="shared" si="232"/>
        <v>466.33469003550948</v>
      </c>
      <c r="AL311" s="31">
        <f t="shared" si="233"/>
        <v>1.9018734094621739</v>
      </c>
      <c r="AM311" s="31" t="str">
        <f t="shared" si="215"/>
        <v>1+1604530.67540417i</v>
      </c>
      <c r="AN311" s="31">
        <f t="shared" si="234"/>
        <v>1604530.6754044814</v>
      </c>
      <c r="AO311" s="31">
        <f t="shared" si="235"/>
        <v>1.5707957035596944</v>
      </c>
      <c r="AP311" s="31" t="str">
        <f t="shared" si="216"/>
        <v>1+173.270599718881i</v>
      </c>
      <c r="AQ311" s="31">
        <f t="shared" si="236"/>
        <v>173.27348535462858</v>
      </c>
      <c r="AR311" s="31">
        <f t="shared" si="237"/>
        <v>1.5650250713185809</v>
      </c>
      <c r="AS311" s="58" t="str">
        <f t="shared" si="238"/>
        <v>-3.50019450095243+1.22575231541578i</v>
      </c>
      <c r="AT311" s="49">
        <f t="shared" si="239"/>
        <v>11.384236610191607</v>
      </c>
      <c r="AU311" s="61">
        <f t="shared" si="240"/>
        <v>160.69997617962983</v>
      </c>
      <c r="AV311" s="58" t="str">
        <f t="shared" si="217"/>
        <v>13.7778607783515-3.38954294299779i</v>
      </c>
      <c r="AW311" s="64">
        <f t="shared" si="241"/>
        <v>23.038835758198172</v>
      </c>
      <c r="AX311" s="61">
        <f t="shared" si="242"/>
        <v>-13.821081390342838</v>
      </c>
    </row>
    <row r="312" spans="14:50" x14ac:dyDescent="0.3">
      <c r="N312" s="10">
        <v>94</v>
      </c>
      <c r="O312" s="50">
        <f t="shared" si="243"/>
        <v>8709.6358995608189</v>
      </c>
      <c r="P312" s="48" t="str">
        <f t="shared" si="208"/>
        <v>51201.9230769231</v>
      </c>
      <c r="Q312" s="17" t="str">
        <f t="shared" si="209"/>
        <v>1+2557.30659318194i</v>
      </c>
      <c r="R312" s="17">
        <f t="shared" si="218"/>
        <v>2557.3067887001398</v>
      </c>
      <c r="S312" s="17">
        <f t="shared" si="219"/>
        <v>1.5704052904007089</v>
      </c>
      <c r="T312" s="17" t="str">
        <f t="shared" si="210"/>
        <v>1+1.64172768945013E-07i</v>
      </c>
      <c r="U312" s="17">
        <f t="shared" si="220"/>
        <v>1.0000000000000133</v>
      </c>
      <c r="V312" s="17">
        <f t="shared" si="221"/>
        <v>1.6417276894501153E-7</v>
      </c>
      <c r="W312" s="31" t="str">
        <f t="shared" si="211"/>
        <v>1-0.0886532952303071i</v>
      </c>
      <c r="X312" s="17">
        <f t="shared" si="222"/>
        <v>1.0039220122874046</v>
      </c>
      <c r="Y312" s="17">
        <f t="shared" si="223"/>
        <v>-8.8422130244404151E-2</v>
      </c>
      <c r="Z312" s="31" t="str">
        <f t="shared" si="212"/>
        <v>0.969656896998833+5.40994370514669i</v>
      </c>
      <c r="AA312" s="17">
        <f t="shared" si="224"/>
        <v>5.4961555100591637</v>
      </c>
      <c r="AB312" s="17">
        <f t="shared" si="225"/>
        <v>1.3934434695976279</v>
      </c>
      <c r="AC312" s="66" t="str">
        <f t="shared" si="226"/>
        <v>-3.64258427251016-0.326230710629238i</v>
      </c>
      <c r="AD312" s="64">
        <f t="shared" si="227"/>
        <v>11.262888115847012</v>
      </c>
      <c r="AE312" s="61">
        <f t="shared" si="228"/>
        <v>-174.88223053514082</v>
      </c>
      <c r="AF312" s="31" t="str">
        <f t="shared" si="213"/>
        <v>-0.332666666666667</v>
      </c>
      <c r="AG312" s="31" t="str">
        <f t="shared" si="229"/>
        <v>54724.2563150044i</v>
      </c>
      <c r="AH312" s="31">
        <f t="shared" si="230"/>
        <v>54724.256315004401</v>
      </c>
      <c r="AI312" s="31">
        <f t="shared" si="231"/>
        <v>1.5707963267948966</v>
      </c>
      <c r="AJ312" s="31" t="str">
        <f t="shared" si="214"/>
        <v>-158.778828441663+451.281773801225i</v>
      </c>
      <c r="AK312" s="31">
        <f t="shared" si="232"/>
        <v>478.39936844281789</v>
      </c>
      <c r="AL312" s="31">
        <f t="shared" si="233"/>
        <v>1.9091091055801075</v>
      </c>
      <c r="AM312" s="31" t="str">
        <f t="shared" si="215"/>
        <v>1+1641904.9960406i</v>
      </c>
      <c r="AN312" s="31">
        <f t="shared" si="234"/>
        <v>1641904.9960409047</v>
      </c>
      <c r="AO312" s="31">
        <f t="shared" si="235"/>
        <v>1.5707957177462595</v>
      </c>
      <c r="AP312" s="31" t="str">
        <f t="shared" si="216"/>
        <v>1+177.306590460614i</v>
      </c>
      <c r="AQ312" s="31">
        <f t="shared" si="236"/>
        <v>177.3094104123295</v>
      </c>
      <c r="AR312" s="31">
        <f t="shared" si="237"/>
        <v>1.5651564383135999</v>
      </c>
      <c r="AS312" s="58" t="str">
        <f t="shared" si="238"/>
        <v>-3.48262066852584+1.24744365497733i</v>
      </c>
      <c r="AT312" s="49">
        <f t="shared" si="239"/>
        <v>11.362372612109741</v>
      </c>
      <c r="AU312" s="61">
        <f t="shared" si="240"/>
        <v>160.29292891744524</v>
      </c>
      <c r="AV312" s="58" t="str">
        <f t="shared" si="217"/>
        <v>13.0926937043242-3.40778082291776i</v>
      </c>
      <c r="AW312" s="64">
        <f t="shared" si="241"/>
        <v>22.625260727956732</v>
      </c>
      <c r="AX312" s="61">
        <f t="shared" si="242"/>
        <v>-14.589301617695664</v>
      </c>
    </row>
    <row r="313" spans="14:50" x14ac:dyDescent="0.3">
      <c r="N313" s="10">
        <v>95</v>
      </c>
      <c r="O313" s="50">
        <f t="shared" si="243"/>
        <v>8912.5093813374679</v>
      </c>
      <c r="P313" s="48" t="str">
        <f t="shared" si="208"/>
        <v>51201.9230769231</v>
      </c>
      <c r="Q313" s="17" t="str">
        <f t="shared" si="209"/>
        <v>1+2616.87391591645i</v>
      </c>
      <c r="R313" s="17">
        <f t="shared" si="218"/>
        <v>2616.8741069841121</v>
      </c>
      <c r="S313" s="17">
        <f t="shared" si="219"/>
        <v>1.5704141914748715</v>
      </c>
      <c r="T313" s="17" t="str">
        <f t="shared" si="210"/>
        <v>1+1.6799684398476E-07i</v>
      </c>
      <c r="U313" s="17">
        <f t="shared" si="220"/>
        <v>1.0000000000000142</v>
      </c>
      <c r="V313" s="17">
        <f t="shared" si="221"/>
        <v>1.6799684398475842E-7</v>
      </c>
      <c r="W313" s="31" t="str">
        <f t="shared" si="211"/>
        <v>1-0.0907182957517701i</v>
      </c>
      <c r="X313" s="17">
        <f t="shared" si="222"/>
        <v>1.0041064730316729</v>
      </c>
      <c r="Y313" s="17">
        <f t="shared" si="223"/>
        <v>-9.0470652685043729E-2</v>
      </c>
      <c r="Z313" s="31" t="str">
        <f t="shared" si="212"/>
        <v>0.968226870611029+5.53595748210998i</v>
      </c>
      <c r="AA313" s="17">
        <f t="shared" si="224"/>
        <v>5.6199900815484263</v>
      </c>
      <c r="AB313" s="17">
        <f t="shared" si="225"/>
        <v>1.3976498101016237</v>
      </c>
      <c r="AC313" s="66" t="str">
        <f t="shared" si="226"/>
        <v>-3.48375744709058-0.290021736255002i</v>
      </c>
      <c r="AD313" s="64">
        <f t="shared" si="227"/>
        <v>10.870953209364458</v>
      </c>
      <c r="AE313" s="61">
        <f t="shared" si="228"/>
        <v>-175.24111755818049</v>
      </c>
      <c r="AF313" s="31" t="str">
        <f t="shared" si="213"/>
        <v>-0.332666666666667</v>
      </c>
      <c r="AG313" s="31" t="str">
        <f t="shared" si="229"/>
        <v>55998.9479949198i</v>
      </c>
      <c r="AH313" s="31">
        <f t="shared" si="230"/>
        <v>55998.947994919799</v>
      </c>
      <c r="AI313" s="31">
        <f t="shared" si="231"/>
        <v>1.5707963267948966</v>
      </c>
      <c r="AJ313" s="31" t="str">
        <f t="shared" si="214"/>
        <v>-166.308972635392+461.793476674822i</v>
      </c>
      <c r="AK313" s="31">
        <f t="shared" si="232"/>
        <v>490.82775948234524</v>
      </c>
      <c r="AL313" s="31">
        <f t="shared" si="233"/>
        <v>1.9164732900028758</v>
      </c>
      <c r="AM313" s="31" t="str">
        <f t="shared" si="215"/>
        <v>1+1680149.8764391i</v>
      </c>
      <c r="AN313" s="31">
        <f t="shared" si="234"/>
        <v>1680149.8764393977</v>
      </c>
      <c r="AO313" s="31">
        <f t="shared" si="235"/>
        <v>1.570795731609899</v>
      </c>
      <c r="AP313" s="31" t="str">
        <f t="shared" si="216"/>
        <v>1+181.43659150354i</v>
      </c>
      <c r="AQ313" s="31">
        <f t="shared" si="236"/>
        <v>181.43934726630397</v>
      </c>
      <c r="AR313" s="31">
        <f t="shared" si="237"/>
        <v>1.5652848152188352</v>
      </c>
      <c r="AS313" s="58" t="str">
        <f t="shared" si="238"/>
        <v>-3.46440685986614+1.26927756874332i</v>
      </c>
      <c r="AT313" s="49">
        <f t="shared" si="239"/>
        <v>11.339596009538674</v>
      </c>
      <c r="AU313" s="61">
        <f t="shared" si="240"/>
        <v>159.87834847964953</v>
      </c>
      <c r="AV313" s="58" t="str">
        <f t="shared" si="217"/>
        <v>12.4372712820868-3.41710188994245i</v>
      </c>
      <c r="AW313" s="64">
        <f t="shared" si="241"/>
        <v>22.210549218903122</v>
      </c>
      <c r="AX313" s="61">
        <f t="shared" si="242"/>
        <v>-15.362769078530986</v>
      </c>
    </row>
    <row r="314" spans="14:50" x14ac:dyDescent="0.3">
      <c r="N314" s="10">
        <v>96</v>
      </c>
      <c r="O314" s="50">
        <f t="shared" si="243"/>
        <v>9120.1083935591087</v>
      </c>
      <c r="P314" s="48" t="str">
        <f t="shared" si="208"/>
        <v>51201.9230769231</v>
      </c>
      <c r="Q314" s="17" t="str">
        <f t="shared" si="209"/>
        <v>1+2677.82873983959i</v>
      </c>
      <c r="R314" s="17">
        <f t="shared" si="218"/>
        <v>2677.828926558022</v>
      </c>
      <c r="S314" s="17">
        <f t="shared" si="219"/>
        <v>1.5704228899359081</v>
      </c>
      <c r="T314" s="17" t="str">
        <f t="shared" si="210"/>
        <v>1+1.71909993174888E-07i</v>
      </c>
      <c r="U314" s="17">
        <f t="shared" si="220"/>
        <v>1.0000000000000147</v>
      </c>
      <c r="V314" s="17">
        <f t="shared" si="221"/>
        <v>1.7190999317488629E-7</v>
      </c>
      <c r="W314" s="31" t="str">
        <f t="shared" si="211"/>
        <v>1-0.0928313963144392i</v>
      </c>
      <c r="X314" s="17">
        <f t="shared" si="222"/>
        <v>1.0042995908301908</v>
      </c>
      <c r="Y314" s="17">
        <f t="shared" si="223"/>
        <v>-9.2566103304793104E-2</v>
      </c>
      <c r="Z314" s="31" t="str">
        <f t="shared" si="212"/>
        <v>0.966729449155893+5.66490649700735i</v>
      </c>
      <c r="AA314" s="17">
        <f t="shared" si="224"/>
        <v>5.7468018451745264</v>
      </c>
      <c r="AB314" s="17">
        <f t="shared" si="225"/>
        <v>1.4017722383782445</v>
      </c>
      <c r="AC314" s="66" t="str">
        <f t="shared" si="226"/>
        <v>-3.3316349072761-0.256479693440502i</v>
      </c>
      <c r="AD314" s="64">
        <f t="shared" si="227"/>
        <v>10.478810148566923</v>
      </c>
      <c r="AE314" s="61">
        <f t="shared" si="228"/>
        <v>-175.59787393736462</v>
      </c>
      <c r="AF314" s="31" t="str">
        <f t="shared" si="213"/>
        <v>-0.332666666666667</v>
      </c>
      <c r="AG314" s="31" t="str">
        <f t="shared" si="229"/>
        <v>57303.3310582958i</v>
      </c>
      <c r="AH314" s="31">
        <f t="shared" si="230"/>
        <v>57303.3310582958</v>
      </c>
      <c r="AI314" s="31">
        <f t="shared" si="231"/>
        <v>1.5707963267948966</v>
      </c>
      <c r="AJ314" s="31" t="str">
        <f t="shared" si="214"/>
        <v>-174.194001591585+472.550028562312i</v>
      </c>
      <c r="AK314" s="31">
        <f t="shared" si="232"/>
        <v>503.63387463983292</v>
      </c>
      <c r="AL314" s="31">
        <f t="shared" si="233"/>
        <v>1.9239667366603077</v>
      </c>
      <c r="AM314" s="31" t="str">
        <f t="shared" si="215"/>
        <v>1+1719285.59454151i</v>
      </c>
      <c r="AN314" s="31">
        <f t="shared" si="234"/>
        <v>1719285.5945418009</v>
      </c>
      <c r="AO314" s="31">
        <f t="shared" si="235"/>
        <v>1.5707957451579637</v>
      </c>
      <c r="AP314" s="31" t="str">
        <f t="shared" si="216"/>
        <v>1+185.662792628878i</v>
      </c>
      <c r="AQ314" s="31">
        <f t="shared" si="236"/>
        <v>185.66548566374354</v>
      </c>
      <c r="AR314" s="31">
        <f t="shared" si="237"/>
        <v>1.5654102700844861</v>
      </c>
      <c r="AS314" s="58" t="str">
        <f t="shared" si="238"/>
        <v>-3.44553783700479+1.2912372072i</v>
      </c>
      <c r="AT314" s="49">
        <f t="shared" si="239"/>
        <v>11.315873745013425</v>
      </c>
      <c r="AU314" s="61">
        <f t="shared" si="240"/>
        <v>159.45619442274034</v>
      </c>
      <c r="AV314" s="58" t="str">
        <f t="shared" si="217"/>
        <v>11.8104502551674-3.41822046490858i</v>
      </c>
      <c r="AW314" s="64">
        <f t="shared" si="241"/>
        <v>21.794683893580363</v>
      </c>
      <c r="AX314" s="61">
        <f t="shared" si="242"/>
        <v>-16.141679514624247</v>
      </c>
    </row>
    <row r="315" spans="14:50" x14ac:dyDescent="0.3">
      <c r="N315" s="10">
        <v>97</v>
      </c>
      <c r="O315" s="50">
        <f t="shared" si="243"/>
        <v>9332.5430079699217</v>
      </c>
      <c r="P315" s="48" t="str">
        <f t="shared" si="208"/>
        <v>51201.9230769231</v>
      </c>
      <c r="Q315" s="17" t="str">
        <f t="shared" si="209"/>
        <v>1+2740.20338400585i</v>
      </c>
      <c r="R315" s="17">
        <f t="shared" si="218"/>
        <v>2740.2035664740515</v>
      </c>
      <c r="S315" s="17">
        <f t="shared" si="219"/>
        <v>1.5704313903958527</v>
      </c>
      <c r="T315" s="17" t="str">
        <f t="shared" si="210"/>
        <v>1+1.75914291318894E-07i</v>
      </c>
      <c r="U315" s="17">
        <f t="shared" si="220"/>
        <v>1.0000000000000155</v>
      </c>
      <c r="V315" s="17">
        <f t="shared" si="221"/>
        <v>1.7591429131889217E-7</v>
      </c>
      <c r="W315" s="31" t="str">
        <f t="shared" si="211"/>
        <v>1-0.0949937173122029i</v>
      </c>
      <c r="X315" s="17">
        <f t="shared" si="222"/>
        <v>1.0045017701969423</v>
      </c>
      <c r="Y315" s="17">
        <f t="shared" si="223"/>
        <v>-9.4709519491101249E-2</v>
      </c>
      <c r="Z315" s="31" t="str">
        <f t="shared" si="212"/>
        <v>0.965161456401757+5.79685912031333i</v>
      </c>
      <c r="AA315" s="17">
        <f t="shared" si="224"/>
        <v>5.8766582593922712</v>
      </c>
      <c r="AB315" s="17">
        <f t="shared" si="225"/>
        <v>1.405812432286013</v>
      </c>
      <c r="AC315" s="66" t="str">
        <f t="shared" si="226"/>
        <v>-3.18595224886062-0.225429117359046i</v>
      </c>
      <c r="AD315" s="64">
        <f t="shared" si="227"/>
        <v>10.086474314566056</v>
      </c>
      <c r="AE315" s="61">
        <f t="shared" si="228"/>
        <v>-175.95265550895914</v>
      </c>
      <c r="AF315" s="31" t="str">
        <f t="shared" si="213"/>
        <v>-0.332666666666667</v>
      </c>
      <c r="AG315" s="31" t="str">
        <f t="shared" si="229"/>
        <v>58638.0971062981i</v>
      </c>
      <c r="AH315" s="31">
        <f t="shared" si="230"/>
        <v>58638.097106298097</v>
      </c>
      <c r="AI315" s="31">
        <f t="shared" si="231"/>
        <v>1.5707963267948966</v>
      </c>
      <c r="AJ315" s="31" t="str">
        <f t="shared" si="214"/>
        <v>-182.450640513823+483.557132729884i</v>
      </c>
      <c r="AK315" s="31">
        <f t="shared" si="232"/>
        <v>516.83240691528908</v>
      </c>
      <c r="AL315" s="31">
        <f t="shared" si="233"/>
        <v>1.9315901175776835</v>
      </c>
      <c r="AM315" s="31" t="str">
        <f t="shared" si="215"/>
        <v>1+1759332.90062357i</v>
      </c>
      <c r="AN315" s="31">
        <f t="shared" si="234"/>
        <v>1759332.9006238542</v>
      </c>
      <c r="AO315" s="31">
        <f t="shared" si="235"/>
        <v>1.5707957583976366</v>
      </c>
      <c r="AP315" s="31" t="str">
        <f t="shared" si="216"/>
        <v>1+189.987434624406i</v>
      </c>
      <c r="AQ315" s="31">
        <f t="shared" si="236"/>
        <v>189.99006635917297</v>
      </c>
      <c r="AR315" s="31">
        <f t="shared" si="237"/>
        <v>1.5655328694125772</v>
      </c>
      <c r="AS315" s="58" t="str">
        <f t="shared" si="238"/>
        <v>-3.42599868562381+1.31330460722688i</v>
      </c>
      <c r="AT315" s="49">
        <f t="shared" si="239"/>
        <v>11.291171992201107</v>
      </c>
      <c r="AU315" s="61">
        <f t="shared" si="240"/>
        <v>159.02643205320243</v>
      </c>
      <c r="AV315" s="58" t="str">
        <f t="shared" si="217"/>
        <v>11.2111253154874-3.41180590706006i</v>
      </c>
      <c r="AW315" s="64">
        <f t="shared" si="241"/>
        <v>21.37764630676714</v>
      </c>
      <c r="AX315" s="61">
        <f t="shared" si="242"/>
        <v>-16.926223455756737</v>
      </c>
    </row>
    <row r="316" spans="14:50" x14ac:dyDescent="0.3">
      <c r="N316" s="10">
        <v>98</v>
      </c>
      <c r="O316" s="50">
        <f t="shared" si="243"/>
        <v>9549.9258602143691</v>
      </c>
      <c r="P316" s="48" t="str">
        <f t="shared" si="208"/>
        <v>51201.9230769231</v>
      </c>
      <c r="Q316" s="17" t="str">
        <f t="shared" si="209"/>
        <v>1+2804.0309202772i</v>
      </c>
      <c r="R316" s="17">
        <f t="shared" si="218"/>
        <v>2804.0310985919186</v>
      </c>
      <c r="S316" s="17">
        <f t="shared" si="219"/>
        <v>1.5704396973617567</v>
      </c>
      <c r="T316" s="17" t="str">
        <f t="shared" si="210"/>
        <v>1+1.8001186154866E-07i</v>
      </c>
      <c r="U316" s="17">
        <f t="shared" si="220"/>
        <v>1.0000000000000162</v>
      </c>
      <c r="V316" s="17">
        <f t="shared" si="221"/>
        <v>1.8001186154865806E-7</v>
      </c>
      <c r="W316" s="31" t="str">
        <f t="shared" si="211"/>
        <v>1-0.0972064052362763i</v>
      </c>
      <c r="X316" s="17">
        <f t="shared" si="222"/>
        <v>1.0047134343776634</v>
      </c>
      <c r="Y316" s="17">
        <f t="shared" si="223"/>
        <v>-9.6901958889328496E-2</v>
      </c>
      <c r="Z316" s="31" t="str">
        <f t="shared" si="212"/>
        <v>0.963519566425764+5.93188531505541i</v>
      </c>
      <c r="AA316" s="17">
        <f t="shared" si="224"/>
        <v>6.0096283866687887</v>
      </c>
      <c r="AB316" s="17">
        <f t="shared" si="225"/>
        <v>1.4097720579905682</v>
      </c>
      <c r="AC316" s="66" t="str">
        <f t="shared" si="226"/>
        <v>-3.04645389815552-0.196705344661727i</v>
      </c>
      <c r="AD316" s="64">
        <f t="shared" si="227"/>
        <v>9.6939607723427628</v>
      </c>
      <c r="AE316" s="61">
        <f t="shared" si="228"/>
        <v>-176.30561859395164</v>
      </c>
      <c r="AF316" s="31" t="str">
        <f t="shared" si="213"/>
        <v>-0.332666666666667</v>
      </c>
      <c r="AG316" s="31" t="str">
        <f t="shared" si="229"/>
        <v>60003.9538495533i</v>
      </c>
      <c r="AH316" s="31">
        <f t="shared" si="230"/>
        <v>60003.953849553298</v>
      </c>
      <c r="AI316" s="31">
        <f t="shared" si="231"/>
        <v>1.5707963267948966</v>
      </c>
      <c r="AJ316" s="31" t="str">
        <f t="shared" si="214"/>
        <v>-191.096402840248+494.820625289864i</v>
      </c>
      <c r="AK316" s="31">
        <f t="shared" si="232"/>
        <v>530.43876780523351</v>
      </c>
      <c r="AL316" s="31">
        <f t="shared" si="233"/>
        <v>1.939343996267729</v>
      </c>
      <c r="AM316" s="31" t="str">
        <f t="shared" si="215"/>
        <v>1+1800313.02829707i</v>
      </c>
      <c r="AN316" s="31">
        <f t="shared" si="234"/>
        <v>1800313.0282973477</v>
      </c>
      <c r="AO316" s="31">
        <f t="shared" si="235"/>
        <v>1.570795771335938</v>
      </c>
      <c r="AP316" s="31" t="str">
        <f t="shared" si="216"/>
        <v>1+194.412810472553i</v>
      </c>
      <c r="AQ316" s="31">
        <f t="shared" si="236"/>
        <v>194.41538230252462</v>
      </c>
      <c r="AR316" s="31">
        <f t="shared" si="237"/>
        <v>1.5656526781921452</v>
      </c>
      <c r="AS316" s="58" t="str">
        <f t="shared" si="238"/>
        <v>-3.40577488501189+1.33546067264745i</v>
      </c>
      <c r="AT316" s="49">
        <f t="shared" si="239"/>
        <v>11.265456174152732</v>
      </c>
      <c r="AU316" s="61">
        <f t="shared" si="240"/>
        <v>158.58903280813414</v>
      </c>
      <c r="AV316" s="58" t="str">
        <f t="shared" si="217"/>
        <v>10.6382284265799-3.3984852494237i</v>
      </c>
      <c r="AW316" s="64">
        <f t="shared" si="241"/>
        <v>20.959416946495466</v>
      </c>
      <c r="AX316" s="61">
        <f t="shared" si="242"/>
        <v>-17.716585785817557</v>
      </c>
    </row>
    <row r="317" spans="14:50" x14ac:dyDescent="0.3">
      <c r="N317" s="10">
        <v>99</v>
      </c>
      <c r="O317" s="50">
        <f t="shared" si="243"/>
        <v>9772.3722095581161</v>
      </c>
      <c r="P317" s="48" t="str">
        <f t="shared" si="208"/>
        <v>51201.9230769231</v>
      </c>
      <c r="Q317" s="17" t="str">
        <f t="shared" si="209"/>
        <v>1+2869.34519085822i</v>
      </c>
      <c r="R317" s="17">
        <f t="shared" si="218"/>
        <v>2869.3453651140007</v>
      </c>
      <c r="S317" s="17">
        <f t="shared" si="219"/>
        <v>1.570447815238079</v>
      </c>
      <c r="T317" s="17" t="str">
        <f t="shared" si="210"/>
        <v>1+1.84204876450157E-07i</v>
      </c>
      <c r="U317" s="17">
        <f t="shared" si="220"/>
        <v>1.0000000000000169</v>
      </c>
      <c r="V317" s="17">
        <f t="shared" si="221"/>
        <v>1.8420487645015492E-7</v>
      </c>
      <c r="W317" s="31" t="str">
        <f t="shared" si="211"/>
        <v>1-0.0994706332830848i</v>
      </c>
      <c r="X317" s="17">
        <f t="shared" si="222"/>
        <v>1.0049350262010663</v>
      </c>
      <c r="Y317" s="17">
        <f t="shared" si="223"/>
        <v>-9.9144499604681108E-2</v>
      </c>
      <c r="Z317" s="31" t="str">
        <f t="shared" si="212"/>
        <v>0.961800296559142+6.07005667390932i</v>
      </c>
      <c r="AA317" s="17">
        <f t="shared" si="224"/>
        <v>6.1457829309968579</v>
      </c>
      <c r="AB317" s="17">
        <f t="shared" si="225"/>
        <v>1.4136527689247191</v>
      </c>
      <c r="AC317" s="66" t="str">
        <f t="shared" si="226"/>
        <v>-2.91289295818512-0.170153899742536i</v>
      </c>
      <c r="AD317" s="64">
        <f t="shared" si="227"/>
        <v>9.3012842935063809</v>
      </c>
      <c r="AE317" s="61">
        <f t="shared" si="228"/>
        <v>-176.65691995017457</v>
      </c>
      <c r="AF317" s="31" t="str">
        <f t="shared" si="213"/>
        <v>-0.332666666666667</v>
      </c>
      <c r="AG317" s="31" t="str">
        <f t="shared" si="229"/>
        <v>61401.6254833857i</v>
      </c>
      <c r="AH317" s="31">
        <f t="shared" si="230"/>
        <v>61401.625483385702</v>
      </c>
      <c r="AI317" s="31">
        <f t="shared" si="231"/>
        <v>1.5707963267948966</v>
      </c>
      <c r="AJ317" s="31" t="str">
        <f t="shared" si="214"/>
        <v>-200.14962739191+506.346478295099i</v>
      </c>
      <c r="AK317" s="31">
        <f t="shared" si="232"/>
        <v>544.46912623854951</v>
      </c>
      <c r="AL317" s="31">
        <f t="shared" si="233"/>
        <v>1.9472288210196076</v>
      </c>
      <c r="AM317" s="31" t="str">
        <f t="shared" si="215"/>
        <v>1+1842247.70576814i</v>
      </c>
      <c r="AN317" s="31">
        <f t="shared" si="234"/>
        <v>1842247.7057684117</v>
      </c>
      <c r="AO317" s="31">
        <f t="shared" si="235"/>
        <v>1.5707957839797275</v>
      </c>
      <c r="AP317" s="31" t="str">
        <f t="shared" si="216"/>
        <v>1+198.94126656617i</v>
      </c>
      <c r="AQ317" s="31">
        <f t="shared" si="236"/>
        <v>198.94377985489243</v>
      </c>
      <c r="AR317" s="31">
        <f t="shared" si="237"/>
        <v>1.5657697599336244</v>
      </c>
      <c r="AS317" s="58" t="str">
        <f t="shared" si="238"/>
        <v>-3.38485238195603+1.35768515862861i</v>
      </c>
      <c r="AT317" s="49">
        <f t="shared" si="239"/>
        <v>11.238690985227326</v>
      </c>
      <c r="AU317" s="61">
        <f t="shared" si="240"/>
        <v>158.1439746417318</v>
      </c>
      <c r="AV317" s="58" t="str">
        <f t="shared" si="217"/>
        <v>10.0907280922591-3.3788457051591i</v>
      </c>
      <c r="AW317" s="64">
        <f t="shared" si="241"/>
        <v>20.539975278733735</v>
      </c>
      <c r="AX317" s="61">
        <f t="shared" si="242"/>
        <v>-18.512945308442703</v>
      </c>
    </row>
    <row r="318" spans="14:50" x14ac:dyDescent="0.3">
      <c r="N318" s="10">
        <v>100</v>
      </c>
      <c r="O318" s="50">
        <f t="shared" si="243"/>
        <v>10000</v>
      </c>
      <c r="P318" s="48" t="str">
        <f t="shared" si="208"/>
        <v>51201.9230769231</v>
      </c>
      <c r="Q318" s="17" t="str">
        <f t="shared" si="209"/>
        <v>1+2936.18082623969i</v>
      </c>
      <c r="R318" s="17">
        <f t="shared" si="218"/>
        <v>2936.1809965289244</v>
      </c>
      <c r="S318" s="17">
        <f t="shared" si="219"/>
        <v>1.5704557483290205</v>
      </c>
      <c r="T318" s="17" t="str">
        <f t="shared" si="210"/>
        <v>1+1.88495559215388E-07i</v>
      </c>
      <c r="U318" s="17">
        <f t="shared" si="220"/>
        <v>1.0000000000000178</v>
      </c>
      <c r="V318" s="17">
        <f t="shared" si="221"/>
        <v>1.8849555921538577E-7</v>
      </c>
      <c r="W318" s="31" t="str">
        <f t="shared" si="211"/>
        <v>1-0.101787601976309i</v>
      </c>
      <c r="X318" s="17">
        <f t="shared" si="222"/>
        <v>1.00516700896721</v>
      </c>
      <c r="Y318" s="17">
        <f t="shared" si="223"/>
        <v>-0.10143824039066934</v>
      </c>
      <c r="Z318" s="31" t="str">
        <f t="shared" si="212"/>
        <v>0.96+6.21144645715843i</v>
      </c>
      <c r="AA318" s="17">
        <f t="shared" si="224"/>
        <v>6.2851942762452468</v>
      </c>
      <c r="AB318" s="17">
        <f t="shared" si="225"/>
        <v>1.4174562048490351</v>
      </c>
      <c r="AC318" s="66" t="str">
        <f t="shared" si="226"/>
        <v>-2.78503104355948-0.145629910992762i</v>
      </c>
      <c r="AD318" s="64">
        <f t="shared" si="227"/>
        <v>8.9084593790333386</v>
      </c>
      <c r="AE318" s="61">
        <f t="shared" si="228"/>
        <v>-177.00671672941181</v>
      </c>
      <c r="AF318" s="31" t="str">
        <f t="shared" si="213"/>
        <v>-0.332666666666667</v>
      </c>
      <c r="AG318" s="31" t="str">
        <f t="shared" si="229"/>
        <v>62831.8530717959i</v>
      </c>
      <c r="AH318" s="31">
        <f t="shared" si="230"/>
        <v>62831.8530717959</v>
      </c>
      <c r="AI318" s="31">
        <f t="shared" si="231"/>
        <v>1.5707963267948966</v>
      </c>
      <c r="AJ318" s="31" t="str">
        <f t="shared" si="214"/>
        <v>-209.629517271869+518.140802905413i</v>
      </c>
      <c r="AK318" s="31">
        <f t="shared" si="232"/>
        <v>558.94044955353058</v>
      </c>
      <c r="AL318" s="31">
        <f t="shared" si="233"/>
        <v>1.9552449181089191</v>
      </c>
      <c r="AM318" s="31" t="str">
        <f t="shared" si="215"/>
        <v>1+1885159.16735783i</v>
      </c>
      <c r="AN318" s="31">
        <f t="shared" si="234"/>
        <v>1885159.1673580955</v>
      </c>
      <c r="AO318" s="31">
        <f t="shared" si="235"/>
        <v>1.5707957963357093</v>
      </c>
      <c r="AP318" s="31" t="str">
        <f t="shared" si="216"/>
        <v>1+203.575203952619i</v>
      </c>
      <c r="AQ318" s="31">
        <f t="shared" si="236"/>
        <v>203.57766003260383</v>
      </c>
      <c r="AR318" s="31">
        <f t="shared" si="237"/>
        <v>1.5658841767024572</v>
      </c>
      <c r="AS318" s="58" t="str">
        <f t="shared" si="238"/>
        <v>-3.36321766844513+1.37995666040395i</v>
      </c>
      <c r="AT318" s="49">
        <f t="shared" si="239"/>
        <v>11.210840416884704</v>
      </c>
      <c r="AU318" s="61">
        <f t="shared" si="240"/>
        <v>157.69124241625241</v>
      </c>
      <c r="AV318" s="58" t="str">
        <f t="shared" si="217"/>
        <v>9.56762857849592-3.35343704828672i</v>
      </c>
      <c r="AW318" s="64">
        <f t="shared" si="241"/>
        <v>20.119299795918046</v>
      </c>
      <c r="AX318" s="61">
        <f t="shared" si="242"/>
        <v>-19.315474313159427</v>
      </c>
    </row>
    <row r="319" spans="14:50" x14ac:dyDescent="0.3">
      <c r="N319" s="10">
        <v>1</v>
      </c>
      <c r="O319" s="50">
        <f>10^(4+(N319/100))</f>
        <v>10232.929922807549</v>
      </c>
      <c r="P319" s="48" t="str">
        <f t="shared" si="208"/>
        <v>51201.9230769231</v>
      </c>
      <c r="Q319" s="17" t="str">
        <f t="shared" si="209"/>
        <v>1+3004.57326356019i</v>
      </c>
      <c r="R319" s="17">
        <f t="shared" si="218"/>
        <v>3004.5734299731685</v>
      </c>
      <c r="S319" s="17">
        <f t="shared" si="219"/>
        <v>1.5704635008408072</v>
      </c>
      <c r="T319" s="17" t="str">
        <f t="shared" si="210"/>
        <v>1+1.92886184821148E-07i</v>
      </c>
      <c r="U319" s="17">
        <f t="shared" si="220"/>
        <v>1.0000000000000187</v>
      </c>
      <c r="V319" s="17">
        <f t="shared" si="221"/>
        <v>1.9288618482114561E-7</v>
      </c>
      <c r="W319" s="31" t="str">
        <f t="shared" si="211"/>
        <v>1-0.10415853980342i</v>
      </c>
      <c r="X319" s="17">
        <f t="shared" si="222"/>
        <v>1.0054098673744856</v>
      </c>
      <c r="Y319" s="17">
        <f t="shared" si="223"/>
        <v>-0.10378430082260712</v>
      </c>
      <c r="Z319" s="31" t="str">
        <f t="shared" si="212"/>
        <v>0.958114858077964+6.35612963153733i</v>
      </c>
      <c r="AA319" s="17">
        <f t="shared" si="224"/>
        <v>6.4279365253692919</v>
      </c>
      <c r="AB319" s="17">
        <f t="shared" si="225"/>
        <v>1.4211839910074069</v>
      </c>
      <c r="AC319" s="66" t="str">
        <f t="shared" si="226"/>
        <v>-2.66263810576306-0.122997556099305i</v>
      </c>
      <c r="AD319" s="64">
        <f t="shared" si="227"/>
        <v>8.5155002819745693</v>
      </c>
      <c r="AE319" s="61">
        <f t="shared" si="228"/>
        <v>-177.35516643908826</v>
      </c>
      <c r="AF319" s="31" t="str">
        <f t="shared" si="213"/>
        <v>-0.332666666666667</v>
      </c>
      <c r="AG319" s="31" t="str">
        <f t="shared" si="229"/>
        <v>64295.3949403827i</v>
      </c>
      <c r="AH319" s="31">
        <f t="shared" si="230"/>
        <v>64295.394940382699</v>
      </c>
      <c r="AI319" s="31">
        <f t="shared" si="231"/>
        <v>1.5707963267948966</v>
      </c>
      <c r="AJ319" s="31" t="str">
        <f t="shared" si="214"/>
        <v>-219.556180597554+530.209852627833i</v>
      </c>
      <c r="AK319" s="31">
        <f t="shared" si="232"/>
        <v>573.87054660630054</v>
      </c>
      <c r="AL319" s="31">
        <f t="shared" si="233"/>
        <v>1.9633924849555</v>
      </c>
      <c r="AM319" s="31" t="str">
        <f t="shared" si="215"/>
        <v>1+1929070.16529109i</v>
      </c>
      <c r="AN319" s="31">
        <f t="shared" si="234"/>
        <v>1929070.1652913492</v>
      </c>
      <c r="AO319" s="31">
        <f t="shared" si="235"/>
        <v>1.5707958084104345</v>
      </c>
      <c r="AP319" s="31" t="str">
        <f t="shared" si="216"/>
        <v>1+208.31707960684i</v>
      </c>
      <c r="AQ319" s="31">
        <f t="shared" si="236"/>
        <v>208.31947978027048</v>
      </c>
      <c r="AR319" s="31">
        <f t="shared" si="237"/>
        <v>1.565995989151939</v>
      </c>
      <c r="AS319" s="58" t="str">
        <f t="shared" si="238"/>
        <v>-3.34085786301464+1.40225260680826i</v>
      </c>
      <c r="AT319" s="49">
        <f t="shared" si="239"/>
        <v>11.181867787538014</v>
      </c>
      <c r="AU319" s="61">
        <f t="shared" si="240"/>
        <v>157.23082829592573</v>
      </c>
      <c r="AV319" s="58" t="str">
        <f t="shared" si="217"/>
        <v>9.06796909567222-3.32277387236731i</v>
      </c>
      <c r="AW319" s="64">
        <f t="shared" si="241"/>
        <v>19.697368069512585</v>
      </c>
      <c r="AX319" s="61">
        <f t="shared" si="242"/>
        <v>-20.124338143162504</v>
      </c>
    </row>
    <row r="320" spans="14:50" x14ac:dyDescent="0.3">
      <c r="N320" s="10">
        <v>2</v>
      </c>
      <c r="O320" s="50">
        <f t="shared" ref="O320:O383" si="244">10^(4+(N320/100))</f>
        <v>10471.285480509003</v>
      </c>
      <c r="P320" s="48" t="str">
        <f t="shared" si="208"/>
        <v>51201.9230769231</v>
      </c>
      <c r="Q320" s="17" t="str">
        <f t="shared" si="209"/>
        <v>1+3074.55876539526i</v>
      </c>
      <c r="R320" s="17">
        <f t="shared" si="218"/>
        <v>3074.5589280202171</v>
      </c>
      <c r="S320" s="17">
        <f t="shared" si="219"/>
        <v>1.5704710768839198</v>
      </c>
      <c r="T320" s="17" t="str">
        <f t="shared" si="210"/>
        <v>1+1.97379081235252E-07i</v>
      </c>
      <c r="U320" s="17">
        <f t="shared" si="220"/>
        <v>1.0000000000000195</v>
      </c>
      <c r="V320" s="17">
        <f t="shared" si="221"/>
        <v>1.9737908123524944E-7</v>
      </c>
      <c r="W320" s="31" t="str">
        <f t="shared" si="211"/>
        <v>1-0.106584703867036i</v>
      </c>
      <c r="X320" s="17">
        <f t="shared" si="222"/>
        <v>1.0056641084867373</v>
      </c>
      <c r="Y320" s="17">
        <f t="shared" si="223"/>
        <v>-0.10618382145456221</v>
      </c>
      <c r="Z320" s="31" t="str">
        <f t="shared" si="212"/>
        <v>0.956140872154272+6.50418290998021i</v>
      </c>
      <c r="AA320" s="17">
        <f t="shared" si="224"/>
        <v>6.574085540505429</v>
      </c>
      <c r="AB320" s="17">
        <f t="shared" si="225"/>
        <v>1.4248377373721997</v>
      </c>
      <c r="AC320" s="66" t="str">
        <f t="shared" si="226"/>
        <v>-2.54549225045463-0.102129535409797i</v>
      </c>
      <c r="AD320" s="64">
        <f t="shared" si="227"/>
        <v>8.1224210301250057</v>
      </c>
      <c r="AE320" s="61">
        <f t="shared" si="228"/>
        <v>-177.70242690813942</v>
      </c>
      <c r="AF320" s="31" t="str">
        <f t="shared" si="213"/>
        <v>-0.332666666666667</v>
      </c>
      <c r="AG320" s="31" t="str">
        <f t="shared" si="229"/>
        <v>65793.0270784171i</v>
      </c>
      <c r="AH320" s="31">
        <f t="shared" si="230"/>
        <v>65793.027078417101</v>
      </c>
      <c r="AI320" s="31">
        <f t="shared" si="231"/>
        <v>1.5707963267948966</v>
      </c>
      <c r="AJ320" s="31" t="str">
        <f t="shared" si="214"/>
        <v>-229.950673152769+542.560026632273i</v>
      </c>
      <c r="AK320" s="31">
        <f t="shared" si="232"/>
        <v>589.27811310333288</v>
      </c>
      <c r="AL320" s="31">
        <f t="shared" si="233"/>
        <v>1.9716715832587446</v>
      </c>
      <c r="AM320" s="31" t="str">
        <f t="shared" si="215"/>
        <v>1+1974003.98176025i</v>
      </c>
      <c r="AN320" s="31">
        <f t="shared" si="234"/>
        <v>1974003.9817605033</v>
      </c>
      <c r="AO320" s="31">
        <f t="shared" si="235"/>
        <v>1.5707958202103054</v>
      </c>
      <c r="AP320" s="31" t="str">
        <f t="shared" si="216"/>
        <v>1+213.169407734071i</v>
      </c>
      <c r="AQ320" s="31">
        <f t="shared" si="236"/>
        <v>213.17175327349216</v>
      </c>
      <c r="AR320" s="31">
        <f t="shared" si="237"/>
        <v>1.5661052565553211</v>
      </c>
      <c r="AS320" s="58" t="str">
        <f t="shared" si="238"/>
        <v>-3.31776079550805+1.42454925911966i</v>
      </c>
      <c r="AT320" s="49">
        <f t="shared" si="239"/>
        <v>11.151735776645976</v>
      </c>
      <c r="AU320" s="61">
        <f t="shared" si="240"/>
        <v>156.76273214211076</v>
      </c>
      <c r="AV320" s="58" t="str">
        <f t="shared" si="217"/>
        <v>8.59082294783019-3.2873377308339i</v>
      </c>
      <c r="AW320" s="64">
        <f t="shared" si="241"/>
        <v>19.274156806770982</v>
      </c>
      <c r="AX320" s="61">
        <f t="shared" si="242"/>
        <v>-20.939694766028648</v>
      </c>
    </row>
    <row r="321" spans="14:50" x14ac:dyDescent="0.3">
      <c r="N321" s="10">
        <v>3</v>
      </c>
      <c r="O321" s="50">
        <f t="shared" si="244"/>
        <v>10715.193052376071</v>
      </c>
      <c r="P321" s="48" t="str">
        <f t="shared" si="208"/>
        <v>51201.9230769231</v>
      </c>
      <c r="Q321" s="17" t="str">
        <f t="shared" si="209"/>
        <v>1+3146.17443898434i</v>
      </c>
      <c r="R321" s="17">
        <f t="shared" si="218"/>
        <v>3146.1745979075017</v>
      </c>
      <c r="S321" s="17">
        <f t="shared" si="219"/>
        <v>1.5704784804752732</v>
      </c>
      <c r="T321" s="17" t="str">
        <f t="shared" si="210"/>
        <v>1+2.01976630650847E-07i</v>
      </c>
      <c r="U321" s="17">
        <f t="shared" si="220"/>
        <v>1.0000000000000204</v>
      </c>
      <c r="V321" s="17">
        <f t="shared" si="221"/>
        <v>2.0197663065084425E-7</v>
      </c>
      <c r="W321" s="31" t="str">
        <f t="shared" si="211"/>
        <v>1-0.109067380551457i</v>
      </c>
      <c r="X321" s="17">
        <f t="shared" si="222"/>
        <v>1.005930262742083</v>
      </c>
      <c r="Y321" s="17">
        <f t="shared" si="223"/>
        <v>-0.10863796395807652</v>
      </c>
      <c r="Z321" s="31" t="str">
        <f t="shared" si="212"/>
        <v>0.954073855140125+6.65568479229499i</v>
      </c>
      <c r="AA321" s="17">
        <f t="shared" si="224"/>
        <v>6.7237189839737317</v>
      </c>
      <c r="AB321" s="17">
        <f t="shared" si="225"/>
        <v>1.4284190379738149</v>
      </c>
      <c r="AC321" s="66" t="str">
        <f t="shared" si="226"/>
        <v>-2.43337954823706-0.0829065723647652i</v>
      </c>
      <c r="AD321" s="64">
        <f t="shared" si="227"/>
        <v>7.7292354486481489</v>
      </c>
      <c r="AE321" s="61">
        <f t="shared" si="228"/>
        <v>-178.04865625667233</v>
      </c>
      <c r="AF321" s="31" t="str">
        <f t="shared" si="213"/>
        <v>-0.332666666666667</v>
      </c>
      <c r="AG321" s="31" t="str">
        <f t="shared" si="229"/>
        <v>67325.5435502821i</v>
      </c>
      <c r="AH321" s="31">
        <f t="shared" si="230"/>
        <v>67325.543550282106</v>
      </c>
      <c r="AI321" s="31">
        <f t="shared" si="231"/>
        <v>1.5707963267948966</v>
      </c>
      <c r="AJ321" s="31" t="str">
        <f t="shared" si="214"/>
        <v>-240.835043049837+555.197873144464i</v>
      </c>
      <c r="AK321" s="31">
        <f t="shared" si="232"/>
        <v>605.18277925346911</v>
      </c>
      <c r="AL321" s="31">
        <f t="shared" si="233"/>
        <v>1.9800821321431028</v>
      </c>
      <c r="AM321" s="31" t="str">
        <f t="shared" si="215"/>
        <v>1+2019984.44126957i</v>
      </c>
      <c r="AN321" s="31">
        <f t="shared" si="234"/>
        <v>2019984.4412698175</v>
      </c>
      <c r="AO321" s="31">
        <f t="shared" si="235"/>
        <v>1.5707958317415787</v>
      </c>
      <c r="AP321" s="31" t="str">
        <f t="shared" si="216"/>
        <v>1+218.134761102914i</v>
      </c>
      <c r="AQ321" s="31">
        <f t="shared" si="236"/>
        <v>218.13705325190716</v>
      </c>
      <c r="AR321" s="31">
        <f t="shared" si="237"/>
        <v>1.5662120368371844</v>
      </c>
      <c r="AS321" s="58" t="str">
        <f t="shared" si="238"/>
        <v>-3.29391509497509+1.44682171570896i</v>
      </c>
      <c r="AT321" s="49">
        <f t="shared" si="239"/>
        <v>11.120406463212436</v>
      </c>
      <c r="AU321" s="61">
        <f t="shared" si="240"/>
        <v>156.28696190782782</v>
      </c>
      <c r="AV321" s="58" t="str">
        <f t="shared" si="217"/>
        <v>8.13529665501406-3.24757916276649i</v>
      </c>
      <c r="AW321" s="64">
        <f t="shared" si="241"/>
        <v>18.849641911860587</v>
      </c>
      <c r="AX321" s="61">
        <f t="shared" si="242"/>
        <v>-21.761694348844486</v>
      </c>
    </row>
    <row r="322" spans="14:50" x14ac:dyDescent="0.3">
      <c r="N322" s="10">
        <v>4</v>
      </c>
      <c r="O322" s="50">
        <f t="shared" si="244"/>
        <v>10964.781961431856</v>
      </c>
      <c r="P322" s="48" t="str">
        <f t="shared" si="208"/>
        <v>51201.9230769231</v>
      </c>
      <c r="Q322" s="17" t="str">
        <f t="shared" si="209"/>
        <v>1+3219.45825590551i</v>
      </c>
      <c r="R322" s="17">
        <f t="shared" si="218"/>
        <v>3219.4584112111384</v>
      </c>
      <c r="S322" s="17">
        <f t="shared" si="219"/>
        <v>1.570485715540346</v>
      </c>
      <c r="T322" s="17" t="str">
        <f t="shared" si="210"/>
        <v>1+2.06681270749489E-07i</v>
      </c>
      <c r="U322" s="17">
        <f t="shared" si="220"/>
        <v>1.0000000000000213</v>
      </c>
      <c r="V322" s="17">
        <f t="shared" si="221"/>
        <v>2.0668127074948606E-7</v>
      </c>
      <c r="W322" s="31" t="str">
        <f t="shared" si="211"/>
        <v>1-0.111607886204724i</v>
      </c>
      <c r="X322" s="17">
        <f t="shared" si="222"/>
        <v>1.0062088850050404</v>
      </c>
      <c r="Y322" s="17">
        <f t="shared" si="223"/>
        <v>-0.11114791124084306</v>
      </c>
      <c r="Z322" s="31" t="str">
        <f t="shared" si="212"/>
        <v>0.951909422615303+6.81071560678505i</v>
      </c>
      <c r="AA322" s="17">
        <f t="shared" si="224"/>
        <v>6.8769163602132934</v>
      </c>
      <c r="AB322" s="17">
        <f t="shared" si="225"/>
        <v>1.4319294703096836</v>
      </c>
      <c r="AC322" s="66" t="str">
        <f t="shared" si="226"/>
        <v>-2.32609384022861-0.0652169399839294i</v>
      </c>
      <c r="AD322" s="64">
        <f t="shared" si="227"/>
        <v>7.3359571826555738</v>
      </c>
      <c r="AE322" s="61">
        <f t="shared" si="228"/>
        <v>-178.39401286902384</v>
      </c>
      <c r="AF322" s="31" t="str">
        <f t="shared" si="213"/>
        <v>-0.332666666666667</v>
      </c>
      <c r="AG322" s="31" t="str">
        <f t="shared" si="229"/>
        <v>68893.7569164964i</v>
      </c>
      <c r="AH322" s="31">
        <f t="shared" si="230"/>
        <v>68893.756916496393</v>
      </c>
      <c r="AI322" s="31">
        <f t="shared" si="231"/>
        <v>1.5707963267948966</v>
      </c>
      <c r="AJ322" s="31" t="str">
        <f t="shared" si="214"/>
        <v>-252.232377496602+568.130092917909i</v>
      </c>
      <c r="AK322" s="31">
        <f t="shared" si="232"/>
        <v>621.60515983741652</v>
      </c>
      <c r="AL322" s="31">
        <f t="shared" si="233"/>
        <v>1.9886239013493154</v>
      </c>
      <c r="AM322" s="31" t="str">
        <f t="shared" si="215"/>
        <v>1+2067035.9232673i</v>
      </c>
      <c r="AN322" s="31">
        <f t="shared" si="234"/>
        <v>2067035.9232675419</v>
      </c>
      <c r="AO322" s="31">
        <f t="shared" si="235"/>
        <v>1.5707958430103679</v>
      </c>
      <c r="AP322" s="31" t="str">
        <f t="shared" si="216"/>
        <v>1+223.215772409448i</v>
      </c>
      <c r="AQ322" s="31">
        <f t="shared" si="236"/>
        <v>223.2180123832897</v>
      </c>
      <c r="AR322" s="31">
        <f t="shared" si="237"/>
        <v>1.5663163866041021</v>
      </c>
      <c r="AS322" s="58" t="str">
        <f t="shared" si="238"/>
        <v>-3.2693102803665+1.46904392299375i</v>
      </c>
      <c r="AT322" s="49">
        <f t="shared" si="239"/>
        <v>11.087841368844455</v>
      </c>
      <c r="AU322" s="61">
        <f t="shared" si="240"/>
        <v>155.80353402962868</v>
      </c>
      <c r="AV322" s="58" t="str">
        <f t="shared" si="217"/>
        <v>7.70052905431622-3.20391960795753i</v>
      </c>
      <c r="AW322" s="64">
        <f t="shared" si="241"/>
        <v>18.423798551500028</v>
      </c>
      <c r="AX322" s="61">
        <f t="shared" si="242"/>
        <v>-22.590478839395164</v>
      </c>
    </row>
    <row r="323" spans="14:50" x14ac:dyDescent="0.3">
      <c r="N323" s="10">
        <v>5</v>
      </c>
      <c r="O323" s="50">
        <f t="shared" si="244"/>
        <v>11220.184543019639</v>
      </c>
      <c r="P323" s="48" t="str">
        <f t="shared" si="208"/>
        <v>51201.9230769231</v>
      </c>
      <c r="Q323" s="17" t="str">
        <f t="shared" si="209"/>
        <v>1+3294.44907220852i</v>
      </c>
      <c r="R323" s="17">
        <f t="shared" si="218"/>
        <v>3294.4492239789611</v>
      </c>
      <c r="S323" s="17">
        <f t="shared" si="219"/>
        <v>1.5704927859152626</v>
      </c>
      <c r="T323" s="17" t="str">
        <f t="shared" si="210"/>
        <v>1+2.11495495993634E-07i</v>
      </c>
      <c r="U323" s="17">
        <f t="shared" si="220"/>
        <v>1.0000000000000222</v>
      </c>
      <c r="V323" s="17">
        <f t="shared" si="221"/>
        <v>2.1149549599363084E-7</v>
      </c>
      <c r="W323" s="31" t="str">
        <f t="shared" si="211"/>
        <v>1-0.114207567836562i</v>
      </c>
      <c r="X323" s="17">
        <f t="shared" si="222"/>
        <v>1.0065005556636035</v>
      </c>
      <c r="Y323" s="17">
        <f t="shared" si="223"/>
        <v>-0.11371486754341177</v>
      </c>
      <c r="Z323" s="31" t="str">
        <f t="shared" si="212"/>
        <v>0.949642983528233+6.9693575528403i</v>
      </c>
      <c r="AA323" s="17">
        <f t="shared" si="224"/>
        <v>7.0337590586752778</v>
      </c>
      <c r="AB323" s="17">
        <f t="shared" si="225"/>
        <v>1.4353705948278965</v>
      </c>
      <c r="AC323" s="66" t="str">
        <f t="shared" si="226"/>
        <v>-2.22343653964515-0.0489560123874237i</v>
      </c>
      <c r="AD323" s="64">
        <f t="shared" si="227"/>
        <v>6.9425997197387934</v>
      </c>
      <c r="AE323" s="61">
        <f t="shared" si="228"/>
        <v>-178.73865536983564</v>
      </c>
      <c r="AF323" s="31" t="str">
        <f t="shared" si="213"/>
        <v>-0.332666666666667</v>
      </c>
      <c r="AG323" s="31" t="str">
        <f t="shared" si="229"/>
        <v>70498.4986645445i</v>
      </c>
      <c r="AH323" s="31">
        <f t="shared" si="230"/>
        <v>70498.498664544502</v>
      </c>
      <c r="AI323" s="31">
        <f t="shared" si="231"/>
        <v>1.5707963267948966</v>
      </c>
      <c r="AJ323" s="31" t="str">
        <f t="shared" si="214"/>
        <v>-264.166851767494+581.36354278671i</v>
      </c>
      <c r="AK323" s="31">
        <f t="shared" si="232"/>
        <v>638.56690679541487</v>
      </c>
      <c r="AL323" s="31">
        <f t="shared" si="233"/>
        <v>1.997296504509867</v>
      </c>
      <c r="AM323" s="31" t="str">
        <f t="shared" si="215"/>
        <v>1+2115183.37507201i</v>
      </c>
      <c r="AN323" s="31">
        <f t="shared" si="234"/>
        <v>2115183.3750722464</v>
      </c>
      <c r="AO323" s="31">
        <f t="shared" si="235"/>
        <v>1.5707958540226483</v>
      </c>
      <c r="AP323" s="31" t="str">
        <f t="shared" si="216"/>
        <v>1+228.415135673124i</v>
      </c>
      <c r="AQ323" s="31">
        <f t="shared" si="236"/>
        <v>228.41732465943048</v>
      </c>
      <c r="AR323" s="31">
        <f t="shared" si="237"/>
        <v>1.5664183611746065</v>
      </c>
      <c r="AS323" s="58" t="str">
        <f t="shared" si="238"/>
        <v>-3.24393685362293+1.49118869318604i</v>
      </c>
      <c r="AT323" s="49">
        <f t="shared" si="239"/>
        <v>11.05400150550183</v>
      </c>
      <c r="AU323" s="61">
        <f t="shared" si="240"/>
        <v>155.3124738146021</v>
      </c>
      <c r="AV323" s="58" t="str">
        <f t="shared" si="217"/>
        <v>7.28569038478234-3.15675321514556i</v>
      </c>
      <c r="AW323" s="64">
        <f t="shared" si="241"/>
        <v>17.996601225240621</v>
      </c>
      <c r="AX323" s="61">
        <f t="shared" si="242"/>
        <v>-23.426181555233558</v>
      </c>
    </row>
    <row r="324" spans="14:50" x14ac:dyDescent="0.3">
      <c r="N324" s="10">
        <v>6</v>
      </c>
      <c r="O324" s="50">
        <f t="shared" si="244"/>
        <v>11481.536214968832</v>
      </c>
      <c r="P324" s="48" t="str">
        <f t="shared" si="208"/>
        <v>51201.9230769231</v>
      </c>
      <c r="Q324" s="17" t="str">
        <f t="shared" si="209"/>
        <v>1+3371.18664901681i</v>
      </c>
      <c r="R324" s="17">
        <f t="shared" si="218"/>
        <v>3371.1867973325343</v>
      </c>
      <c r="S324" s="17">
        <f t="shared" si="219"/>
        <v>1.5704996953488266</v>
      </c>
      <c r="T324" s="17" t="str">
        <f t="shared" si="210"/>
        <v>1+2.16421858949228E-07i</v>
      </c>
      <c r="U324" s="17">
        <f t="shared" si="220"/>
        <v>1.0000000000000235</v>
      </c>
      <c r="V324" s="17">
        <f t="shared" si="221"/>
        <v>2.1642185894922461E-7</v>
      </c>
      <c r="W324" s="31" t="str">
        <f t="shared" si="211"/>
        <v>1-0.116867803832583i</v>
      </c>
      <c r="X324" s="17">
        <f t="shared" si="222"/>
        <v>1.0068058817729717</v>
      </c>
      <c r="Y324" s="17">
        <f t="shared" si="223"/>
        <v>-0.11634005851187981</v>
      </c>
      <c r="Z324" s="31" t="str">
        <f t="shared" si="212"/>
        <v>0.947269730457744+7.13169474452043i</v>
      </c>
      <c r="AA324" s="17">
        <f t="shared" si="224"/>
        <v>7.1943303976994128</v>
      </c>
      <c r="AB324" s="17">
        <f t="shared" si="225"/>
        <v>1.4387439544808978</v>
      </c>
      <c r="AC324" s="66" t="str">
        <f t="shared" si="226"/>
        <v>-2.12521643049049-0.0340258403337176i</v>
      </c>
      <c r="AD324" s="64">
        <f t="shared" si="227"/>
        <v>6.5491764124567498</v>
      </c>
      <c r="AE324" s="61">
        <f t="shared" si="228"/>
        <v>-179.08274260276363</v>
      </c>
      <c r="AF324" s="31" t="str">
        <f t="shared" si="213"/>
        <v>-0.332666666666667</v>
      </c>
      <c r="AG324" s="31" t="str">
        <f t="shared" si="229"/>
        <v>72140.6196497425i</v>
      </c>
      <c r="AH324" s="31">
        <f t="shared" si="230"/>
        <v>72140.619649742497</v>
      </c>
      <c r="AI324" s="31">
        <f t="shared" si="231"/>
        <v>1.5707963267948966</v>
      </c>
      <c r="AJ324" s="31" t="str">
        <f t="shared" si="214"/>
        <v>-276.663780482525+594.905239301153i</v>
      </c>
      <c r="AK324" s="31">
        <f t="shared" si="232"/>
        <v>656.09076443648007</v>
      </c>
      <c r="AL324" s="31">
        <f t="shared" si="233"/>
        <v>2.0060993925499462</v>
      </c>
      <c r="AM324" s="31" t="str">
        <f t="shared" si="215"/>
        <v>1+2164452.32509994i</v>
      </c>
      <c r="AN324" s="31">
        <f t="shared" si="234"/>
        <v>2164452.3251001704</v>
      </c>
      <c r="AO324" s="31">
        <f t="shared" si="235"/>
        <v>1.5707958647842584</v>
      </c>
      <c r="AP324" s="31" t="str">
        <f t="shared" si="216"/>
        <v>1+233.735607665166i</v>
      </c>
      <c r="AQ324" s="31">
        <f t="shared" si="236"/>
        <v>233.73774682452213</v>
      </c>
      <c r="AR324" s="31">
        <f t="shared" si="237"/>
        <v>1.5665180146084765</v>
      </c>
      <c r="AS324" s="58" t="str">
        <f t="shared" si="238"/>
        <v>-3.21778639469056+1.51322772930667i</v>
      </c>
      <c r="AT324" s="49">
        <f t="shared" si="239"/>
        <v>11.018847428048735</v>
      </c>
      <c r="AU324" s="61">
        <f t="shared" si="240"/>
        <v>154.81381582014899</v>
      </c>
      <c r="AV324" s="58" t="str">
        <f t="shared" si="217"/>
        <v>6.88998136091108-3.1064485473026i</v>
      </c>
      <c r="AW324" s="64">
        <f t="shared" si="241"/>
        <v>17.568023840505486</v>
      </c>
      <c r="AX324" s="61">
        <f t="shared" si="242"/>
        <v>-24.268926782614646</v>
      </c>
    </row>
    <row r="325" spans="14:50" x14ac:dyDescent="0.3">
      <c r="N325" s="10">
        <v>7</v>
      </c>
      <c r="O325" s="50">
        <f t="shared" si="244"/>
        <v>11748.975549395318</v>
      </c>
      <c r="P325" s="48" t="str">
        <f t="shared" si="208"/>
        <v>51201.9230769231</v>
      </c>
      <c r="Q325" s="17" t="str">
        <f t="shared" si="209"/>
        <v>1+3449.71167360935i</v>
      </c>
      <c r="R325" s="17">
        <f t="shared" si="218"/>
        <v>3449.7118185489962</v>
      </c>
      <c r="S325" s="17">
        <f t="shared" si="219"/>
        <v>1.5705064475045083</v>
      </c>
      <c r="T325" s="17" t="str">
        <f t="shared" si="210"/>
        <v>1+2.21462971639119E-07i</v>
      </c>
      <c r="U325" s="17">
        <f t="shared" si="220"/>
        <v>1.0000000000000244</v>
      </c>
      <c r="V325" s="17">
        <f t="shared" si="221"/>
        <v>2.2146297163911537E-7</v>
      </c>
      <c r="W325" s="31" t="str">
        <f t="shared" si="211"/>
        <v>1-0.119590004685124i</v>
      </c>
      <c r="X325" s="17">
        <f t="shared" si="222"/>
        <v>1.0071254982476554</v>
      </c>
      <c r="Y325" s="17">
        <f t="shared" si="223"/>
        <v>-0.11902473124437928</v>
      </c>
      <c r="Z325" s="31" t="str">
        <f t="shared" si="212"/>
        <v>0.944784629415884+7.29781325515325i</v>
      </c>
      <c r="AA325" s="17">
        <f t="shared" si="224"/>
        <v>7.3587156693998566</v>
      </c>
      <c r="AB325" s="17">
        <f t="shared" si="225"/>
        <v>1.4420510743448538</v>
      </c>
      <c r="AC325" s="66" t="str">
        <f t="shared" si="226"/>
        <v>-2.03124946434504-0.020334749762288i</v>
      </c>
      <c r="AD325" s="64">
        <f t="shared" si="227"/>
        <v>6.1557005007810703</v>
      </c>
      <c r="AE325" s="61">
        <f t="shared" si="228"/>
        <v>-179.42643361144695</v>
      </c>
      <c r="AF325" s="31" t="str">
        <f t="shared" si="213"/>
        <v>-0.332666666666667</v>
      </c>
      <c r="AG325" s="31" t="str">
        <f t="shared" si="229"/>
        <v>73820.9905463729i</v>
      </c>
      <c r="AH325" s="31">
        <f t="shared" si="230"/>
        <v>73820.990546372894</v>
      </c>
      <c r="AI325" s="31">
        <f t="shared" si="231"/>
        <v>1.5707963267948966</v>
      </c>
      <c r="AJ325" s="31" t="str">
        <f t="shared" si="214"/>
        <v>-289.749671302991+608.762362447976i</v>
      </c>
      <c r="AK325" s="31">
        <f t="shared" si="232"/>
        <v>674.20062737543651</v>
      </c>
      <c r="AL325" s="31">
        <f t="shared" si="233"/>
        <v>2.0150318472579429</v>
      </c>
      <c r="AM325" s="31" t="str">
        <f t="shared" si="215"/>
        <v>1+2214868.89640056i</v>
      </c>
      <c r="AN325" s="31">
        <f t="shared" si="234"/>
        <v>2214868.896400786</v>
      </c>
      <c r="AO325" s="31">
        <f t="shared" si="235"/>
        <v>1.5707958753009046</v>
      </c>
      <c r="AP325" s="31" t="str">
        <f t="shared" si="216"/>
        <v>1+239.180009370248i</v>
      </c>
      <c r="AQ325" s="31">
        <f t="shared" si="236"/>
        <v>239.18209983682289</v>
      </c>
      <c r="AR325" s="31">
        <f t="shared" si="237"/>
        <v>1.5666153997353605</v>
      </c>
      <c r="AS325" s="58" t="str">
        <f t="shared" si="238"/>
        <v>-3.19085165792919+1.53513165791594i</v>
      </c>
      <c r="AT325" s="49">
        <f t="shared" si="239"/>
        <v>10.982339291691815</v>
      </c>
      <c r="AU325" s="61">
        <f t="shared" si="240"/>
        <v>154.30760422400624</v>
      </c>
      <c r="AV325" s="58" t="str">
        <f t="shared" si="217"/>
        <v>6.51263223908904-3.05335018784829i</v>
      </c>
      <c r="AW325" s="64">
        <f t="shared" si="241"/>
        <v>17.138039792472888</v>
      </c>
      <c r="AX325" s="61">
        <f t="shared" si="242"/>
        <v>-25.118829387440673</v>
      </c>
    </row>
    <row r="326" spans="14:50" x14ac:dyDescent="0.3">
      <c r="N326" s="10">
        <v>8</v>
      </c>
      <c r="O326" s="50">
        <f t="shared" si="244"/>
        <v>12022.644346174151</v>
      </c>
      <c r="P326" s="48" t="str">
        <f t="shared" si="208"/>
        <v>51201.9230769231</v>
      </c>
      <c r="Q326" s="17" t="str">
        <f t="shared" si="209"/>
        <v>1+3530.06578099356i</v>
      </c>
      <c r="R326" s="17">
        <f t="shared" si="218"/>
        <v>3530.0659226339772</v>
      </c>
      <c r="S326" s="17">
        <f t="shared" si="219"/>
        <v>1.5705130459623877</v>
      </c>
      <c r="T326" s="17" t="str">
        <f t="shared" si="210"/>
        <v>1+2.26621506927982E-07i</v>
      </c>
      <c r="U326" s="17">
        <f t="shared" si="220"/>
        <v>1.0000000000000258</v>
      </c>
      <c r="V326" s="17">
        <f t="shared" si="221"/>
        <v>2.266215069279781E-7</v>
      </c>
      <c r="W326" s="31" t="str">
        <f t="shared" si="211"/>
        <v>1-0.12237561374111i</v>
      </c>
      <c r="X326" s="17">
        <f t="shared" si="222"/>
        <v>1.0074600691037403</v>
      </c>
      <c r="Y326" s="17">
        <f t="shared" si="223"/>
        <v>-0.12177015430904548</v>
      </c>
      <c r="Z326" s="31" t="str">
        <f t="shared" si="212"/>
        <v>0.942182409170163+7.46780116297191i</v>
      </c>
      <c r="AA326" s="17">
        <f t="shared" si="224"/>
        <v>7.5270021855871887</v>
      </c>
      <c r="AB326" s="17">
        <f t="shared" si="225"/>
        <v>1.4452934613005168</v>
      </c>
      <c r="AC326" s="66" t="str">
        <f t="shared" si="226"/>
        <v>-1.94135855614425-0.00779696234059264i</v>
      </c>
      <c r="AD326" s="64">
        <f t="shared" si="227"/>
        <v>5.7621851345035964</v>
      </c>
      <c r="AE326" s="61">
        <f t="shared" si="228"/>
        <v>-179.76988762236346</v>
      </c>
      <c r="AF326" s="31" t="str">
        <f t="shared" si="213"/>
        <v>-0.332666666666667</v>
      </c>
      <c r="AG326" s="31" t="str">
        <f t="shared" si="229"/>
        <v>75540.5023093271i</v>
      </c>
      <c r="AH326" s="31">
        <f t="shared" si="230"/>
        <v>75540.502309327101</v>
      </c>
      <c r="AI326" s="31">
        <f t="shared" si="231"/>
        <v>1.5707963267948966</v>
      </c>
      <c r="AJ326" s="31" t="str">
        <f t="shared" si="214"/>
        <v>-303.452281157776+622.94225945729i</v>
      </c>
      <c r="AK326" s="31">
        <f t="shared" si="232"/>
        <v>692.92160130682282</v>
      </c>
      <c r="AL326" s="31">
        <f t="shared" si="233"/>
        <v>2.0240929750720511</v>
      </c>
      <c r="AM326" s="31" t="str">
        <f t="shared" si="215"/>
        <v>1+2266459.8205073i</v>
      </c>
      <c r="AN326" s="31">
        <f t="shared" si="234"/>
        <v>2266459.8205075203</v>
      </c>
      <c r="AO326" s="31">
        <f t="shared" si="235"/>
        <v>1.5707958855781625</v>
      </c>
      <c r="AP326" s="31" t="str">
        <f t="shared" si="216"/>
        <v>1+244.75122748222i</v>
      </c>
      <c r="AQ326" s="31">
        <f t="shared" si="236"/>
        <v>244.75327036436798</v>
      </c>
      <c r="AR326" s="31">
        <f t="shared" si="237"/>
        <v>1.5667105681827485</v>
      </c>
      <c r="AS326" s="58" t="str">
        <f t="shared" si="238"/>
        <v>-3.16312666931168+1.55687006997817i</v>
      </c>
      <c r="AT326" s="49">
        <f t="shared" si="239"/>
        <v>10.944436914361136</v>
      </c>
      <c r="AU326" s="61">
        <f t="shared" si="240"/>
        <v>153.79389318185085</v>
      </c>
      <c r="AV326" s="58" t="str">
        <f t="shared" si="217"/>
        <v>6.15290188094111-2.99778025163787i</v>
      </c>
      <c r="AW326" s="64">
        <f t="shared" si="241"/>
        <v>16.706622048864734</v>
      </c>
      <c r="AX326" s="61">
        <f t="shared" si="242"/>
        <v>-25.975994440512626</v>
      </c>
    </row>
    <row r="327" spans="14:50" x14ac:dyDescent="0.3">
      <c r="N327" s="10">
        <v>9</v>
      </c>
      <c r="O327" s="50">
        <f t="shared" si="244"/>
        <v>12302.687708123816</v>
      </c>
      <c r="P327" s="48" t="str">
        <f t="shared" si="208"/>
        <v>51201.9230769231</v>
      </c>
      <c r="Q327" s="17" t="str">
        <f t="shared" si="209"/>
        <v>1+3612.29157598079i</v>
      </c>
      <c r="R327" s="17">
        <f t="shared" si="218"/>
        <v>3612.2917143970781</v>
      </c>
      <c r="S327" s="17">
        <f t="shared" si="219"/>
        <v>1.5705194942210523</v>
      </c>
      <c r="T327" s="17" t="str">
        <f t="shared" si="210"/>
        <v>1+2.31900199939508E-07i</v>
      </c>
      <c r="U327" s="17">
        <f t="shared" si="220"/>
        <v>1.0000000000000269</v>
      </c>
      <c r="V327" s="17">
        <f t="shared" si="221"/>
        <v>2.3190019993950384E-7</v>
      </c>
      <c r="W327" s="31" t="str">
        <f t="shared" si="211"/>
        <v>1-0.125226107967334i</v>
      </c>
      <c r="X327" s="17">
        <f t="shared" si="222"/>
        <v>1.0078102887531197</v>
      </c>
      <c r="Y327" s="17">
        <f t="shared" si="223"/>
        <v>-0.1245776177309969</v>
      </c>
      <c r="Z327" s="31" t="str">
        <f t="shared" si="212"/>
        <v>0.939457550062551+7.64174859781522i</v>
      </c>
      <c r="AA327" s="17">
        <f t="shared" si="224"/>
        <v>7.699279324753741</v>
      </c>
      <c r="AB327" s="17">
        <f t="shared" si="225"/>
        <v>1.4484726037716011</v>
      </c>
      <c r="AC327" s="66" t="str">
        <f t="shared" si="226"/>
        <v>-1.8553733797461+0.00366776296950537i</v>
      </c>
      <c r="AD327" s="64">
        <f t="shared" si="227"/>
        <v>5.3686433956121249</v>
      </c>
      <c r="AE327" s="61">
        <f t="shared" si="228"/>
        <v>179.88673597079756</v>
      </c>
      <c r="AF327" s="31" t="str">
        <f t="shared" si="213"/>
        <v>-0.332666666666667</v>
      </c>
      <c r="AG327" s="31" t="str">
        <f t="shared" si="229"/>
        <v>77300.0666465025i</v>
      </c>
      <c r="AH327" s="31">
        <f t="shared" si="230"/>
        <v>77300.066646502499</v>
      </c>
      <c r="AI327" s="31">
        <f t="shared" si="231"/>
        <v>1.5707963267948966</v>
      </c>
      <c r="AJ327" s="31" t="str">
        <f t="shared" si="214"/>
        <v>-317.800675119526+637.452448698183i</v>
      </c>
      <c r="AK327" s="31">
        <f t="shared" si="232"/>
        <v>712.28006672778383</v>
      </c>
      <c r="AL327" s="31">
        <f t="shared" si="233"/>
        <v>2.0332817011318749</v>
      </c>
      <c r="AM327" s="31" t="str">
        <f t="shared" si="215"/>
        <v>1+2319252.45161101i</v>
      </c>
      <c r="AN327" s="31">
        <f t="shared" si="234"/>
        <v>2319252.451611225</v>
      </c>
      <c r="AO327" s="31">
        <f t="shared" si="235"/>
        <v>1.5707958956214816</v>
      </c>
      <c r="AP327" s="31" t="str">
        <f t="shared" si="216"/>
        <v>1+250.452215934668i</v>
      </c>
      <c r="AQ327" s="31">
        <f t="shared" si="236"/>
        <v>250.45421231551597</v>
      </c>
      <c r="AR327" s="31">
        <f t="shared" si="237"/>
        <v>1.5668035704033114</v>
      </c>
      <c r="AS327" s="58" t="str">
        <f t="shared" si="238"/>
        <v>-3.1346068237464+1.57841157023662i</v>
      </c>
      <c r="AT327" s="49">
        <f t="shared" si="239"/>
        <v>10.905099844057272</v>
      </c>
      <c r="AU327" s="61">
        <f t="shared" si="240"/>
        <v>153.27274716968452</v>
      </c>
      <c r="AV327" s="58" t="str">
        <f t="shared" si="217"/>
        <v>5.81007681724159-2.94003980453236i</v>
      </c>
      <c r="AW327" s="64">
        <f t="shared" si="241"/>
        <v>16.273743239669393</v>
      </c>
      <c r="AX327" s="61">
        <f t="shared" si="242"/>
        <v>-26.840516859517887</v>
      </c>
    </row>
    <row r="328" spans="14:50" x14ac:dyDescent="0.3">
      <c r="N328" s="10">
        <v>10</v>
      </c>
      <c r="O328" s="50">
        <f t="shared" si="244"/>
        <v>12589.254117941671</v>
      </c>
      <c r="P328" s="48" t="str">
        <f t="shared" si="208"/>
        <v>51201.9230769231</v>
      </c>
      <c r="Q328" s="17" t="str">
        <f t="shared" si="209"/>
        <v>1+3696.43265577594i</v>
      </c>
      <c r="R328" s="17">
        <f t="shared" si="218"/>
        <v>3696.4327910414881</v>
      </c>
      <c r="S328" s="17">
        <f t="shared" si="219"/>
        <v>1.5705257956994521</v>
      </c>
      <c r="T328" s="17" t="str">
        <f t="shared" si="210"/>
        <v>1+2.37301849506604E-07i</v>
      </c>
      <c r="U328" s="17">
        <f t="shared" si="220"/>
        <v>1.0000000000000282</v>
      </c>
      <c r="V328" s="17">
        <f t="shared" si="221"/>
        <v>2.3730184950659955E-7</v>
      </c>
      <c r="W328" s="31" t="str">
        <f t="shared" si="211"/>
        <v>1-0.128142998733566i</v>
      </c>
      <c r="X328" s="17">
        <f t="shared" si="222"/>
        <v>1.008176883351543</v>
      </c>
      <c r="Y328" s="17">
        <f t="shared" si="223"/>
        <v>-0.12744843294571939</v>
      </c>
      <c r="Z328" s="31" t="str">
        <f t="shared" si="212"/>
        <v>0.936604272301555+7.81974778891558i</v>
      </c>
      <c r="AA328" s="17">
        <f t="shared" si="224"/>
        <v>7.8756385801497801</v>
      </c>
      <c r="AB328" s="17">
        <f t="shared" si="225"/>
        <v>1.4515899715168674</v>
      </c>
      <c r="AC328" s="66" t="str">
        <f t="shared" si="226"/>
        <v>-1.77313016400118+0.0141344682915752i</v>
      </c>
      <c r="AD328" s="64">
        <f t="shared" si="227"/>
        <v>4.9750883206410093</v>
      </c>
      <c r="AE328" s="61">
        <f t="shared" si="228"/>
        <v>179.54327762161279</v>
      </c>
      <c r="AF328" s="31" t="str">
        <f t="shared" si="213"/>
        <v>-0.332666666666667</v>
      </c>
      <c r="AG328" s="31" t="str">
        <f t="shared" si="229"/>
        <v>79100.6165022012i</v>
      </c>
      <c r="AH328" s="31">
        <f t="shared" si="230"/>
        <v>79100.616502201199</v>
      </c>
      <c r="AI328" s="31">
        <f t="shared" si="231"/>
        <v>1.5707963267948966</v>
      </c>
      <c r="AJ328" s="31" t="str">
        <f t="shared" si="214"/>
        <v>-332.825288055556+652.300623665058i</v>
      </c>
      <c r="AK328" s="31">
        <f t="shared" si="232"/>
        <v>732.30374572515154</v>
      </c>
      <c r="AL328" s="31">
        <f t="shared" si="233"/>
        <v>2.0425967636460061</v>
      </c>
      <c r="AM328" s="31" t="str">
        <f t="shared" si="215"/>
        <v>1+2373274.78106351i</v>
      </c>
      <c r="AN328" s="31">
        <f t="shared" si="234"/>
        <v>2373274.781063721</v>
      </c>
      <c r="AO328" s="31">
        <f t="shared" si="235"/>
        <v>1.5707959054361866</v>
      </c>
      <c r="AP328" s="31" t="str">
        <f t="shared" si="216"/>
        <v>1+256.285997467132i</v>
      </c>
      <c r="AQ328" s="31">
        <f t="shared" si="236"/>
        <v>256.28794840515383</v>
      </c>
      <c r="AR328" s="31">
        <f t="shared" si="237"/>
        <v>1.5668944557016189</v>
      </c>
      <c r="AS328" s="58" t="str">
        <f t="shared" si="238"/>
        <v>-3.10528898178898+1.59972383542512i</v>
      </c>
      <c r="AT328" s="49">
        <f t="shared" si="239"/>
        <v>10.864287431152913</v>
      </c>
      <c r="AU328" s="61">
        <f t="shared" si="240"/>
        <v>152.74424130807819</v>
      </c>
      <c r="AV328" s="58" t="str">
        <f t="shared" si="217"/>
        <v>5.48347031572346-2.88041019531321i</v>
      </c>
      <c r="AW328" s="64">
        <f t="shared" si="241"/>
        <v>15.839375751793924</v>
      </c>
      <c r="AX328" s="61">
        <f t="shared" si="242"/>
        <v>-27.712481070308989</v>
      </c>
    </row>
    <row r="329" spans="14:50" x14ac:dyDescent="0.3">
      <c r="N329" s="10">
        <v>11</v>
      </c>
      <c r="O329" s="50">
        <f t="shared" si="244"/>
        <v>12882.49551693136</v>
      </c>
      <c r="P329" s="48" t="str">
        <f t="shared" si="208"/>
        <v>51201.9230769231</v>
      </c>
      <c r="Q329" s="17" t="str">
        <f t="shared" si="209"/>
        <v>1+3782.53363309327i</v>
      </c>
      <c r="R329" s="17">
        <f t="shared" si="218"/>
        <v>3782.5337652797989</v>
      </c>
      <c r="S329" s="17">
        <f t="shared" si="219"/>
        <v>1.5705319537387119</v>
      </c>
      <c r="T329" s="17" t="str">
        <f t="shared" si="210"/>
        <v>1+2.4282931965537E-07i</v>
      </c>
      <c r="U329" s="17">
        <f t="shared" si="220"/>
        <v>1.0000000000000295</v>
      </c>
      <c r="V329" s="17">
        <f t="shared" si="221"/>
        <v>2.4282931965536525E-7</v>
      </c>
      <c r="W329" s="31" t="str">
        <f t="shared" si="211"/>
        <v>1-0.1311278326139i</v>
      </c>
      <c r="X329" s="17">
        <f t="shared" si="222"/>
        <v>1.0085606122023698</v>
      </c>
      <c r="Y329" s="17">
        <f t="shared" si="223"/>
        <v>-0.13038393271607837</v>
      </c>
      <c r="Z329" s="31" t="str">
        <f t="shared" si="212"/>
        <v>0.933616523702497+8.00189311380025i</v>
      </c>
      <c r="AA329" s="17">
        <f t="shared" si="224"/>
        <v>8.056173608979277</v>
      </c>
      <c r="AB329" s="17">
        <f t="shared" si="225"/>
        <v>1.4546470154723261</v>
      </c>
      <c r="AC329" s="66" t="str">
        <f t="shared" si="226"/>
        <v>-1.69447148995946+0.0236733161043657i</v>
      </c>
      <c r="AD329" s="64">
        <f t="shared" si="227"/>
        <v>4.581532923003544</v>
      </c>
      <c r="AE329" s="61">
        <f t="shared" si="228"/>
        <v>179.19957764461688</v>
      </c>
      <c r="AF329" s="31" t="str">
        <f t="shared" si="213"/>
        <v>-0.332666666666667</v>
      </c>
      <c r="AG329" s="31" t="str">
        <f t="shared" si="229"/>
        <v>80943.10655179i</v>
      </c>
      <c r="AH329" s="31">
        <f t="shared" si="230"/>
        <v>80943.106551789999</v>
      </c>
      <c r="AI329" s="31">
        <f t="shared" si="231"/>
        <v>1.5707963267948966</v>
      </c>
      <c r="AJ329" s="31" t="str">
        <f t="shared" si="214"/>
        <v>-348.557989184288+667.49465705682i</v>
      </c>
      <c r="AK329" s="31">
        <f t="shared" si="232"/>
        <v>753.0217719452711</v>
      </c>
      <c r="AL329" s="31">
        <f t="shared" si="233"/>
        <v>2.0520367086283109</v>
      </c>
      <c r="AM329" s="31" t="str">
        <f t="shared" si="215"/>
        <v>1+2428555.45221893i</v>
      </c>
      <c r="AN329" s="31">
        <f t="shared" si="234"/>
        <v>2428555.4522191356</v>
      </c>
      <c r="AO329" s="31">
        <f t="shared" si="235"/>
        <v>1.5707959150274819</v>
      </c>
      <c r="AP329" s="31" t="str">
        <f t="shared" si="216"/>
        <v>1+262.2556652278i</v>
      </c>
      <c r="AQ329" s="31">
        <f t="shared" si="236"/>
        <v>262.25757175737726</v>
      </c>
      <c r="AR329" s="31">
        <f t="shared" si="237"/>
        <v>1.5669832722602499</v>
      </c>
      <c r="AS329" s="58" t="str">
        <f t="shared" si="238"/>
        <v>-3.07517156494628+1.62077368158212i</v>
      </c>
      <c r="AT329" s="49">
        <f t="shared" si="239"/>
        <v>10.821958905596869</v>
      </c>
      <c r="AU329" s="61">
        <f t="shared" si="240"/>
        <v>152.20846166525763</v>
      </c>
      <c r="AV329" s="58" t="str">
        <f t="shared" si="217"/>
        <v>5.17242145583776-2.81915430364966i</v>
      </c>
      <c r="AW329" s="64">
        <f t="shared" si="241"/>
        <v>15.403491828600416</v>
      </c>
      <c r="AX329" s="61">
        <f t="shared" si="242"/>
        <v>-28.591960690125408</v>
      </c>
    </row>
    <row r="330" spans="14:50" x14ac:dyDescent="0.3">
      <c r="N330" s="10">
        <v>12</v>
      </c>
      <c r="O330" s="50">
        <f t="shared" si="244"/>
        <v>13182.567385564091</v>
      </c>
      <c r="P330" s="48" t="str">
        <f t="shared" si="208"/>
        <v>51201.9230769231</v>
      </c>
      <c r="Q330" s="17" t="str">
        <f t="shared" si="209"/>
        <v>1+3870.6401598106i</v>
      </c>
      <c r="R330" s="17">
        <f t="shared" si="218"/>
        <v>3870.6402889881956</v>
      </c>
      <c r="S330" s="17">
        <f t="shared" si="219"/>
        <v>1.5705379716039043</v>
      </c>
      <c r="T330" s="17" t="str">
        <f t="shared" si="210"/>
        <v>1+2.48485541123644E-07i</v>
      </c>
      <c r="U330" s="17">
        <f t="shared" si="220"/>
        <v>1.0000000000000309</v>
      </c>
      <c r="V330" s="17">
        <f t="shared" si="221"/>
        <v>2.4848554112363885E-7</v>
      </c>
      <c r="W330" s="31" t="str">
        <f t="shared" si="211"/>
        <v>1-0.134182192206767i</v>
      </c>
      <c r="X330" s="17">
        <f t="shared" si="222"/>
        <v>1.0089622692179394</v>
      </c>
      <c r="Y330" s="17">
        <f t="shared" si="223"/>
        <v>-0.1333854710100304</v>
      </c>
      <c r="Z330" s="31" t="str">
        <f t="shared" si="212"/>
        <v>0.930487966850025+8.18828114833142i</v>
      </c>
      <c r="AA330" s="17">
        <f t="shared" si="224"/>
        <v>8.2409802827438199</v>
      </c>
      <c r="AB330" s="17">
        <f t="shared" si="225"/>
        <v>1.4576451676401265</v>
      </c>
      <c r="AC330" s="66" t="str">
        <f t="shared" si="226"/>
        <v>-1.61924608977467+0.0323498903205873i</v>
      </c>
      <c r="AD330" s="64">
        <f t="shared" si="227"/>
        <v>4.1879902153141133</v>
      </c>
      <c r="AE330" s="61">
        <f t="shared" si="228"/>
        <v>178.85547622857399</v>
      </c>
      <c r="AF330" s="31" t="str">
        <f t="shared" si="213"/>
        <v>-0.332666666666667</v>
      </c>
      <c r="AG330" s="31" t="str">
        <f t="shared" si="229"/>
        <v>82828.5137078811i</v>
      </c>
      <c r="AH330" s="31">
        <f t="shared" si="230"/>
        <v>82828.513707881095</v>
      </c>
      <c r="AI330" s="31">
        <f t="shared" si="231"/>
        <v>1.5707963267948966</v>
      </c>
      <c r="AJ330" s="31" t="str">
        <f t="shared" si="214"/>
        <v>-365.032149674136+683.042604951089i</v>
      </c>
      <c r="AK330" s="31">
        <f t="shared" si="232"/>
        <v>774.46476386862832</v>
      </c>
      <c r="AL330" s="31">
        <f t="shared" si="233"/>
        <v>2.0615998850569861</v>
      </c>
      <c r="AM330" s="31" t="str">
        <f t="shared" si="215"/>
        <v>1+2485123.77562085i</v>
      </c>
      <c r="AN330" s="31">
        <f t="shared" si="234"/>
        <v>2485123.7756210505</v>
      </c>
      <c r="AO330" s="31">
        <f t="shared" si="235"/>
        <v>1.5707959244004526</v>
      </c>
      <c r="AP330" s="31" t="str">
        <f t="shared" si="216"/>
        <v>1+268.364384413535i</v>
      </c>
      <c r="AQ330" s="31">
        <f t="shared" si="236"/>
        <v>268.36624754550559</v>
      </c>
      <c r="AR330" s="31">
        <f t="shared" si="237"/>
        <v>1.5670700671653108</v>
      </c>
      <c r="AS330" s="58" t="str">
        <f t="shared" si="238"/>
        <v>-3.04425464871691+1.64152714066337i</v>
      </c>
      <c r="AT330" s="49">
        <f t="shared" si="239"/>
        <v>10.778073458927654</v>
      </c>
      <c r="AU330" s="61">
        <f t="shared" si="240"/>
        <v>151.66550553593035</v>
      </c>
      <c r="AV330" s="58" t="str">
        <f t="shared" si="217"/>
        <v>4.87629421325449-2.75651770777209i</v>
      </c>
      <c r="AW330" s="64">
        <f t="shared" si="241"/>
        <v>14.966063674241767</v>
      </c>
      <c r="AX330" s="61">
        <f t="shared" si="242"/>
        <v>-29.479018235495669</v>
      </c>
    </row>
    <row r="331" spans="14:50" x14ac:dyDescent="0.3">
      <c r="N331" s="10">
        <v>13</v>
      </c>
      <c r="O331" s="50">
        <f t="shared" si="244"/>
        <v>13489.628825916556</v>
      </c>
      <c r="P331" s="48" t="str">
        <f t="shared" si="208"/>
        <v>51201.9230769231</v>
      </c>
      <c r="Q331" s="17" t="str">
        <f t="shared" si="209"/>
        <v>1+3960.79895117464i</v>
      </c>
      <c r="R331" s="17">
        <f t="shared" si="218"/>
        <v>3960.7990774117957</v>
      </c>
      <c r="S331" s="17">
        <f t="shared" si="219"/>
        <v>1.5705438524857789</v>
      </c>
      <c r="T331" s="17" t="str">
        <f t="shared" si="210"/>
        <v>1+2.54273512914916E-07i</v>
      </c>
      <c r="U331" s="17">
        <f t="shared" si="220"/>
        <v>1.0000000000000324</v>
      </c>
      <c r="V331" s="17">
        <f t="shared" si="221"/>
        <v>2.5427351291491051E-7</v>
      </c>
      <c r="W331" s="31" t="str">
        <f t="shared" si="211"/>
        <v>1-0.137307696974054i</v>
      </c>
      <c r="X331" s="17">
        <f t="shared" si="222"/>
        <v>1.0093826844405043</v>
      </c>
      <c r="Y331" s="17">
        <f t="shared" si="223"/>
        <v>-0.13645442283593878</v>
      </c>
      <c r="Z331" s="31" t="str">
        <f t="shared" si="212"/>
        <v>0.9272119656556+8.37901071791215i</v>
      </c>
      <c r="AA331" s="17">
        <f t="shared" si="224"/>
        <v>8.4301567387648024</v>
      </c>
      <c r="AB331" s="17">
        <f t="shared" si="225"/>
        <v>1.4605858410209049</v>
      </c>
      <c r="AC331" s="66" t="str">
        <f t="shared" si="226"/>
        <v>-1.54730864779937+0.040225480067498i</v>
      </c>
      <c r="AD331" s="64">
        <f t="shared" si="227"/>
        <v>3.7944732317071739</v>
      </c>
      <c r="AE331" s="61">
        <f t="shared" si="228"/>
        <v>178.51081344969052</v>
      </c>
      <c r="AF331" s="31" t="str">
        <f t="shared" si="213"/>
        <v>-0.332666666666667</v>
      </c>
      <c r="AG331" s="31" t="str">
        <f t="shared" si="229"/>
        <v>84757.8376383051i</v>
      </c>
      <c r="AH331" s="31">
        <f t="shared" si="230"/>
        <v>84757.837638305107</v>
      </c>
      <c r="AI331" s="31">
        <f t="shared" si="231"/>
        <v>1.5707963267948966</v>
      </c>
      <c r="AJ331" s="31" t="str">
        <f t="shared" si="214"/>
        <v>-382.282713428228+698.952711075641i</v>
      </c>
      <c r="AK331" s="31">
        <f t="shared" si="232"/>
        <v>796.6649015150831</v>
      </c>
      <c r="AL331" s="31">
        <f t="shared" si="233"/>
        <v>2.0712844405113944</v>
      </c>
      <c r="AM331" s="31" t="str">
        <f t="shared" si="215"/>
        <v>1+2543009.74454311i</v>
      </c>
      <c r="AN331" s="31">
        <f t="shared" si="234"/>
        <v>2543009.7445433065</v>
      </c>
      <c r="AO331" s="31">
        <f t="shared" si="235"/>
        <v>1.5707959335600685</v>
      </c>
      <c r="AP331" s="31" t="str">
        <f t="shared" si="216"/>
        <v>1+274.615393948109i</v>
      </c>
      <c r="AQ331" s="31">
        <f t="shared" si="236"/>
        <v>274.61721467030264</v>
      </c>
      <c r="AR331" s="31">
        <f t="shared" si="237"/>
        <v>1.567154886431376</v>
      </c>
      <c r="AS331" s="58" t="str">
        <f t="shared" si="238"/>
        <v>-3.01254005245912+1.66194954656894i</v>
      </c>
      <c r="AT331" s="49">
        <f t="shared" si="239"/>
        <v>10.732590330958001</v>
      </c>
      <c r="AU331" s="61">
        <f t="shared" si="240"/>
        <v>151.11548169270665</v>
      </c>
      <c r="AV331" s="58" t="str">
        <f t="shared" si="217"/>
        <v>4.59447655665327-2.6927297754451i</v>
      </c>
      <c r="AW331" s="64">
        <f t="shared" si="241"/>
        <v>14.52706356266518</v>
      </c>
      <c r="AX331" s="61">
        <f t="shared" si="242"/>
        <v>-30.373704857602846</v>
      </c>
    </row>
    <row r="332" spans="14:50" x14ac:dyDescent="0.3">
      <c r="N332" s="10">
        <v>14</v>
      </c>
      <c r="O332" s="50">
        <f t="shared" si="244"/>
        <v>13803.842646028841</v>
      </c>
      <c r="P332" s="48" t="str">
        <f t="shared" si="208"/>
        <v>51201.9230769231</v>
      </c>
      <c r="Q332" s="17" t="str">
        <f t="shared" si="209"/>
        <v>1+4053.05781056997i</v>
      </c>
      <c r="R332" s="17">
        <f t="shared" si="218"/>
        <v>4053.0579339336173</v>
      </c>
      <c r="S332" s="17">
        <f t="shared" si="219"/>
        <v>1.5705495995024557</v>
      </c>
      <c r="T332" s="17" t="str">
        <f t="shared" si="210"/>
        <v>1+2.60196303888442E-07i</v>
      </c>
      <c r="U332" s="17">
        <f t="shared" si="220"/>
        <v>1.0000000000000338</v>
      </c>
      <c r="V332" s="17">
        <f t="shared" si="221"/>
        <v>2.6019630388843613E-7</v>
      </c>
      <c r="W332" s="31" t="str">
        <f t="shared" si="211"/>
        <v>1-0.140506004099759i</v>
      </c>
      <c r="X332" s="17">
        <f t="shared" si="222"/>
        <v>1.0098227256246919</v>
      </c>
      <c r="Y332" s="17">
        <f t="shared" si="223"/>
        <v>-0.139592184032205</v>
      </c>
      <c r="Z332" s="31" t="str">
        <f t="shared" si="212"/>
        <v>0.92378157128147+8.57418294988482i</v>
      </c>
      <c r="AA332" s="17">
        <f t="shared" si="224"/>
        <v>8.6238034329137392</v>
      </c>
      <c r="AB332" s="17">
        <f t="shared" si="225"/>
        <v>1.4634704295865133</v>
      </c>
      <c r="AC332" s="66" t="str">
        <f t="shared" si="226"/>
        <v>-1.47851960430205+0.0473573470341329i</v>
      </c>
      <c r="AD332" s="64">
        <f t="shared" si="227"/>
        <v>3.4009950501624293</v>
      </c>
      <c r="AE332" s="61">
        <f t="shared" si="228"/>
        <v>178.16542928513402</v>
      </c>
      <c r="AF332" s="31" t="str">
        <f t="shared" si="213"/>
        <v>-0.332666666666667</v>
      </c>
      <c r="AG332" s="31" t="str">
        <f t="shared" si="229"/>
        <v>86732.1012961474i</v>
      </c>
      <c r="AH332" s="31">
        <f t="shared" si="230"/>
        <v>86732.101296147404</v>
      </c>
      <c r="AI332" s="31">
        <f t="shared" si="231"/>
        <v>1.5707963267948966</v>
      </c>
      <c r="AJ332" s="31" t="str">
        <f t="shared" si="214"/>
        <v>-400.346271205107+715.233411179337i</v>
      </c>
      <c r="AK332" s="31">
        <f t="shared" si="232"/>
        <v>819.65600670956087</v>
      </c>
      <c r="AL332" s="31">
        <f t="shared" si="233"/>
        <v>2.0810883173420969</v>
      </c>
      <c r="AM332" s="31" t="str">
        <f t="shared" si="215"/>
        <v>1+2602244.05089263i</v>
      </c>
      <c r="AN332" s="31">
        <f t="shared" si="234"/>
        <v>2602244.050892822</v>
      </c>
      <c r="AO332" s="31">
        <f t="shared" si="235"/>
        <v>1.5707959425111859</v>
      </c>
      <c r="AP332" s="31" t="str">
        <f t="shared" si="216"/>
        <v>1+281.012008199518i</v>
      </c>
      <c r="AQ332" s="31">
        <f t="shared" si="236"/>
        <v>281.01378747728012</v>
      </c>
      <c r="AR332" s="31">
        <f t="shared" si="237"/>
        <v>1.5672377750258579</v>
      </c>
      <c r="AS332" s="58" t="str">
        <f t="shared" si="238"/>
        <v>-2.98003142513005+1.68200563061114i</v>
      </c>
      <c r="AT332" s="49">
        <f t="shared" si="239"/>
        <v>10.685468900943796</v>
      </c>
      <c r="AU332" s="61">
        <f t="shared" si="240"/>
        <v>150.55851060693621</v>
      </c>
      <c r="AV332" s="58" t="str">
        <f t="shared" si="217"/>
        <v>4.32637955912874-2.62800468177751i</v>
      </c>
      <c r="AW332" s="64">
        <f t="shared" si="241"/>
        <v>14.086463951106227</v>
      </c>
      <c r="AX332" s="61">
        <f t="shared" si="242"/>
        <v>-31.276060107929752</v>
      </c>
    </row>
    <row r="333" spans="14:50" x14ac:dyDescent="0.3">
      <c r="N333" s="10">
        <v>15</v>
      </c>
      <c r="O333" s="50">
        <f t="shared" si="244"/>
        <v>14125.375446227561</v>
      </c>
      <c r="P333" s="48" t="str">
        <f t="shared" si="208"/>
        <v>51201.9230769231</v>
      </c>
      <c r="Q333" s="17" t="str">
        <f t="shared" si="209"/>
        <v>1+4147.46565486503i</v>
      </c>
      <c r="R333" s="17">
        <f t="shared" si="218"/>
        <v>4147.4657754205782</v>
      </c>
      <c r="S333" s="17">
        <f t="shared" si="219"/>
        <v>1.5705552157010776</v>
      </c>
      <c r="T333" s="17" t="str">
        <f t="shared" si="210"/>
        <v>1+2.66257054386397E-07i</v>
      </c>
      <c r="U333" s="17">
        <f t="shared" si="220"/>
        <v>1.0000000000000355</v>
      </c>
      <c r="V333" s="17">
        <f t="shared" si="221"/>
        <v>2.6625705438639071E-7</v>
      </c>
      <c r="W333" s="31" t="str">
        <f t="shared" si="211"/>
        <v>1-0.143778809368654i</v>
      </c>
      <c r="X333" s="17">
        <f t="shared" si="222"/>
        <v>1.010283299883487</v>
      </c>
      <c r="Y333" s="17">
        <f t="shared" si="223"/>
        <v>-0.14280017100777972</v>
      </c>
      <c r="Z333" s="31" t="str">
        <f t="shared" si="212"/>
        <v>0.920189507401244+8.77390132715027i</v>
      </c>
      <c r="AA333" s="17">
        <f t="shared" si="224"/>
        <v>8.8220231935821065</v>
      </c>
      <c r="AB333" s="17">
        <f t="shared" si="225"/>
        <v>1.4663003082902419</v>
      </c>
      <c r="AC333" s="66" t="str">
        <f t="shared" si="226"/>
        <v>-1.41274496217996+0.0537989772210658i</v>
      </c>
      <c r="AD333" s="64">
        <f t="shared" si="227"/>
        <v>3.0075688148422408</v>
      </c>
      <c r="AE333" s="61">
        <f t="shared" si="228"/>
        <v>177.81916362722055</v>
      </c>
      <c r="AF333" s="31" t="str">
        <f t="shared" si="213"/>
        <v>-0.332666666666667</v>
      </c>
      <c r="AG333" s="31" t="str">
        <f t="shared" si="229"/>
        <v>88752.3514621323i</v>
      </c>
      <c r="AH333" s="31">
        <f t="shared" si="230"/>
        <v>88752.351462132297</v>
      </c>
      <c r="AI333" s="31">
        <f t="shared" si="231"/>
        <v>1.5707963267948966</v>
      </c>
      <c r="AJ333" s="31" t="str">
        <f t="shared" si="214"/>
        <v>-419.261138232648+731.893337504876i</v>
      </c>
      <c r="AK333" s="31">
        <f t="shared" si="232"/>
        <v>843.47362704245927</v>
      </c>
      <c r="AL333" s="31">
        <f t="shared" si="233"/>
        <v>2.0910092494293906</v>
      </c>
      <c r="AM333" s="31" t="str">
        <f t="shared" si="215"/>
        <v>1+2662858.10148271i</v>
      </c>
      <c r="AN333" s="31">
        <f t="shared" si="234"/>
        <v>2662858.101482898</v>
      </c>
      <c r="AO333" s="31">
        <f t="shared" si="235"/>
        <v>1.5707959512585512</v>
      </c>
      <c r="AP333" s="31" t="str">
        <f t="shared" si="216"/>
        <v>1+287.557618737309i</v>
      </c>
      <c r="AQ333" s="31">
        <f t="shared" si="236"/>
        <v>287.55935751401233</v>
      </c>
      <c r="AR333" s="31">
        <f t="shared" si="237"/>
        <v>1.5673187768928281</v>
      </c>
      <c r="AS333" s="58" t="str">
        <f t="shared" si="238"/>
        <v>-2.9467343259031+1.70165962635102i</v>
      </c>
      <c r="AT333" s="49">
        <f t="shared" si="239"/>
        <v>10.636668783002385</v>
      </c>
      <c r="AU333" s="61">
        <f t="shared" si="240"/>
        <v>149.99472463579556</v>
      </c>
      <c r="AV333" s="58" t="str">
        <f t="shared" si="217"/>
        <v>4.0714365263263-2.56254235734823i</v>
      </c>
      <c r="AW333" s="64">
        <f t="shared" si="241"/>
        <v>13.644237597844626</v>
      </c>
      <c r="AX333" s="61">
        <f t="shared" si="242"/>
        <v>-32.186111736983854</v>
      </c>
    </row>
    <row r="334" spans="14:50" x14ac:dyDescent="0.3">
      <c r="N334" s="10">
        <v>16</v>
      </c>
      <c r="O334" s="50">
        <f t="shared" si="244"/>
        <v>14454.397707459291</v>
      </c>
      <c r="P334" s="48" t="str">
        <f t="shared" si="208"/>
        <v>51201.9230769231</v>
      </c>
      <c r="Q334" s="17" t="str">
        <f t="shared" si="209"/>
        <v>1+4244.07254034849i</v>
      </c>
      <c r="R334" s="17">
        <f t="shared" si="218"/>
        <v>4244.0726581598583</v>
      </c>
      <c r="S334" s="17">
        <f t="shared" si="219"/>
        <v>1.5705607040594256</v>
      </c>
      <c r="T334" s="17" t="str">
        <f t="shared" si="210"/>
        <v>1+2.72458977898916E-07i</v>
      </c>
      <c r="U334" s="17">
        <f t="shared" si="220"/>
        <v>1.0000000000000371</v>
      </c>
      <c r="V334" s="17">
        <f t="shared" si="221"/>
        <v>2.7245897789890926E-7</v>
      </c>
      <c r="W334" s="31" t="str">
        <f t="shared" si="211"/>
        <v>1-0.147127848065414i</v>
      </c>
      <c r="X334" s="17">
        <f t="shared" si="222"/>
        <v>1.0107653553997384</v>
      </c>
      <c r="Y334" s="17">
        <f t="shared" si="223"/>
        <v>-0.14607982042990766</v>
      </c>
      <c r="Z334" s="31" t="str">
        <f t="shared" si="212"/>
        <v>0.916428154765838+8.97827174303568i</v>
      </c>
      <c r="AA334" s="17">
        <f t="shared" si="224"/>
        <v>9.0249212769220577</v>
      </c>
      <c r="AB334" s="17">
        <f t="shared" si="225"/>
        <v>1.4690768331117916</v>
      </c>
      <c r="AC334" s="66" t="str">
        <f t="shared" si="226"/>
        <v>-1.34985609698964+0.0596003178987568i</v>
      </c>
      <c r="AD334" s="64">
        <f t="shared" si="227"/>
        <v>2.6142077584496075</v>
      </c>
      <c r="AE334" s="61">
        <f t="shared" si="228"/>
        <v>177.47185629863623</v>
      </c>
      <c r="AF334" s="31" t="str">
        <f t="shared" si="213"/>
        <v>-0.332666666666667</v>
      </c>
      <c r="AG334" s="31" t="str">
        <f t="shared" si="229"/>
        <v>90819.6592996385i</v>
      </c>
      <c r="AH334" s="31">
        <f t="shared" si="230"/>
        <v>90819.659299638501</v>
      </c>
      <c r="AI334" s="31">
        <f t="shared" si="231"/>
        <v>1.5707963267948966</v>
      </c>
      <c r="AJ334" s="31" t="str">
        <f t="shared" si="214"/>
        <v>-439.067435479771+748.941323365712i</v>
      </c>
      <c r="AK334" s="31">
        <f t="shared" si="232"/>
        <v>868.15512366371888</v>
      </c>
      <c r="AL334" s="31">
        <f t="shared" si="233"/>
        <v>2.1010447595848687</v>
      </c>
      <c r="AM334" s="31" t="str">
        <f t="shared" si="215"/>
        <v>1+2724884.03468529i</v>
      </c>
      <c r="AN334" s="31">
        <f t="shared" si="234"/>
        <v>2724884.0346854739</v>
      </c>
      <c r="AO334" s="31">
        <f t="shared" si="235"/>
        <v>1.570795959806802</v>
      </c>
      <c r="AP334" s="31" t="str">
        <f t="shared" si="216"/>
        <v>1+294.255696130829i</v>
      </c>
      <c r="AQ334" s="31">
        <f t="shared" si="236"/>
        <v>294.2573953283736</v>
      </c>
      <c r="AR334" s="31">
        <f t="shared" si="237"/>
        <v>1.5673979349762945</v>
      </c>
      <c r="AS334" s="58" t="str">
        <f t="shared" si="238"/>
        <v>-2.91265629864185+1.72087538362379i</v>
      </c>
      <c r="AT334" s="49">
        <f t="shared" si="239"/>
        <v>10.586149925492187</v>
      </c>
      <c r="AU334" s="61">
        <f t="shared" si="240"/>
        <v>149.42426817250168</v>
      </c>
      <c r="AV334" s="58" t="str">
        <f t="shared" si="217"/>
        <v>3.82910214322886-2.49652937007283i</v>
      </c>
      <c r="AW334" s="64">
        <f t="shared" si="241"/>
        <v>13.200357683941803</v>
      </c>
      <c r="AX334" s="61">
        <f t="shared" si="242"/>
        <v>-33.103875528862069</v>
      </c>
    </row>
    <row r="335" spans="14:50" x14ac:dyDescent="0.3">
      <c r="N335" s="10">
        <v>17</v>
      </c>
      <c r="O335" s="50">
        <f t="shared" si="244"/>
        <v>14791.083881682089</v>
      </c>
      <c r="P335" s="48" t="str">
        <f t="shared" si="208"/>
        <v>51201.9230769231</v>
      </c>
      <c r="Q335" s="17" t="str">
        <f t="shared" si="209"/>
        <v>1+4342.92968926979i</v>
      </c>
      <c r="R335" s="17">
        <f t="shared" si="218"/>
        <v>4342.929804399444</v>
      </c>
      <c r="S335" s="17">
        <f t="shared" si="219"/>
        <v>1.5705660674874993</v>
      </c>
      <c r="T335" s="17" t="str">
        <f t="shared" si="210"/>
        <v>1+2.78805362767937E-07i</v>
      </c>
      <c r="U335" s="17">
        <f t="shared" si="220"/>
        <v>1.0000000000000389</v>
      </c>
      <c r="V335" s="17">
        <f t="shared" si="221"/>
        <v>2.7880536276792981E-7</v>
      </c>
      <c r="W335" s="31" t="str">
        <f t="shared" si="211"/>
        <v>1-0.150554895894686i</v>
      </c>
      <c r="X335" s="17">
        <f t="shared" si="222"/>
        <v>1.0112698832052005</v>
      </c>
      <c r="Y335" s="17">
        <f t="shared" si="223"/>
        <v>-0.14943258885527846</v>
      </c>
      <c r="Z335" s="31" t="str">
        <f t="shared" si="212"/>
        <v>0.912489535042018+9.18740255744072i</v>
      </c>
      <c r="AA335" s="17">
        <f t="shared" si="224"/>
        <v>9.2326054233910302</v>
      </c>
      <c r="AB335" s="17">
        <f t="shared" si="225"/>
        <v>1.4718013411344264</v>
      </c>
      <c r="AC335" s="66" t="str">
        <f t="shared" si="226"/>
        <v>-1.28972957056908+0.0648080005503046i</v>
      </c>
      <c r="AD335" s="64">
        <f t="shared" si="227"/>
        <v>2.2209252246124738</v>
      </c>
      <c r="AE335" s="61">
        <f t="shared" si="228"/>
        <v>177.12334706906003</v>
      </c>
      <c r="AF335" s="31" t="str">
        <f t="shared" si="213"/>
        <v>-0.332666666666667</v>
      </c>
      <c r="AG335" s="31" t="str">
        <f t="shared" si="229"/>
        <v>92935.1209226457i</v>
      </c>
      <c r="AH335" s="31">
        <f t="shared" si="230"/>
        <v>92935.120922645699</v>
      </c>
      <c r="AI335" s="31">
        <f t="shared" si="231"/>
        <v>1.5707963267948966</v>
      </c>
      <c r="AJ335" s="31" t="str">
        <f t="shared" si="214"/>
        <v>-459.807174758415+766.386407829607i</v>
      </c>
      <c r="AK335" s="31">
        <f t="shared" si="232"/>
        <v>893.73976305481926</v>
      </c>
      <c r="AL335" s="31">
        <f t="shared" si="233"/>
        <v>2.1111921576492296</v>
      </c>
      <c r="AM335" s="31" t="str">
        <f t="shared" si="215"/>
        <v>1+2788354.73747116i</v>
      </c>
      <c r="AN335" s="31">
        <f t="shared" si="234"/>
        <v>2788354.7374713398</v>
      </c>
      <c r="AO335" s="31">
        <f t="shared" si="235"/>
        <v>1.5707959681604708</v>
      </c>
      <c r="AP335" s="31" t="str">
        <f t="shared" si="216"/>
        <v>1+301.109791789372i</v>
      </c>
      <c r="AQ335" s="31">
        <f t="shared" si="236"/>
        <v>301.11145230867419</v>
      </c>
      <c r="AR335" s="31">
        <f t="shared" si="237"/>
        <v>1.5674752912429506</v>
      </c>
      <c r="AS335" s="58" t="str">
        <f t="shared" si="238"/>
        <v>-2.87780693919315+1.7396164914592i</v>
      </c>
      <c r="AT335" s="49">
        <f t="shared" si="239"/>
        <v>10.533872714013729</v>
      </c>
      <c r="AU335" s="61">
        <f t="shared" si="240"/>
        <v>148.84729775660287</v>
      </c>
      <c r="AV335" s="58" t="str">
        <f t="shared" si="217"/>
        <v>3.59885164133049-2.43013974418346i</v>
      </c>
      <c r="AW335" s="64">
        <f t="shared" si="241"/>
        <v>12.75479793862619</v>
      </c>
      <c r="AX335" s="61">
        <f t="shared" si="242"/>
        <v>-34.029355174337105</v>
      </c>
    </row>
    <row r="336" spans="14:50" x14ac:dyDescent="0.3">
      <c r="N336" s="10">
        <v>18</v>
      </c>
      <c r="O336" s="50">
        <f t="shared" si="244"/>
        <v>15135.612484362096</v>
      </c>
      <c r="P336" s="48" t="str">
        <f t="shared" si="208"/>
        <v>51201.9230769231</v>
      </c>
      <c r="Q336" s="17" t="str">
        <f t="shared" si="209"/>
        <v>1+4444.08951699781i</v>
      </c>
      <c r="R336" s="17">
        <f t="shared" si="218"/>
        <v>4444.0896295067942</v>
      </c>
      <c r="S336" s="17">
        <f t="shared" si="219"/>
        <v>1.5705713088290574</v>
      </c>
      <c r="T336" s="17" t="str">
        <f t="shared" si="210"/>
        <v>1+2.85299573930724E-07i</v>
      </c>
      <c r="U336" s="17">
        <f t="shared" si="220"/>
        <v>1.0000000000000409</v>
      </c>
      <c r="V336" s="17">
        <f t="shared" si="221"/>
        <v>2.8529957393071629E-7</v>
      </c>
      <c r="W336" s="31" t="str">
        <f t="shared" si="211"/>
        <v>1-0.154061769922591i</v>
      </c>
      <c r="X336" s="17">
        <f t="shared" si="222"/>
        <v>1.0117979190291317</v>
      </c>
      <c r="Y336" s="17">
        <f t="shared" si="223"/>
        <v>-0.1528599523005694</v>
      </c>
      <c r="Z336" s="31" t="str">
        <f t="shared" si="212"/>
        <v>0.908365293889289+9.40140465429137i</v>
      </c>
      <c r="AA336" s="17">
        <f t="shared" si="224"/>
        <v>9.4451859156331093</v>
      </c>
      <c r="AB336" s="17">
        <f t="shared" si="225"/>
        <v>1.4744751506518694</v>
      </c>
      <c r="AC336" s="66" t="str">
        <f t="shared" si="226"/>
        <v>-1.23224694848214+0.069465550543894i</v>
      </c>
      <c r="AD336" s="64">
        <f t="shared" si="227"/>
        <v>1.8277346903001213</v>
      </c>
      <c r="AE336" s="61">
        <f t="shared" si="228"/>
        <v>176.77347567355665</v>
      </c>
      <c r="AF336" s="31" t="str">
        <f t="shared" si="213"/>
        <v>-0.332666666666667</v>
      </c>
      <c r="AG336" s="31" t="str">
        <f t="shared" si="229"/>
        <v>95099.8579769078i</v>
      </c>
      <c r="AH336" s="31">
        <f t="shared" si="230"/>
        <v>95099.857976907806</v>
      </c>
      <c r="AI336" s="31">
        <f t="shared" si="231"/>
        <v>1.5707963267948966</v>
      </c>
      <c r="AJ336" s="31" t="str">
        <f t="shared" si="214"/>
        <v>-481.524347836216+784.237840511257i</v>
      </c>
      <c r="AK336" s="31">
        <f t="shared" si="232"/>
        <v>920.26881292851215</v>
      </c>
      <c r="AL336" s="31">
        <f t="shared" si="233"/>
        <v>2.1214485393373765</v>
      </c>
      <c r="AM336" s="31" t="str">
        <f t="shared" si="215"/>
        <v>1+2853303.86284708i</v>
      </c>
      <c r="AN336" s="31">
        <f t="shared" si="234"/>
        <v>2853303.8628472551</v>
      </c>
      <c r="AO336" s="31">
        <f t="shared" si="235"/>
        <v>1.5707959763239872</v>
      </c>
      <c r="AP336" s="31" t="str">
        <f t="shared" si="216"/>
        <v>1+308.123539845181i</v>
      </c>
      <c r="AQ336" s="31">
        <f t="shared" si="236"/>
        <v>308.12516256665054</v>
      </c>
      <c r="AR336" s="31">
        <f t="shared" si="237"/>
        <v>1.5675508867044072</v>
      </c>
      <c r="AS336" s="58" t="str">
        <f t="shared" si="238"/>
        <v>-2.84219795445968+1.75784640948199i</v>
      </c>
      <c r="AT336" s="49">
        <f t="shared" si="239"/>
        <v>10.479798077640021</v>
      </c>
      <c r="AU336" s="61">
        <f t="shared" si="240"/>
        <v>148.26398214142361</v>
      </c>
      <c r="AV336" s="58" t="str">
        <f t="shared" si="217"/>
        <v>3.38017998775885-2.36353571964574i</v>
      </c>
      <c r="AW336" s="64">
        <f t="shared" si="241"/>
        <v>12.307532767940149</v>
      </c>
      <c r="AX336" s="61">
        <f t="shared" si="242"/>
        <v>-34.962542185019728</v>
      </c>
    </row>
    <row r="337" spans="14:50" x14ac:dyDescent="0.3">
      <c r="N337" s="10">
        <v>19</v>
      </c>
      <c r="O337" s="50">
        <f t="shared" si="244"/>
        <v>15488.166189124853</v>
      </c>
      <c r="P337" s="48" t="str">
        <f t="shared" si="208"/>
        <v>51201.9230769231</v>
      </c>
      <c r="Q337" s="17" t="str">
        <f t="shared" si="209"/>
        <v>1+4547.60565981223i</v>
      </c>
      <c r="R337" s="17">
        <f t="shared" si="218"/>
        <v>4547.6057697601973</v>
      </c>
      <c r="S337" s="17">
        <f t="shared" si="219"/>
        <v>1.5705764308631278</v>
      </c>
      <c r="T337" s="17" t="str">
        <f t="shared" si="210"/>
        <v>1+2.91945054703995E-07i</v>
      </c>
      <c r="U337" s="17">
        <f t="shared" si="220"/>
        <v>1.0000000000000426</v>
      </c>
      <c r="V337" s="17">
        <f t="shared" si="221"/>
        <v>2.9194505470398668E-7</v>
      </c>
      <c r="W337" s="31" t="str">
        <f t="shared" si="211"/>
        <v>1-0.157650329540157i</v>
      </c>
      <c r="X337" s="17">
        <f t="shared" si="222"/>
        <v>1.0123505452184633</v>
      </c>
      <c r="Y337" s="17">
        <f t="shared" si="223"/>
        <v>-0.15636340574816368</v>
      </c>
      <c r="Z337" s="31" t="str">
        <f t="shared" si="212"/>
        <v>0.90404668323922+9.62039150033204i</v>
      </c>
      <c r="AA337" s="17">
        <f t="shared" si="224"/>
        <v>9.6627756377314675</v>
      </c>
      <c r="AB337" s="17">
        <f t="shared" si="225"/>
        <v>1.4770995613026625</v>
      </c>
      <c r="AC337" s="66" t="str">
        <f t="shared" si="226"/>
        <v>-1.17729462147637+0.0736135842497183i</v>
      </c>
      <c r="AD337" s="64">
        <f t="shared" si="227"/>
        <v>1.4346497882764544</v>
      </c>
      <c r="AE337" s="61">
        <f t="shared" si="228"/>
        <v>176.42208183311257</v>
      </c>
      <c r="AF337" s="31" t="str">
        <f t="shared" si="213"/>
        <v>-0.332666666666667</v>
      </c>
      <c r="AG337" s="31" t="str">
        <f t="shared" si="229"/>
        <v>97315.0182346649i</v>
      </c>
      <c r="AH337" s="31">
        <f t="shared" si="230"/>
        <v>97315.018234664894</v>
      </c>
      <c r="AI337" s="31">
        <f t="shared" si="231"/>
        <v>1.5707963267948966</v>
      </c>
      <c r="AJ337" s="31" t="str">
        <f t="shared" si="214"/>
        <v>-504.265019748946+802.505086476563i</v>
      </c>
      <c r="AK337" s="31">
        <f t="shared" si="232"/>
        <v>947.78564241243942</v>
      </c>
      <c r="AL337" s="31">
        <f t="shared" si="233"/>
        <v>2.1318107858791144</v>
      </c>
      <c r="AM337" s="31" t="str">
        <f t="shared" si="215"/>
        <v>1+2919765.84769903i</v>
      </c>
      <c r="AN337" s="31">
        <f t="shared" si="234"/>
        <v>2919765.8476992012</v>
      </c>
      <c r="AO337" s="31">
        <f t="shared" si="235"/>
        <v>1.570795984301679</v>
      </c>
      <c r="AP337" s="31" t="str">
        <f t="shared" si="216"/>
        <v>1+315.300659080314i</v>
      </c>
      <c r="AQ337" s="31">
        <f t="shared" si="236"/>
        <v>315.30224486432127</v>
      </c>
      <c r="AR337" s="31">
        <f t="shared" si="237"/>
        <v>1.5676247614389207</v>
      </c>
      <c r="AS337" s="58" t="str">
        <f t="shared" si="238"/>
        <v>-2.8058432122232+1.77552860725175i</v>
      </c>
      <c r="AT337" s="49">
        <f t="shared" si="239"/>
        <v>10.423887597929049</v>
      </c>
      <c r="AU337" s="61">
        <f t="shared" si="240"/>
        <v>147.67450231589632</v>
      </c>
      <c r="AV337" s="58" t="str">
        <f t="shared" si="217"/>
        <v>3.17260109773864-2.29686845528941i</v>
      </c>
      <c r="AW337" s="64">
        <f t="shared" si="241"/>
        <v>11.858537386205501</v>
      </c>
      <c r="AX337" s="61">
        <f t="shared" si="242"/>
        <v>-35.903415850991152</v>
      </c>
    </row>
    <row r="338" spans="14:50" x14ac:dyDescent="0.3">
      <c r="N338" s="10">
        <v>20</v>
      </c>
      <c r="O338" s="50">
        <f t="shared" si="244"/>
        <v>15848.931924611146</v>
      </c>
      <c r="P338" s="48" t="str">
        <f t="shared" si="208"/>
        <v>51201.9230769231</v>
      </c>
      <c r="Q338" s="17" t="str">
        <f t="shared" si="209"/>
        <v>1+4653.53300334214i</v>
      </c>
      <c r="R338" s="17">
        <f t="shared" si="218"/>
        <v>4653.5331107873844</v>
      </c>
      <c r="S338" s="17">
        <f t="shared" si="219"/>
        <v>1.5705814363054793</v>
      </c>
      <c r="T338" s="17" t="str">
        <f t="shared" si="210"/>
        <v>1+2.98745328609619E-07i</v>
      </c>
      <c r="U338" s="17">
        <f t="shared" si="220"/>
        <v>1.0000000000000446</v>
      </c>
      <c r="V338" s="17">
        <f t="shared" si="221"/>
        <v>2.9874532860961008E-7</v>
      </c>
      <c r="W338" s="31" t="str">
        <f t="shared" si="211"/>
        <v>1-0.161322477449194i</v>
      </c>
      <c r="X338" s="17">
        <f t="shared" si="222"/>
        <v>1.012928892731541</v>
      </c>
      <c r="Y338" s="17">
        <f t="shared" si="223"/>
        <v>-0.15994446258263051</v>
      </c>
      <c r="Z338" s="31" t="str">
        <f t="shared" si="212"/>
        <v>0.899524542739617+9.84447920528709i</v>
      </c>
      <c r="AA338" s="17">
        <f t="shared" si="224"/>
        <v>9.8854901358668528</v>
      </c>
      <c r="AB338" s="17">
        <f t="shared" si="225"/>
        <v>1.4796758542298418</v>
      </c>
      <c r="AC338" s="66" t="str">
        <f t="shared" si="226"/>
        <v>-1.12476363110943+0.0772899942857842i</v>
      </c>
      <c r="AD338" s="64">
        <f t="shared" si="227"/>
        <v>1.0416843295926166</v>
      </c>
      <c r="AE338" s="61">
        <f t="shared" si="228"/>
        <v>176.06900527768997</v>
      </c>
      <c r="AF338" s="31" t="str">
        <f t="shared" si="213"/>
        <v>-0.332666666666667</v>
      </c>
      <c r="AG338" s="31" t="str">
        <f t="shared" si="229"/>
        <v>99581.7762032062i</v>
      </c>
      <c r="AH338" s="31">
        <f t="shared" si="230"/>
        <v>99581.776203206202</v>
      </c>
      <c r="AI338" s="31">
        <f t="shared" si="231"/>
        <v>1.5707963267948966</v>
      </c>
      <c r="AJ338" s="31" t="str">
        <f t="shared" si="214"/>
        <v>-528.077426510621+821.197831261126i</v>
      </c>
      <c r="AK338" s="31">
        <f t="shared" si="232"/>
        <v>976.33582667955852</v>
      </c>
      <c r="AL338" s="31">
        <f t="shared" si="233"/>
        <v>2.1422755645001739</v>
      </c>
      <c r="AM338" s="31" t="str">
        <f t="shared" si="215"/>
        <v>1+2987775.93105109i</v>
      </c>
      <c r="AN338" s="31">
        <f t="shared" si="234"/>
        <v>2987775.9310512571</v>
      </c>
      <c r="AO338" s="31">
        <f t="shared" si="235"/>
        <v>1.5707959920977763</v>
      </c>
      <c r="AP338" s="31" t="str">
        <f t="shared" si="216"/>
        <v>1+322.644954898388i</v>
      </c>
      <c r="AQ338" s="31">
        <f t="shared" si="236"/>
        <v>322.6465045857197</v>
      </c>
      <c r="AR338" s="31">
        <f t="shared" si="237"/>
        <v>1.567696954612626</v>
      </c>
      <c r="AS338" s="58" t="str">
        <f t="shared" si="238"/>
        <v>-2.76875878071823+1.79262671087385i</v>
      </c>
      <c r="AT338" s="49">
        <f t="shared" si="239"/>
        <v>10.366103620222143</v>
      </c>
      <c r="AU338" s="61">
        <f t="shared" si="240"/>
        <v>147.07905147821725</v>
      </c>
      <c r="AV338" s="58" t="str">
        <f t="shared" si="217"/>
        <v>2.97564707162677-2.23027867888665i</v>
      </c>
      <c r="AW338" s="64">
        <f t="shared" si="241"/>
        <v>11.407787949814756</v>
      </c>
      <c r="AX338" s="61">
        <f t="shared" si="242"/>
        <v>-36.851943244092737</v>
      </c>
    </row>
    <row r="339" spans="14:50" x14ac:dyDescent="0.3">
      <c r="N339" s="10">
        <v>21</v>
      </c>
      <c r="O339" s="50">
        <f t="shared" si="244"/>
        <v>16218.100973589309</v>
      </c>
      <c r="P339" s="48" t="str">
        <f t="shared" ref="P339:P402" si="245">COMPLEX(Adc,0)</f>
        <v>51201.9230769231</v>
      </c>
      <c r="Q339" s="17" t="str">
        <f t="shared" ref="Q339:Q402" si="246">IMSUM(COMPLEX(1,0),IMDIV(COMPLEX(0,2*PI()*O339),COMPLEX(wp_lf,0)))</f>
        <v>1+4761.92771166721i</v>
      </c>
      <c r="R339" s="17">
        <f t="shared" si="218"/>
        <v>4761.9278166667027</v>
      </c>
      <c r="S339" s="17">
        <f t="shared" si="219"/>
        <v>1.5705863278100631</v>
      </c>
      <c r="T339" s="17" t="str">
        <f t="shared" ref="T339:T402" si="247">IMSUM(COMPLEX(1,0),IMDIV(COMPLEX(0,2*PI()*O339),COMPLEX(wz_esr,0)))</f>
        <v>1+3.05704001242833E-07i</v>
      </c>
      <c r="U339" s="17">
        <f t="shared" si="220"/>
        <v>1.0000000000000466</v>
      </c>
      <c r="V339" s="17">
        <f t="shared" si="221"/>
        <v>3.0570400124282349E-7</v>
      </c>
      <c r="W339" s="31" t="str">
        <f t="shared" ref="W339:W402" si="248">IMSUB(COMPLEX(1,0),IMDIV(COMPLEX(0,2*PI()*O339),COMPLEX(wz_rhp,0)))</f>
        <v>1-0.16508016067113i</v>
      </c>
      <c r="X339" s="17">
        <f t="shared" si="222"/>
        <v>1.0135341432074236</v>
      </c>
      <c r="Y339" s="17">
        <f t="shared" si="223"/>
        <v>-0.16360465395334953</v>
      </c>
      <c r="Z339" s="31" t="str">
        <f t="shared" ref="Z339:Z402" si="249">IMSUM(COMPLEX(1,0),IMDIV(COMPLEX(0,2*PI()*O339),COMPLEX(Q*(wsl/2),0)),IMDIV(IMPOWER(COMPLEX(0,2*PI()*O339),2),IMPOWER(COMPLEX(wsl/2,0),2)))</f>
        <v>0.894789280324185+10.0737865834239i</v>
      </c>
      <c r="AA339" s="17">
        <f t="shared" si="224"/>
        <v>10.113447680418108</v>
      </c>
      <c r="AB339" s="17">
        <f t="shared" si="225"/>
        <v>1.4822052922639182</v>
      </c>
      <c r="AC339" s="66" t="str">
        <f t="shared" si="226"/>
        <v>-1.07454949966697+0.080530123546987i</v>
      </c>
      <c r="AD339" s="64">
        <f t="shared" si="227"/>
        <v>0.64885232611999011</v>
      </c>
      <c r="AE339" s="61">
        <f t="shared" si="228"/>
        <v>175.7140857721796</v>
      </c>
      <c r="AF339" s="31" t="str">
        <f t="shared" ref="AF339:AF402" si="250">COMPLEX(Adc_ea_iso,0)</f>
        <v>-0.332666666666667</v>
      </c>
      <c r="AG339" s="31" t="str">
        <f t="shared" si="229"/>
        <v>101901.333747611i</v>
      </c>
      <c r="AH339" s="31">
        <f t="shared" si="230"/>
        <v>101901.333747611</v>
      </c>
      <c r="AI339" s="31">
        <f t="shared" si="231"/>
        <v>1.5707963267948966</v>
      </c>
      <c r="AJ339" s="31" t="str">
        <f t="shared" ref="AJ339:AJ402" si="251">IMSUM(IMPRODUCT(COMPLEX(wpA_ea_iso,0),IMPOWER(COMPLEX(0,2*PI()*O339),2)),COMPLEX(0,wpB_ea_iso*2*PI()*O339),COMPLEX(1,0))</f>
        <v>-553.01207742857+840.325986005663i</v>
      </c>
      <c r="AK339" s="31">
        <f t="shared" si="232"/>
        <v>1005.9672561958727</v>
      </c>
      <c r="AL339" s="31">
        <f t="shared" si="233"/>
        <v>2.1528393297840016</v>
      </c>
      <c r="AM339" s="31" t="str">
        <f t="shared" ref="AM339:AM402" si="252">IMSUM(COMPLEX(1,0),IMDIV(COMPLEX(0,2*PI()*O339),COMPLEX(wz1_ea_iso,0)))</f>
        <v>1+3057370.17274968i</v>
      </c>
      <c r="AN339" s="31">
        <f t="shared" si="234"/>
        <v>3057370.1727498434</v>
      </c>
      <c r="AO339" s="31">
        <f t="shared" si="235"/>
        <v>1.5707959997164129</v>
      </c>
      <c r="AP339" s="31" t="str">
        <f t="shared" ref="AP339:AP402" si="253">IMSUM(COMPLEX(1,0),IMDIV(COMPLEX(0,2*PI()*O339),COMPLEX(wz2_ea_iso,0)))</f>
        <v>1+330.16032134226i</v>
      </c>
      <c r="AQ339" s="31">
        <f t="shared" si="236"/>
        <v>330.161835754565</v>
      </c>
      <c r="AR339" s="31">
        <f t="shared" si="237"/>
        <v>1.5677675045002879</v>
      </c>
      <c r="AS339" s="58" t="str">
        <f t="shared" si="238"/>
        <v>-2.73096295699948+1.80910465608344i</v>
      </c>
      <c r="AT339" s="49">
        <f t="shared" si="239"/>
        <v>10.306409366679897</v>
      </c>
      <c r="AU339" s="61">
        <f t="shared" si="240"/>
        <v>146.47783495901103</v>
      </c>
      <c r="AV339" s="58" t="str">
        <f t="shared" ref="AV339:AV402" si="254">IMPRODUCT(AC339,AS339)</f>
        <v>2.78886745758899-2.16389728736906i</v>
      </c>
      <c r="AW339" s="64">
        <f t="shared" si="241"/>
        <v>10.955261692799885</v>
      </c>
      <c r="AX339" s="61">
        <f t="shared" si="242"/>
        <v>-37.808079268809401</v>
      </c>
    </row>
    <row r="340" spans="14:50" x14ac:dyDescent="0.3">
      <c r="N340" s="10">
        <v>22</v>
      </c>
      <c r="O340" s="50">
        <f t="shared" si="244"/>
        <v>16595.869074375616</v>
      </c>
      <c r="P340" s="48" t="str">
        <f t="shared" si="245"/>
        <v>51201.9230769231</v>
      </c>
      <c r="Q340" s="17" t="str">
        <f t="shared" si="246"/>
        <v>1+4872.8472570966i</v>
      </c>
      <c r="R340" s="17">
        <f t="shared" ref="R340:R403" si="255">IMABS(Q340)</f>
        <v>4872.8473597060129</v>
      </c>
      <c r="S340" s="17">
        <f t="shared" ref="S340:S403" si="256">IMARGUMENT(Q340)</f>
        <v>1.5705911079704187</v>
      </c>
      <c r="T340" s="17" t="str">
        <f t="shared" si="247"/>
        <v>1+3.12824762183979E-07i</v>
      </c>
      <c r="U340" s="17">
        <f t="shared" ref="U340:U403" si="257">IMABS(T340)</f>
        <v>1.0000000000000488</v>
      </c>
      <c r="V340" s="17">
        <f t="shared" ref="V340:V403" si="258">IMARGUMENT(T340)</f>
        <v>3.1282476218396876E-7</v>
      </c>
      <c r="W340" s="31" t="str">
        <f t="shared" si="248"/>
        <v>1-0.168925371579349i</v>
      </c>
      <c r="X340" s="17">
        <f t="shared" ref="X340:X403" si="259">IMABS(W340)</f>
        <v>1.0141675311126961</v>
      </c>
      <c r="Y340" s="17">
        <f t="shared" ref="Y340:Y403" si="260">IMARGUMENT(W340)</f>
        <v>-0.16734552805847042</v>
      </c>
      <c r="Z340" s="31" t="str">
        <f t="shared" si="249"/>
        <v>0.889830851866473+10.3084352165495i</v>
      </c>
      <c r="AA340" s="17">
        <f t="shared" ref="AA340:AA403" si="261">IMABS(Z340)</f>
        <v>10.346769329541049</v>
      </c>
      <c r="AB340" s="17">
        <f t="shared" ref="AB340:AB403" si="262">IMARGUMENT(Z340)</f>
        <v>1.4846891201272641</v>
      </c>
      <c r="AC340" s="66" t="str">
        <f t="shared" ref="AC340:AC403" si="263">(IMDIV(IMPRODUCT(P340,T340,W340),IMPRODUCT(Q340,Z340)))</f>
        <v>-1.02655206446585+0.0833669286422887i</v>
      </c>
      <c r="AD340" s="64">
        <f t="shared" ref="AD340:AD403" si="264">20*LOG(IMABS(AC340))</f>
        <v>0.2561680131241626</v>
      </c>
      <c r="AE340" s="61">
        <f t="shared" ref="AE340:AE403" si="265">(180/PI())*IMARGUMENT(AC340)</f>
        <v>175.35716314563541</v>
      </c>
      <c r="AF340" s="31" t="str">
        <f t="shared" si="250"/>
        <v>-0.332666666666667</v>
      </c>
      <c r="AG340" s="31" t="str">
        <f t="shared" ref="AG340:AG403" si="266">COMPLEX(0,1*2*PI()*O340)</f>
        <v>104274.920727993i</v>
      </c>
      <c r="AH340" s="31">
        <f t="shared" ref="AH340:AH403" si="267">IMABS(AG340)</f>
        <v>104274.920727993</v>
      </c>
      <c r="AI340" s="31">
        <f t="shared" ref="AI340:AI403" si="268">IMARGUMENT(AG340)</f>
        <v>1.5707963267948966</v>
      </c>
      <c r="AJ340" s="31" t="str">
        <f t="shared" si="251"/>
        <v>-579.121862240444+859.89969271101i</v>
      </c>
      <c r="AK340" s="31">
        <f t="shared" ref="AK340:AK403" si="269">IMABS(AJ340)</f>
        <v>1036.7302507640688</v>
      </c>
      <c r="AL340" s="31">
        <f t="shared" ref="AL340:AL403" si="270">IMARGUMENT(AJ340)</f>
        <v>2.1634983259496696</v>
      </c>
      <c r="AM340" s="31" t="str">
        <f t="shared" si="252"/>
        <v>1+3128585.47258295i</v>
      </c>
      <c r="AN340" s="31">
        <f t="shared" ref="AN340:AN403" si="271">IMABS(AM340)</f>
        <v>3128585.4725831095</v>
      </c>
      <c r="AO340" s="31">
        <f t="shared" ref="AO340:AO403" si="272">IMARGUMENT(AM340)</f>
        <v>1.5707960071616283</v>
      </c>
      <c r="AP340" s="31" t="str">
        <f t="shared" si="253"/>
        <v>1+337.850743158697i</v>
      </c>
      <c r="AQ340" s="31">
        <f t="shared" ref="AQ340:AQ403" si="273">IMABS(AP340)</f>
        <v>337.8522230989222</v>
      </c>
      <c r="AR340" s="31">
        <f t="shared" ref="AR340:AR403" si="274">IMARGUMENT(AP340)</f>
        <v>1.5678364485055793</v>
      </c>
      <c r="AS340" s="58" t="str">
        <f t="shared" ref="AS340:AS403" si="275">IMDIV(IMPRODUCT(AF340,AM340,AP340),IMPRODUCT(AG340,AJ340))</f>
        <v>-2.69247628320821+1.82492684687719i</v>
      </c>
      <c r="AT340" s="49">
        <f t="shared" ref="AT340:AT403" si="276">20*LOG(IMABS(AS340))</f>
        <v>10.24476905046061</v>
      </c>
      <c r="AU340" s="61">
        <f t="shared" ref="AU340:AU403" si="277">(180/PI())*IMARGUMENT(AS340)</f>
        <v>145.87107009197743</v>
      </c>
      <c r="AV340" s="58" t="str">
        <f t="shared" si="254"/>
        <v>2.61182854083172-2.09784590033421i</v>
      </c>
      <c r="AW340" s="64">
        <f t="shared" ref="AW340:AW403" si="278">20*LOG(IMABS(AV340))</f>
        <v>10.500937063584779</v>
      </c>
      <c r="AX340" s="61">
        <f t="shared" ref="AX340:AX403" si="279">(180/PI())*IMARGUMENT(AV340)</f>
        <v>-38.771766762387145</v>
      </c>
    </row>
    <row r="341" spans="14:50" x14ac:dyDescent="0.3">
      <c r="N341" s="10">
        <v>23</v>
      </c>
      <c r="O341" s="50">
        <f t="shared" si="244"/>
        <v>16982.436524617482</v>
      </c>
      <c r="P341" s="48" t="str">
        <f t="shared" si="245"/>
        <v>51201.9230769231</v>
      </c>
      <c r="Q341" s="17" t="str">
        <f t="shared" si="246"/>
        <v>1+4986.35045064147i</v>
      </c>
      <c r="R341" s="17">
        <f t="shared" si="255"/>
        <v>4986.3505509152083</v>
      </c>
      <c r="S341" s="17">
        <f t="shared" si="256"/>
        <v>1.5705957793210492</v>
      </c>
      <c r="T341" s="17" t="str">
        <f t="shared" si="247"/>
        <v>1+3.20111386954761E-07i</v>
      </c>
      <c r="U341" s="17">
        <f t="shared" si="257"/>
        <v>1.0000000000000511</v>
      </c>
      <c r="V341" s="17">
        <f t="shared" si="258"/>
        <v>3.2011138695475005E-7</v>
      </c>
      <c r="W341" s="31" t="str">
        <f t="shared" si="248"/>
        <v>1-0.172860148955571i</v>
      </c>
      <c r="X341" s="17">
        <f t="shared" si="259"/>
        <v>1.0148303459677102</v>
      </c>
      <c r="Y341" s="17">
        <f t="shared" si="260"/>
        <v>-0.1711686493451855</v>
      </c>
      <c r="Z341" s="31" t="str">
        <f t="shared" si="249"/>
        <v>0.884638739874934+10.5485495184754i</v>
      </c>
      <c r="AA341" s="17">
        <f t="shared" si="261"/>
        <v>10.585578994264562</v>
      </c>
      <c r="AB341" s="17">
        <f t="shared" si="262"/>
        <v>1.4871285646581538</v>
      </c>
      <c r="AC341" s="66" t="str">
        <f t="shared" si="263"/>
        <v>-0.980675316610003+0.0858311333358383i</v>
      </c>
      <c r="AD341" s="64">
        <f t="shared" si="264"/>
        <v>-0.13635412812407227</v>
      </c>
      <c r="AE341" s="61">
        <f t="shared" si="265"/>
        <v>174.99807732418088</v>
      </c>
      <c r="AF341" s="31" t="str">
        <f t="shared" si="250"/>
        <v>-0.332666666666667</v>
      </c>
      <c r="AG341" s="31" t="str">
        <f t="shared" si="266"/>
        <v>106703.795651587i</v>
      </c>
      <c r="AH341" s="31">
        <f t="shared" si="267"/>
        <v>106703.795651587</v>
      </c>
      <c r="AI341" s="31">
        <f t="shared" si="268"/>
        <v>1.5707963267948966</v>
      </c>
      <c r="AJ341" s="31" t="str">
        <f t="shared" si="251"/>
        <v>-606.462163300426+879.929329615551i</v>
      </c>
      <c r="AK341" s="31">
        <f t="shared" si="269"/>
        <v>1068.67767855079</v>
      </c>
      <c r="AL341" s="31">
        <f t="shared" si="270"/>
        <v>2.1742485900754551</v>
      </c>
      <c r="AM341" s="31" t="str">
        <f t="shared" si="252"/>
        <v>1+3201459.58984553i</v>
      </c>
      <c r="AN341" s="31">
        <f t="shared" si="271"/>
        <v>3201459.5898456867</v>
      </c>
      <c r="AO341" s="31">
        <f t="shared" si="272"/>
        <v>1.5707960144373696</v>
      </c>
      <c r="AP341" s="31" t="str">
        <f t="shared" si="253"/>
        <v>1+345.720297911142i</v>
      </c>
      <c r="AQ341" s="31">
        <f t="shared" si="273"/>
        <v>345.72174416395728</v>
      </c>
      <c r="AR341" s="31">
        <f t="shared" si="274"/>
        <v>1.5679038231809017</v>
      </c>
      <c r="AS341" s="58" t="str">
        <f t="shared" si="275"/>
        <v>-2.65332154992255+1.8400583186437i</v>
      </c>
      <c r="AT341" s="49">
        <f t="shared" si="276"/>
        <v>10.181147990403423</v>
      </c>
      <c r="AU341" s="61">
        <f t="shared" si="277"/>
        <v>145.25898603033036</v>
      </c>
      <c r="AV341" s="58" t="str">
        <f t="shared" si="254"/>
        <v>2.44411266014521-2.03223736995104i</v>
      </c>
      <c r="AW341" s="64">
        <f t="shared" si="278"/>
        <v>10.044793862279349</v>
      </c>
      <c r="AX341" s="61">
        <f t="shared" si="279"/>
        <v>-39.74293664548884</v>
      </c>
    </row>
    <row r="342" spans="14:50" x14ac:dyDescent="0.3">
      <c r="N342" s="10">
        <v>24</v>
      </c>
      <c r="O342" s="50">
        <f t="shared" si="244"/>
        <v>17378.008287493791</v>
      </c>
      <c r="P342" s="48" t="str">
        <f t="shared" si="245"/>
        <v>51201.9230769231</v>
      </c>
      <c r="Q342" s="17" t="str">
        <f t="shared" si="246"/>
        <v>1+5102.49747319737i</v>
      </c>
      <c r="R342" s="17">
        <f t="shared" si="255"/>
        <v>5102.4975711885982</v>
      </c>
      <c r="S342" s="17">
        <f t="shared" si="256"/>
        <v>1.5706003443387662</v>
      </c>
      <c r="T342" s="17" t="str">
        <f t="shared" si="247"/>
        <v>1+3.27567739020078E-07i</v>
      </c>
      <c r="U342" s="17">
        <f t="shared" si="257"/>
        <v>1.0000000000000537</v>
      </c>
      <c r="V342" s="17">
        <f t="shared" si="258"/>
        <v>3.2756773902006628E-7</v>
      </c>
      <c r="W342" s="31" t="str">
        <f t="shared" si="248"/>
        <v>1-0.176886579070842i</v>
      </c>
      <c r="X342" s="17">
        <f t="shared" si="259"/>
        <v>1.0155239346541198</v>
      </c>
      <c r="Y342" s="17">
        <f t="shared" si="260"/>
        <v>-0.17507559762111111</v>
      </c>
      <c r="Z342" s="31" t="str">
        <f t="shared" si="249"/>
        <v>0.879201931183919+10.7942568009823i</v>
      </c>
      <c r="AA342" s="17">
        <f t="shared" si="261"/>
        <v>10.830003505140255</v>
      </c>
      <c r="AB342" s="17">
        <f t="shared" si="262"/>
        <v>1.4895248350527779</v>
      </c>
      <c r="AC342" s="66" t="str">
        <f t="shared" si="263"/>
        <v>-0.936827244243055+0.0879513725595769i</v>
      </c>
      <c r="AD342" s="64">
        <f t="shared" si="264"/>
        <v>-0.5286993477046843</v>
      </c>
      <c r="AE342" s="61">
        <f t="shared" si="265"/>
        <v>174.63666836797927</v>
      </c>
      <c r="AF342" s="31" t="str">
        <f t="shared" si="250"/>
        <v>-0.332666666666667</v>
      </c>
      <c r="AG342" s="31" t="str">
        <f t="shared" si="266"/>
        <v>109189.246340026i</v>
      </c>
      <c r="AH342" s="31">
        <f t="shared" si="267"/>
        <v>109189.246340026</v>
      </c>
      <c r="AI342" s="31">
        <f t="shared" si="268"/>
        <v>1.5707963267948966</v>
      </c>
      <c r="AJ342" s="31" t="str">
        <f t="shared" si="251"/>
        <v>-635.09097305263+900.425516697896i</v>
      </c>
      <c r="AK342" s="31">
        <f t="shared" si="269"/>
        <v>1101.8650802950467</v>
      </c>
      <c r="AL342" s="31">
        <f t="shared" si="270"/>
        <v>2.1850859562911773</v>
      </c>
      <c r="AM342" s="31" t="str">
        <f t="shared" si="252"/>
        <v>1+3276031.16335893i</v>
      </c>
      <c r="AN342" s="31">
        <f t="shared" si="271"/>
        <v>3276031.1633590828</v>
      </c>
      <c r="AO342" s="31">
        <f t="shared" si="272"/>
        <v>1.570796021547495</v>
      </c>
      <c r="AP342" s="31" t="str">
        <f t="shared" si="253"/>
        <v>1+353.773158141684i</v>
      </c>
      <c r="AQ342" s="31">
        <f t="shared" si="273"/>
        <v>353.77457147389907</v>
      </c>
      <c r="AR342" s="31">
        <f t="shared" si="274"/>
        <v>1.5679696642467513</v>
      </c>
      <c r="AS342" s="58" t="str">
        <f t="shared" si="275"/>
        <v>-2.61352378587305+1.85446490462636i</v>
      </c>
      <c r="AT342" s="49">
        <f t="shared" si="276"/>
        <v>10.115512725536879</v>
      </c>
      <c r="AU342" s="61">
        <f t="shared" si="277"/>
        <v>144.64182350770389</v>
      </c>
      <c r="AV342" s="58" t="str">
        <f t="shared" si="254"/>
        <v>2.28531755235767-1.96717625033121i</v>
      </c>
      <c r="AW342" s="64">
        <f t="shared" si="278"/>
        <v>9.586813377832188</v>
      </c>
      <c r="AX342" s="61">
        <f t="shared" si="279"/>
        <v>-40.721508124316863</v>
      </c>
    </row>
    <row r="343" spans="14:50" x14ac:dyDescent="0.3">
      <c r="N343" s="10">
        <v>25</v>
      </c>
      <c r="O343" s="50">
        <f t="shared" si="244"/>
        <v>17782.794100389234</v>
      </c>
      <c r="P343" s="48" t="str">
        <f t="shared" si="245"/>
        <v>51201.9230769231</v>
      </c>
      <c r="Q343" s="17" t="str">
        <f t="shared" si="246"/>
        <v>1+5221.3499074531i</v>
      </c>
      <c r="R343" s="17">
        <f t="shared" si="255"/>
        <v>5221.3500032137763</v>
      </c>
      <c r="S343" s="17">
        <f t="shared" si="256"/>
        <v>1.5706048054440012</v>
      </c>
      <c r="T343" s="17" t="str">
        <f t="shared" si="247"/>
        <v>1+3.35197771836495E-07i</v>
      </c>
      <c r="U343" s="17">
        <f t="shared" si="257"/>
        <v>1.0000000000000562</v>
      </c>
      <c r="V343" s="17">
        <f t="shared" si="258"/>
        <v>3.3519777183648246E-7</v>
      </c>
      <c r="W343" s="31" t="str">
        <f t="shared" si="248"/>
        <v>1-0.181006796791707i</v>
      </c>
      <c r="X343" s="17">
        <f t="shared" si="259"/>
        <v>1.0162497038055138</v>
      </c>
      <c r="Y343" s="17">
        <f t="shared" si="260"/>
        <v>-0.17906796707137182</v>
      </c>
      <c r="Z343" s="31" t="str">
        <f t="shared" si="249"/>
        <v>0.873508893593265+11.045687341324i</v>
      </c>
      <c r="AA343" s="17">
        <f t="shared" si="261"/>
        <v>11.080172680489767</v>
      </c>
      <c r="AB343" s="17">
        <f t="shared" si="262"/>
        <v>1.4918791231237245</v>
      </c>
      <c r="AC343" s="66" t="str">
        <f t="shared" si="263"/>
        <v>-0.894919680320366+0.0897543275372915i</v>
      </c>
      <c r="AD343" s="64">
        <f t="shared" si="264"/>
        <v>-0.92085260438188965</v>
      </c>
      <c r="AE343" s="61">
        <f t="shared" si="265"/>
        <v>174.27277651266587</v>
      </c>
      <c r="AF343" s="31" t="str">
        <f t="shared" si="250"/>
        <v>-0.332666666666667</v>
      </c>
      <c r="AG343" s="31" t="str">
        <f t="shared" si="266"/>
        <v>111732.590612165i</v>
      </c>
      <c r="AH343" s="31">
        <f t="shared" si="267"/>
        <v>111732.590612165</v>
      </c>
      <c r="AI343" s="31">
        <f t="shared" si="268"/>
        <v>1.5707963267948966</v>
      </c>
      <c r="AJ343" s="31" t="str">
        <f t="shared" si="251"/>
        <v>-665.069017040878+921.399121307732i</v>
      </c>
      <c r="AK343" s="31">
        <f t="shared" si="269"/>
        <v>1136.3507989060333</v>
      </c>
      <c r="AL343" s="31">
        <f t="shared" si="270"/>
        <v>2.1960060609551788</v>
      </c>
      <c r="AM343" s="31" t="str">
        <f t="shared" si="252"/>
        <v>1+3352339.73195854i</v>
      </c>
      <c r="AN343" s="31">
        <f t="shared" si="271"/>
        <v>3352339.7319586892</v>
      </c>
      <c r="AO343" s="31">
        <f t="shared" si="272"/>
        <v>1.5707960284957743</v>
      </c>
      <c r="AP343" s="31" t="str">
        <f t="shared" si="253"/>
        <v>1+362.013593583415i</v>
      </c>
      <c r="AQ343" s="31">
        <f t="shared" si="273"/>
        <v>362.01497474438537</v>
      </c>
      <c r="AR343" s="31">
        <f t="shared" si="274"/>
        <v>1.5680340066106482</v>
      </c>
      <c r="AS343" s="58" t="str">
        <f t="shared" si="275"/>
        <v>-2.57311023342062+1.86811340444507i</v>
      </c>
      <c r="AT343" s="49">
        <f t="shared" si="276"/>
        <v>10.047831128703514</v>
      </c>
      <c r="AU343" s="61">
        <f t="shared" si="277"/>
        <v>144.01983454261756</v>
      </c>
      <c r="AV343" s="58" t="str">
        <f t="shared" si="254"/>
        <v>2.13505572514248-1.90275922938816i</v>
      </c>
      <c r="AW343" s="64">
        <f t="shared" si="278"/>
        <v>9.1269785243216273</v>
      </c>
      <c r="AX343" s="61">
        <f t="shared" si="279"/>
        <v>-41.707388944716463</v>
      </c>
    </row>
    <row r="344" spans="14:50" x14ac:dyDescent="0.3">
      <c r="N344" s="10">
        <v>26</v>
      </c>
      <c r="O344" s="50">
        <f t="shared" si="244"/>
        <v>18197.008586099837</v>
      </c>
      <c r="P344" s="48" t="str">
        <f t="shared" si="245"/>
        <v>51201.9230769231</v>
      </c>
      <c r="Q344" s="17" t="str">
        <f t="shared" si="246"/>
        <v>1+5342.97077054253i</v>
      </c>
      <c r="R344" s="17">
        <f t="shared" si="255"/>
        <v>5342.9708641234265</v>
      </c>
      <c r="S344" s="17">
        <f t="shared" si="256"/>
        <v>1.5706091650020908</v>
      </c>
      <c r="T344" s="17" t="str">
        <f t="shared" si="247"/>
        <v>1+3.43005530948409E-07i</v>
      </c>
      <c r="U344" s="17">
        <f t="shared" si="257"/>
        <v>1.0000000000000588</v>
      </c>
      <c r="V344" s="17">
        <f t="shared" si="258"/>
        <v>3.4300553094839556E-7</v>
      </c>
      <c r="W344" s="31" t="str">
        <f t="shared" si="248"/>
        <v>1-0.185222986712141i</v>
      </c>
      <c r="X344" s="17">
        <f t="shared" si="259"/>
        <v>1.0170091222828661</v>
      </c>
      <c r="Y344" s="17">
        <f t="shared" si="260"/>
        <v>-0.18314736517578251</v>
      </c>
      <c r="Z344" s="31" t="str">
        <f t="shared" si="249"/>
        <v>0.867547551406964+11.3029744513011i</v>
      </c>
      <c r="AA344" s="17">
        <f t="shared" si="261"/>
        <v>11.336219396285415</v>
      </c>
      <c r="AB344" s="17">
        <f t="shared" si="262"/>
        <v>1.4941926035734372</v>
      </c>
      <c r="AC344" s="66" t="str">
        <f t="shared" si="263"/>
        <v>-0.854868154905263+0.0912648525333274i</v>
      </c>
      <c r="AD344" s="64">
        <f t="shared" si="264"/>
        <v>-1.312798542921811</v>
      </c>
      <c r="AE344" s="61">
        <f t="shared" si="265"/>
        <v>173.90624221564747</v>
      </c>
      <c r="AF344" s="31" t="str">
        <f t="shared" si="250"/>
        <v>-0.332666666666667</v>
      </c>
      <c r="AG344" s="31" t="str">
        <f t="shared" si="266"/>
        <v>114335.176982803i</v>
      </c>
      <c r="AH344" s="31">
        <f t="shared" si="267"/>
        <v>114335.17698280299</v>
      </c>
      <c r="AI344" s="31">
        <f t="shared" si="268"/>
        <v>1.5707963267948966</v>
      </c>
      <c r="AJ344" s="31" t="str">
        <f t="shared" si="251"/>
        <v>-696.459882715706+942.861263927847i</v>
      </c>
      <c r="AK344" s="31">
        <f t="shared" si="269"/>
        <v>1172.1961146702338</v>
      </c>
      <c r="AL344" s="31">
        <f t="shared" si="270"/>
        <v>2.2070043488239994</v>
      </c>
      <c r="AM344" s="31" t="str">
        <f t="shared" si="252"/>
        <v>1+3430425.75545752i</v>
      </c>
      <c r="AN344" s="31">
        <f t="shared" si="271"/>
        <v>3430425.7554576662</v>
      </c>
      <c r="AO344" s="31">
        <f t="shared" si="272"/>
        <v>1.5707960352858912</v>
      </c>
      <c r="AP344" s="31" t="str">
        <f t="shared" si="253"/>
        <v>1+370.445973424282i</v>
      </c>
      <c r="AQ344" s="31">
        <f t="shared" si="273"/>
        <v>370.44732314630625</v>
      </c>
      <c r="AR344" s="31">
        <f t="shared" si="274"/>
        <v>1.5680968843856331</v>
      </c>
      <c r="AS344" s="58" t="str">
        <f t="shared" si="275"/>
        <v>-2.53211030932365+1.88097175330611i</v>
      </c>
      <c r="AT344" s="49">
        <f t="shared" si="276"/>
        <v>9.9780725185585766</v>
      </c>
      <c r="AU344" s="61">
        <f t="shared" si="277"/>
        <v>143.39328208604121</v>
      </c>
      <c r="AV344" s="58" t="str">
        <f t="shared" si="254"/>
        <v>1.99295385846327-1.83907552615625i</v>
      </c>
      <c r="AW344" s="64">
        <f t="shared" si="278"/>
        <v>8.6652739756367687</v>
      </c>
      <c r="AX344" s="61">
        <f t="shared" si="279"/>
        <v>-42.700475698311237</v>
      </c>
    </row>
    <row r="345" spans="14:50" x14ac:dyDescent="0.3">
      <c r="N345" s="10">
        <v>27</v>
      </c>
      <c r="O345" s="50">
        <f t="shared" si="244"/>
        <v>18620.871366628675</v>
      </c>
      <c r="P345" s="48" t="str">
        <f t="shared" si="245"/>
        <v>51201.9230769231</v>
      </c>
      <c r="Q345" s="17" t="str">
        <f t="shared" si="246"/>
        <v>1+5467.42454745707i</v>
      </c>
      <c r="R345" s="17">
        <f t="shared" si="255"/>
        <v>5467.4246389078053</v>
      </c>
      <c r="S345" s="17">
        <f t="shared" si="256"/>
        <v>1.5706134253245299</v>
      </c>
      <c r="T345" s="17" t="str">
        <f t="shared" si="247"/>
        <v>1+3.50995156133046E-07i</v>
      </c>
      <c r="U345" s="17">
        <f t="shared" si="257"/>
        <v>1.0000000000000617</v>
      </c>
      <c r="V345" s="17">
        <f t="shared" si="258"/>
        <v>3.5099515613303162E-7</v>
      </c>
      <c r="W345" s="31" t="str">
        <f t="shared" si="248"/>
        <v>1-0.189537384311845i</v>
      </c>
      <c r="X345" s="17">
        <f t="shared" si="259"/>
        <v>1.0178037237364461</v>
      </c>
      <c r="Y345" s="17">
        <f t="shared" si="260"/>
        <v>-0.18731541152036382</v>
      </c>
      <c r="Z345" s="31" t="str">
        <f t="shared" si="249"/>
        <v>0.861305259818988+11.5662545479448i</v>
      </c>
      <c r="AA345" s="17">
        <f t="shared" si="261"/>
        <v>11.598279657709828</v>
      </c>
      <c r="AB345" s="17">
        <f t="shared" si="262"/>
        <v>1.4964664342813381</v>
      </c>
      <c r="AC345" s="66" t="str">
        <f t="shared" si="263"/>
        <v>-0.816591751976783+0.0925060937132678i</v>
      </c>
      <c r="AD345" s="64">
        <f t="shared" si="264"/>
        <v>-1.7045214714120471</v>
      </c>
      <c r="AE345" s="61">
        <f t="shared" si="265"/>
        <v>173.53690620767475</v>
      </c>
      <c r="AF345" s="31" t="str">
        <f t="shared" si="250"/>
        <v>-0.332666666666667</v>
      </c>
      <c r="AG345" s="31" t="str">
        <f t="shared" si="266"/>
        <v>116998.385377682i</v>
      </c>
      <c r="AH345" s="31">
        <f t="shared" si="267"/>
        <v>116998.385377682</v>
      </c>
      <c r="AI345" s="31">
        <f t="shared" si="268"/>
        <v>1.5707963267948966</v>
      </c>
      <c r="AJ345" s="31" t="str">
        <f t="shared" si="251"/>
        <v>-729.330154311846+964.82332407034i</v>
      </c>
      <c r="AK345" s="31">
        <f t="shared" si="269"/>
        <v>1209.4653863003609</v>
      </c>
      <c r="AL345" s="31">
        <f t="shared" si="270"/>
        <v>2.2180760802146073</v>
      </c>
      <c r="AM345" s="31" t="str">
        <f t="shared" si="252"/>
        <v>1+3510330.63609909i</v>
      </c>
      <c r="AN345" s="31">
        <f t="shared" si="271"/>
        <v>3510330.6360992319</v>
      </c>
      <c r="AO345" s="31">
        <f t="shared" si="272"/>
        <v>1.5707960419214464</v>
      </c>
      <c r="AP345" s="31" t="str">
        <f t="shared" si="253"/>
        <v>1+379.07476862369i</v>
      </c>
      <c r="AQ345" s="31">
        <f t="shared" si="273"/>
        <v>379.07608762239812</v>
      </c>
      <c r="AR345" s="31">
        <f t="shared" si="274"/>
        <v>1.5681583309083449</v>
      </c>
      <c r="AS345" s="58" t="str">
        <f t="shared" si="275"/>
        <v>-2.49055555046877+1.89300919044993i</v>
      </c>
      <c r="AT345" s="49">
        <f t="shared" si="276"/>
        <v>9.9062077691862367</v>
      </c>
      <c r="AU345" s="61">
        <f t="shared" si="277"/>
        <v>142.76243961206336</v>
      </c>
      <c r="AV345" s="58" t="str">
        <f t="shared" si="254"/>
        <v>1.85865223478096-1.77620725648742i</v>
      </c>
      <c r="AW345" s="64">
        <f t="shared" si="278"/>
        <v>8.2016862977741916</v>
      </c>
      <c r="AX345" s="61">
        <f t="shared" si="279"/>
        <v>-43.700654180261751</v>
      </c>
    </row>
    <row r="346" spans="14:50" x14ac:dyDescent="0.3">
      <c r="N346" s="10">
        <v>28</v>
      </c>
      <c r="O346" s="50">
        <f t="shared" si="244"/>
        <v>19054.607179632505</v>
      </c>
      <c r="P346" s="48" t="str">
        <f t="shared" si="245"/>
        <v>51201.9230769231</v>
      </c>
      <c r="Q346" s="17" t="str">
        <f t="shared" si="246"/>
        <v>1+5594.77722523663i</v>
      </c>
      <c r="R346" s="17">
        <f t="shared" si="255"/>
        <v>5594.7773146056934</v>
      </c>
      <c r="S346" s="17">
        <f t="shared" si="256"/>
        <v>1.570617588670197</v>
      </c>
      <c r="T346" s="17" t="str">
        <f t="shared" si="247"/>
        <v>1+3.59170883595438E-07i</v>
      </c>
      <c r="U346" s="17">
        <f t="shared" si="257"/>
        <v>1.0000000000000644</v>
      </c>
      <c r="V346" s="17">
        <f t="shared" si="258"/>
        <v>3.5917088359542253E-7</v>
      </c>
      <c r="W346" s="31" t="str">
        <f t="shared" si="248"/>
        <v>1-0.193952277141536i</v>
      </c>
      <c r="X346" s="17">
        <f t="shared" si="259"/>
        <v>1.0186351092557075</v>
      </c>
      <c r="Y346" s="17">
        <f t="shared" si="260"/>
        <v>-0.19157373649726356</v>
      </c>
      <c r="Z346" s="31" t="str">
        <f t="shared" si="249"/>
        <v>0.854768778091957+11.8356672258474i</v>
      </c>
      <c r="AA346" s="17">
        <f t="shared" si="261"/>
        <v>11.86649267243692</v>
      </c>
      <c r="AB346" s="17">
        <f t="shared" si="262"/>
        <v>1.4987017566033545</v>
      </c>
      <c r="AC346" s="66" t="str">
        <f t="shared" si="263"/>
        <v>-0.78001297072212+0.0934996005788696i</v>
      </c>
      <c r="AD346" s="64">
        <f t="shared" si="264"/>
        <v>-2.0960053386005981</v>
      </c>
      <c r="AE346" s="61">
        <f t="shared" si="265"/>
        <v>173.16460955009961</v>
      </c>
      <c r="AF346" s="31" t="str">
        <f t="shared" si="250"/>
        <v>-0.332666666666667</v>
      </c>
      <c r="AG346" s="31" t="str">
        <f t="shared" si="266"/>
        <v>119723.627865146i</v>
      </c>
      <c r="AH346" s="31">
        <f t="shared" si="267"/>
        <v>119723.627865146</v>
      </c>
      <c r="AI346" s="31">
        <f t="shared" si="268"/>
        <v>1.5707963267948966</v>
      </c>
      <c r="AJ346" s="31" t="str">
        <f t="shared" si="251"/>
        <v>-763.749554082366+987.296946310204i</v>
      </c>
      <c r="AK346" s="31">
        <f t="shared" si="269"/>
        <v>1248.2261980724757</v>
      </c>
      <c r="AL346" s="31">
        <f t="shared" si="270"/>
        <v>2.2292163391503155</v>
      </c>
      <c r="AM346" s="31" t="str">
        <f t="shared" si="252"/>
        <v>1+3592096.74050867i</v>
      </c>
      <c r="AN346" s="31">
        <f t="shared" si="271"/>
        <v>3592096.7405088088</v>
      </c>
      <c r="AO346" s="31">
        <f t="shared" si="272"/>
        <v>1.5707960484059578</v>
      </c>
      <c r="AP346" s="31" t="str">
        <f t="shared" si="253"/>
        <v>1+387.904554283073i</v>
      </c>
      <c r="AQ346" s="31">
        <f t="shared" si="273"/>
        <v>387.905843257806</v>
      </c>
      <c r="AR346" s="31">
        <f t="shared" si="274"/>
        <v>1.5682183787566861</v>
      </c>
      <c r="AS346" s="58" t="str">
        <f t="shared" si="275"/>
        <v>-2.4484795443982+1.90419642532068i</v>
      </c>
      <c r="AT346" s="49">
        <f t="shared" si="276"/>
        <v>9.8322094165584648</v>
      </c>
      <c r="AU346" s="61">
        <f t="shared" si="277"/>
        <v>142.1275906521783</v>
      </c>
      <c r="AV346" s="58" t="str">
        <f t="shared" si="254"/>
        <v>1.73180419798719-1.71422976997959i</v>
      </c>
      <c r="AW346" s="64">
        <f t="shared" si="278"/>
        <v>7.7362040779578738</v>
      </c>
      <c r="AX346" s="61">
        <f t="shared" si="279"/>
        <v>-44.707799797722039</v>
      </c>
    </row>
    <row r="347" spans="14:50" x14ac:dyDescent="0.3">
      <c r="N347" s="10">
        <v>29</v>
      </c>
      <c r="O347" s="50">
        <f t="shared" si="244"/>
        <v>19498.445997580486</v>
      </c>
      <c r="P347" s="48" t="str">
        <f t="shared" si="245"/>
        <v>51201.9230769231</v>
      </c>
      <c r="Q347" s="17" t="str">
        <f t="shared" si="246"/>
        <v>1+5725.09632795657i</v>
      </c>
      <c r="R347" s="17">
        <f t="shared" si="255"/>
        <v>5725.0964152913448</v>
      </c>
      <c r="S347" s="17">
        <f t="shared" si="256"/>
        <v>1.5706216572465526</v>
      </c>
      <c r="T347" s="17" t="str">
        <f t="shared" si="247"/>
        <v>1+3.67537048214496E-07i</v>
      </c>
      <c r="U347" s="17">
        <f t="shared" si="257"/>
        <v>1.0000000000000675</v>
      </c>
      <c r="V347" s="17">
        <f t="shared" si="258"/>
        <v>3.6753704821447944E-7</v>
      </c>
      <c r="W347" s="31" t="str">
        <f t="shared" si="248"/>
        <v>1-0.198470006035828i</v>
      </c>
      <c r="X347" s="17">
        <f t="shared" si="259"/>
        <v>1.019504950108562</v>
      </c>
      <c r="Y347" s="17">
        <f t="shared" si="260"/>
        <v>-0.1959239798869585</v>
      </c>
      <c r="Z347" s="31" t="str">
        <f t="shared" si="249"/>
        <v>0.847924241471776+12.1113553311766i</v>
      </c>
      <c r="AA347" s="17">
        <f t="shared" si="261"/>
        <v>12.141000925677231</v>
      </c>
      <c r="AB347" s="17">
        <f t="shared" si="262"/>
        <v>1.5008996956826715</v>
      </c>
      <c r="AC347" s="66" t="str">
        <f t="shared" si="263"/>
        <v>-0.74505759127431+0.0942654304154138i</v>
      </c>
      <c r="AD347" s="64">
        <f t="shared" si="264"/>
        <v>-2.4872337112734746</v>
      </c>
      <c r="AE347" s="61">
        <f t="shared" si="265"/>
        <v>172.78919369823575</v>
      </c>
      <c r="AF347" s="31" t="str">
        <f t="shared" si="250"/>
        <v>-0.332666666666667</v>
      </c>
      <c r="AG347" s="31" t="str">
        <f t="shared" si="266"/>
        <v>122512.349404832i</v>
      </c>
      <c r="AH347" s="31">
        <f t="shared" si="267"/>
        <v>122512.349404832</v>
      </c>
      <c r="AI347" s="31">
        <f t="shared" si="268"/>
        <v>1.5707963267948966</v>
      </c>
      <c r="AJ347" s="31" t="str">
        <f t="shared" si="251"/>
        <v>-799.791090188828+1010.29404645942i</v>
      </c>
      <c r="AK347" s="31">
        <f t="shared" si="269"/>
        <v>1288.5495133120742</v>
      </c>
      <c r="AL347" s="31">
        <f t="shared" si="270"/>
        <v>2.2404200424723091</v>
      </c>
      <c r="AM347" s="31" t="str">
        <f t="shared" si="252"/>
        <v>1+3675767.42215704i</v>
      </c>
      <c r="AN347" s="31">
        <f t="shared" si="271"/>
        <v>3675767.4221571754</v>
      </c>
      <c r="AO347" s="31">
        <f t="shared" si="272"/>
        <v>1.5707960547428637</v>
      </c>
      <c r="AP347" s="31" t="str">
        <f t="shared" si="253"/>
        <v>1+396.940012071656i</v>
      </c>
      <c r="AQ347" s="31">
        <f t="shared" si="273"/>
        <v>396.94127170583607</v>
      </c>
      <c r="AR347" s="31">
        <f t="shared" si="274"/>
        <v>1.5682770597670874</v>
      </c>
      <c r="AS347" s="58" t="str">
        <f t="shared" si="275"/>
        <v>-2.40591784463911+1.91450579989769i</v>
      </c>
      <c r="AT347" s="49">
        <f t="shared" si="276"/>
        <v>9.7560517610623503</v>
      </c>
      <c r="AU347" s="61">
        <f t="shared" si="277"/>
        <v>141.48902827422285</v>
      </c>
      <c r="AV347" s="58" t="str">
        <f t="shared" si="254"/>
        <v>1.61207564087053-1.6532119609215i</v>
      </c>
      <c r="AW347" s="64">
        <f t="shared" si="278"/>
        <v>7.2688180497888677</v>
      </c>
      <c r="AX347" s="61">
        <f t="shared" si="279"/>
        <v>-45.721778027541447</v>
      </c>
    </row>
    <row r="348" spans="14:50" x14ac:dyDescent="0.3">
      <c r="N348" s="10">
        <v>30</v>
      </c>
      <c r="O348" s="50">
        <f t="shared" si="244"/>
        <v>19952.623149688792</v>
      </c>
      <c r="P348" s="48" t="str">
        <f t="shared" si="245"/>
        <v>51201.9230769231</v>
      </c>
      <c r="Q348" s="17" t="str">
        <f t="shared" si="246"/>
        <v>1+5858.45095253025i</v>
      </c>
      <c r="R348" s="17">
        <f t="shared" si="255"/>
        <v>5858.4510378770428</v>
      </c>
      <c r="S348" s="17">
        <f t="shared" si="256"/>
        <v>1.5706256332108093</v>
      </c>
      <c r="T348" s="17" t="str">
        <f t="shared" si="247"/>
        <v>1+3.76098085841448E-07i</v>
      </c>
      <c r="U348" s="17">
        <f t="shared" si="257"/>
        <v>1.0000000000000706</v>
      </c>
      <c r="V348" s="17">
        <f t="shared" si="258"/>
        <v>3.7609808584143028E-7</v>
      </c>
      <c r="W348" s="31" t="str">
        <f t="shared" si="248"/>
        <v>1-0.203092966354382i</v>
      </c>
      <c r="X348" s="17">
        <f t="shared" si="259"/>
        <v>1.020414990571298</v>
      </c>
      <c r="Y348" s="17">
        <f t="shared" si="260"/>
        <v>-0.20036778931653609</v>
      </c>
      <c r="Z348" s="31" t="str">
        <f t="shared" si="249"/>
        <v>0.840757131778601+12.3934650374152i</v>
      </c>
      <c r="AA348" s="17">
        <f t="shared" si="261"/>
        <v>12.421950257035711</v>
      </c>
      <c r="AB348" s="17">
        <f t="shared" si="262"/>
        <v>1.503061360770652</v>
      </c>
      <c r="AC348" s="66" t="str">
        <f t="shared" si="263"/>
        <v>-0.711654544843852+0.0948222461664587i</v>
      </c>
      <c r="AD348" s="64">
        <f t="shared" si="264"/>
        <v>-2.8781897517013948</v>
      </c>
      <c r="AE348" s="61">
        <f t="shared" si="265"/>
        <v>172.41050057123846</v>
      </c>
      <c r="AF348" s="31" t="str">
        <f t="shared" si="250"/>
        <v>-0.332666666666667</v>
      </c>
      <c r="AG348" s="31" t="str">
        <f t="shared" si="266"/>
        <v>125366.028613816i</v>
      </c>
      <c r="AH348" s="31">
        <f t="shared" si="267"/>
        <v>125366.028613816</v>
      </c>
      <c r="AI348" s="31">
        <f t="shared" si="268"/>
        <v>1.5707963267948966</v>
      </c>
      <c r="AJ348" s="31" t="str">
        <f t="shared" si="251"/>
        <v>-837.531211561527+1033.82681788489i</v>
      </c>
      <c r="AK348" s="31">
        <f t="shared" si="269"/>
        <v>1330.5098345062004</v>
      </c>
      <c r="AL348" s="31">
        <f t="shared" si="270"/>
        <v>2.2516819498898171</v>
      </c>
      <c r="AM348" s="31" t="str">
        <f t="shared" si="252"/>
        <v>1+3761387.04434719i</v>
      </c>
      <c r="AN348" s="31">
        <f t="shared" si="271"/>
        <v>3761387.0443473225</v>
      </c>
      <c r="AO348" s="31">
        <f t="shared" si="272"/>
        <v>1.570796060935524</v>
      </c>
      <c r="AP348" s="31" t="str">
        <f t="shared" si="253"/>
        <v>1+406.185932708764i</v>
      </c>
      <c r="AQ348" s="31">
        <f t="shared" si="273"/>
        <v>406.18716367025758</v>
      </c>
      <c r="AR348" s="31">
        <f t="shared" si="274"/>
        <v>1.5683344050513799</v>
      </c>
      <c r="AS348" s="58" t="str">
        <f t="shared" si="275"/>
        <v>-2.36290787101883+1.92391144560552i</v>
      </c>
      <c r="AT348" s="49">
        <f t="shared" si="276"/>
        <v>9.6777109653229001</v>
      </c>
      <c r="AU348" s="61">
        <f t="shared" si="277"/>
        <v>140.84705450751071</v>
      </c>
      <c r="AV348" s="58" t="str">
        <f t="shared" si="254"/>
        <v>1.49914452076019-1.59321655595668i</v>
      </c>
      <c r="AW348" s="64">
        <f t="shared" si="278"/>
        <v>6.7995212136215022</v>
      </c>
      <c r="AX348" s="61">
        <f t="shared" si="279"/>
        <v>-46.742444921250701</v>
      </c>
    </row>
    <row r="349" spans="14:50" x14ac:dyDescent="0.3">
      <c r="N349" s="10">
        <v>31</v>
      </c>
      <c r="O349" s="50">
        <f t="shared" si="244"/>
        <v>20417.379446695286</v>
      </c>
      <c r="P349" s="48" t="str">
        <f t="shared" si="245"/>
        <v>51201.9230769231</v>
      </c>
      <c r="Q349" s="17" t="str">
        <f t="shared" si="246"/>
        <v>1+5994.91180534469i</v>
      </c>
      <c r="R349" s="17">
        <f t="shared" si="255"/>
        <v>5994.911888748753</v>
      </c>
      <c r="S349" s="17">
        <f t="shared" si="256"/>
        <v>1.570629518671075</v>
      </c>
      <c r="T349" s="17" t="str">
        <f t="shared" si="247"/>
        <v>1+3.84858535651758E-07i</v>
      </c>
      <c r="U349" s="17">
        <f t="shared" si="257"/>
        <v>1.0000000000000742</v>
      </c>
      <c r="V349" s="17">
        <f t="shared" si="258"/>
        <v>3.8485853565173902E-7</v>
      </c>
      <c r="W349" s="31" t="str">
        <f t="shared" si="248"/>
        <v>1-0.207823609251949i</v>
      </c>
      <c r="X349" s="17">
        <f t="shared" si="259"/>
        <v>1.021367050850235</v>
      </c>
      <c r="Y349" s="17">
        <f t="shared" si="260"/>
        <v>-0.20490681858766996</v>
      </c>
      <c r="Z349" s="31" t="str">
        <f t="shared" si="249"/>
        <v>0.833252246611867+12.6821459228634i</v>
      </c>
      <c r="AA349" s="17">
        <f t="shared" si="261"/>
        <v>12.709489939225904</v>
      </c>
      <c r="AB349" s="17">
        <f t="shared" si="262"/>
        <v>1.5051878455568888</v>
      </c>
      <c r="AC349" s="66" t="str">
        <f t="shared" si="263"/>
        <v>-0.679735788184166+0.0951874081287309i</v>
      </c>
      <c r="AD349" s="64">
        <f t="shared" si="264"/>
        <v>-3.26885619518078</v>
      </c>
      <c r="AE349" s="61">
        <f t="shared" si="265"/>
        <v>172.02837262892803</v>
      </c>
      <c r="AF349" s="31" t="str">
        <f t="shared" si="250"/>
        <v>-0.332666666666667</v>
      </c>
      <c r="AG349" s="31" t="str">
        <f t="shared" si="266"/>
        <v>128286.178550586i</v>
      </c>
      <c r="AH349" s="31">
        <f t="shared" si="267"/>
        <v>128286.178550586</v>
      </c>
      <c r="AI349" s="31">
        <f t="shared" si="268"/>
        <v>1.5707963267948966</v>
      </c>
      <c r="AJ349" s="31" t="str">
        <f t="shared" si="251"/>
        <v>-877.049970057778+1057.90773797352i</v>
      </c>
      <c r="AK349" s="31">
        <f t="shared" si="269"/>
        <v>1374.1853703349482</v>
      </c>
      <c r="AL349" s="31">
        <f t="shared" si="270"/>
        <v>2.2629966749321015</v>
      </c>
      <c r="AM349" s="31" t="str">
        <f t="shared" si="252"/>
        <v>1+3849001.00373609i</v>
      </c>
      <c r="AN349" s="31">
        <f t="shared" si="271"/>
        <v>3849001.0037362198</v>
      </c>
      <c r="AO349" s="31">
        <f t="shared" si="272"/>
        <v>1.5707960669872221</v>
      </c>
      <c r="AP349" s="31" t="str">
        <f t="shared" si="253"/>
        <v>1+415.647218503899i</v>
      </c>
      <c r="AQ349" s="31">
        <f t="shared" si="273"/>
        <v>415.6484214453701</v>
      </c>
      <c r="AR349" s="31">
        <f t="shared" si="274"/>
        <v>1.5683904450132831</v>
      </c>
      <c r="AS349" s="58" t="str">
        <f t="shared" si="275"/>
        <v>-2.31948879533699+1.93238943321806i</v>
      </c>
      <c r="AT349" s="49">
        <f t="shared" si="276"/>
        <v>9.5971651465645333</v>
      </c>
      <c r="AU349" s="61">
        <f t="shared" si="277"/>
        <v>140.20197971627488</v>
      </c>
      <c r="AV349" s="58" t="str">
        <f t="shared" si="254"/>
        <v>1.39270040283936-1.53430038107899i</v>
      </c>
      <c r="AW349" s="64">
        <f t="shared" si="278"/>
        <v>6.3283089513837565</v>
      </c>
      <c r="AX349" s="61">
        <f t="shared" si="279"/>
        <v>-47.769647654796955</v>
      </c>
    </row>
    <row r="350" spans="14:50" x14ac:dyDescent="0.3">
      <c r="N350" s="10">
        <v>32</v>
      </c>
      <c r="O350" s="50">
        <f t="shared" si="244"/>
        <v>20892.961308540423</v>
      </c>
      <c r="P350" s="48" t="str">
        <f t="shared" si="245"/>
        <v>51201.9230769231</v>
      </c>
      <c r="Q350" s="17" t="str">
        <f t="shared" si="246"/>
        <v>1+6134.55123975043i</v>
      </c>
      <c r="R350" s="17">
        <f t="shared" si="255"/>
        <v>6134.5513212559836</v>
      </c>
      <c r="S350" s="17">
        <f t="shared" si="256"/>
        <v>1.5706333156874723</v>
      </c>
      <c r="T350" s="17" t="str">
        <f t="shared" si="247"/>
        <v>1+3.93823042551879E-07i</v>
      </c>
      <c r="U350" s="17">
        <f t="shared" si="257"/>
        <v>1.0000000000000775</v>
      </c>
      <c r="V350" s="17">
        <f t="shared" si="258"/>
        <v>3.9382304255185863E-7</v>
      </c>
      <c r="W350" s="31" t="str">
        <f t="shared" si="248"/>
        <v>1-0.212664442978015i</v>
      </c>
      <c r="X350" s="17">
        <f t="shared" si="259"/>
        <v>1.0223630300960365</v>
      </c>
      <c r="Y350" s="17">
        <f t="shared" si="260"/>
        <v>-0.20954272586787639</v>
      </c>
      <c r="Z350" s="31" t="str">
        <f t="shared" si="249"/>
        <v>0.825393667103932+12.9775510499482i</v>
      </c>
      <c r="AA350" s="17">
        <f t="shared" si="261"/>
        <v>13.003772758692259</v>
      </c>
      <c r="AB350" s="17">
        <f t="shared" si="262"/>
        <v>1.5072802285074898</v>
      </c>
      <c r="AC350" s="66" t="str">
        <f t="shared" si="263"/>
        <v>-0.649236182321417+0.0953770598385056i</v>
      </c>
      <c r="AD350" s="64">
        <f t="shared" si="264"/>
        <v>-3.6592153277105814</v>
      </c>
      <c r="AE350" s="61">
        <f t="shared" si="265"/>
        <v>171.64265295597778</v>
      </c>
      <c r="AF350" s="31" t="str">
        <f t="shared" si="250"/>
        <v>-0.332666666666667</v>
      </c>
      <c r="AG350" s="31" t="str">
        <f t="shared" si="266"/>
        <v>131274.347517293i</v>
      </c>
      <c r="AH350" s="31">
        <f t="shared" si="267"/>
        <v>131274.347517293</v>
      </c>
      <c r="AI350" s="31">
        <f t="shared" si="268"/>
        <v>1.5707963267948966</v>
      </c>
      <c r="AJ350" s="31" t="str">
        <f t="shared" si="251"/>
        <v>-918.431190262748+1082.54957474789i</v>
      </c>
      <c r="AK350" s="31">
        <f t="shared" si="269"/>
        <v>1419.6582099344494</v>
      </c>
      <c r="AL350" s="31">
        <f t="shared" si="270"/>
        <v>2.2743586967568512</v>
      </c>
      <c r="AM350" s="31" t="str">
        <f t="shared" si="252"/>
        <v>1+3938655.75440475i</v>
      </c>
      <c r="AN350" s="31">
        <f t="shared" si="271"/>
        <v>3938655.7544048768</v>
      </c>
      <c r="AO350" s="31">
        <f t="shared" si="272"/>
        <v>1.5707960729011667</v>
      </c>
      <c r="AP350" s="31" t="str">
        <f t="shared" si="253"/>
        <v>1+425.328885956029i</v>
      </c>
      <c r="AQ350" s="31">
        <f t="shared" si="273"/>
        <v>425.33006151528576</v>
      </c>
      <c r="AR350" s="31">
        <f t="shared" si="274"/>
        <v>1.5684452093645176</v>
      </c>
      <c r="AS350" s="58" t="str">
        <f t="shared" si="275"/>
        <v>-2.27570141295246+1.93991791419771i</v>
      </c>
      <c r="AT350" s="49">
        <f t="shared" si="276"/>
        <v>9.5143944627778438</v>
      </c>
      <c r="AU350" s="61">
        <f t="shared" si="277"/>
        <v>139.55412192401866</v>
      </c>
      <c r="AV350" s="58" t="str">
        <f t="shared" si="254"/>
        <v>1.29244403046449-1.47651461046839i</v>
      </c>
      <c r="AW350" s="64">
        <f t="shared" si="278"/>
        <v>5.8551791350672886</v>
      </c>
      <c r="AX350" s="61">
        <f t="shared" si="279"/>
        <v>-48.803225120003518</v>
      </c>
    </row>
    <row r="351" spans="14:50" x14ac:dyDescent="0.3">
      <c r="N351" s="10">
        <v>33</v>
      </c>
      <c r="O351" s="50">
        <f t="shared" si="244"/>
        <v>21379.620895022348</v>
      </c>
      <c r="P351" s="48" t="str">
        <f t="shared" si="245"/>
        <v>51201.9230769231</v>
      </c>
      <c r="Q351" s="17" t="str">
        <f t="shared" si="246"/>
        <v>1+6277.44329442381i</v>
      </c>
      <c r="R351" s="17">
        <f t="shared" si="255"/>
        <v>6277.4433740740706</v>
      </c>
      <c r="S351" s="17">
        <f t="shared" si="256"/>
        <v>1.570637026273229</v>
      </c>
      <c r="T351" s="17" t="str">
        <f t="shared" si="247"/>
        <v>1+4.02996359642022E-07i</v>
      </c>
      <c r="U351" s="17">
        <f t="shared" si="257"/>
        <v>1.0000000000000813</v>
      </c>
      <c r="V351" s="17">
        <f t="shared" si="258"/>
        <v>4.0299635964200017E-7</v>
      </c>
      <c r="W351" s="31" t="str">
        <f t="shared" si="248"/>
        <v>1-0.217618034206692i</v>
      </c>
      <c r="X351" s="17">
        <f t="shared" si="259"/>
        <v>1.0234049095113746</v>
      </c>
      <c r="Y351" s="17">
        <f t="shared" si="260"/>
        <v>-0.21427717173849298</v>
      </c>
      <c r="Z351" s="31" t="str">
        <f t="shared" si="249"/>
        <v>0.817164724154049+13.2798370463777i</v>
      </c>
      <c r="AA351" s="17">
        <f t="shared" si="261"/>
        <v>13.304955098186065</v>
      </c>
      <c r="AB351" s="17">
        <f t="shared" si="262"/>
        <v>1.5093395732107031</v>
      </c>
      <c r="AC351" s="66" t="str">
        <f t="shared" si="263"/>
        <v>-0.620093375473137+0.0954062085005007i</v>
      </c>
      <c r="AD351" s="64">
        <f t="shared" si="264"/>
        <v>-4.0492489638397942</v>
      </c>
      <c r="AE351" s="61">
        <f t="shared" si="265"/>
        <v>171.25318535389053</v>
      </c>
      <c r="AF351" s="31" t="str">
        <f t="shared" si="250"/>
        <v>-0.332666666666667</v>
      </c>
      <c r="AG351" s="31" t="str">
        <f t="shared" si="266"/>
        <v>134332.119880674i</v>
      </c>
      <c r="AH351" s="31">
        <f t="shared" si="267"/>
        <v>134332.119880674</v>
      </c>
      <c r="AI351" s="31">
        <f t="shared" si="268"/>
        <v>1.5707963267948966</v>
      </c>
      <c r="AJ351" s="31" t="str">
        <f t="shared" si="251"/>
        <v>-961.762647292539+1107.76539363602i</v>
      </c>
      <c r="AK351" s="31">
        <f t="shared" si="269"/>
        <v>1467.0145047219946</v>
      </c>
      <c r="AL351" s="31">
        <f t="shared" si="270"/>
        <v>2.2857623727599088</v>
      </c>
      <c r="AM351" s="31" t="str">
        <f t="shared" si="252"/>
        <v>1+4030398.83248864i</v>
      </c>
      <c r="AN351" s="31">
        <f t="shared" si="271"/>
        <v>4030398.8324887636</v>
      </c>
      <c r="AO351" s="31">
        <f t="shared" si="272"/>
        <v>1.5707960786804938</v>
      </c>
      <c r="AP351" s="31" t="str">
        <f t="shared" si="253"/>
        <v>1+435.236068413384i</v>
      </c>
      <c r="AQ351" s="31">
        <f t="shared" si="273"/>
        <v>435.23721721371652</v>
      </c>
      <c r="AR351" s="31">
        <f t="shared" si="274"/>
        <v>1.5684987271405526</v>
      </c>
      <c r="AS351" s="58" t="str">
        <f t="shared" si="275"/>
        <v>-2.2315880010313+1.94647725195739i</v>
      </c>
      <c r="AT351" s="49">
        <f t="shared" si="276"/>
        <v>9.429381191990073</v>
      </c>
      <c r="AU351" s="61">
        <f t="shared" si="277"/>
        <v>138.90380609193551</v>
      </c>
      <c r="AV351" s="58" t="str">
        <f t="shared" si="254"/>
        <v>1.19808692168312-1.41990499956154i</v>
      </c>
      <c r="AW351" s="64">
        <f t="shared" si="278"/>
        <v>5.3801322281502699</v>
      </c>
      <c r="AX351" s="61">
        <f t="shared" si="279"/>
        <v>-49.843008554173927</v>
      </c>
    </row>
    <row r="352" spans="14:50" x14ac:dyDescent="0.3">
      <c r="N352" s="10">
        <v>34</v>
      </c>
      <c r="O352" s="50">
        <f t="shared" si="244"/>
        <v>21877.61623949555</v>
      </c>
      <c r="P352" s="48" t="str">
        <f t="shared" si="245"/>
        <v>51201.9230769231</v>
      </c>
      <c r="Q352" s="17" t="str">
        <f t="shared" si="246"/>
        <v>1+6423.6637326237i</v>
      </c>
      <c r="R352" s="17">
        <f t="shared" si="255"/>
        <v>6423.6638104608992</v>
      </c>
      <c r="S352" s="17">
        <f t="shared" si="256"/>
        <v>1.5706406523957459</v>
      </c>
      <c r="T352" s="17" t="str">
        <f t="shared" si="247"/>
        <v>1+4.12383350736336E-07i</v>
      </c>
      <c r="U352" s="17">
        <f t="shared" si="257"/>
        <v>1.000000000000085</v>
      </c>
      <c r="V352" s="17">
        <f t="shared" si="258"/>
        <v>4.1238335073631258E-7</v>
      </c>
      <c r="W352" s="31" t="str">
        <f t="shared" si="248"/>
        <v>1-0.222687009397621i</v>
      </c>
      <c r="X352" s="17">
        <f t="shared" si="259"/>
        <v>1.0244947555524411</v>
      </c>
      <c r="Y352" s="17">
        <f t="shared" si="260"/>
        <v>-0.2191118170928881</v>
      </c>
      <c r="Z352" s="31" t="str">
        <f t="shared" si="249"/>
        <v>0.808547963070944+13.5891641881886i</v>
      </c>
      <c r="AA352" s="17">
        <f t="shared" si="261"/>
        <v>13.613197021351512</v>
      </c>
      <c r="AB352" s="17">
        <f t="shared" si="262"/>
        <v>1.5113669287291212</v>
      </c>
      <c r="AC352" s="66" t="str">
        <f t="shared" si="263"/>
        <v>-0.592247690073052+0.095288800290723i</v>
      </c>
      <c r="AD352" s="64">
        <f t="shared" si="264"/>
        <v>-4.4389384247384882</v>
      </c>
      <c r="AE352" s="61">
        <f t="shared" si="265"/>
        <v>170.8598144411821</v>
      </c>
      <c r="AF352" s="31" t="str">
        <f t="shared" si="250"/>
        <v>-0.332666666666667</v>
      </c>
      <c r="AG352" s="31" t="str">
        <f t="shared" si="266"/>
        <v>137461.116912112i</v>
      </c>
      <c r="AH352" s="31">
        <f t="shared" si="267"/>
        <v>137461.11691211199</v>
      </c>
      <c r="AI352" s="31">
        <f t="shared" si="268"/>
        <v>1.5707963267948966</v>
      </c>
      <c r="AJ352" s="31" t="str">
        <f t="shared" si="251"/>
        <v>-1007.13625297708+1133.56856439887i</v>
      </c>
      <c r="AK352" s="31">
        <f t="shared" si="269"/>
        <v>1516.3446581348278</v>
      </c>
      <c r="AL352" s="31">
        <f t="shared" si="270"/>
        <v>2.2972019519230917</v>
      </c>
      <c r="AM352" s="31" t="str">
        <f t="shared" si="252"/>
        <v>1+4124278.88138216i</v>
      </c>
      <c r="AN352" s="31">
        <f t="shared" si="271"/>
        <v>4124278.881382281</v>
      </c>
      <c r="AO352" s="31">
        <f t="shared" si="272"/>
        <v>1.5707960843282669</v>
      </c>
      <c r="AP352" s="31" t="str">
        <f t="shared" si="253"/>
        <v>1+445.374018795243i</v>
      </c>
      <c r="AQ352" s="31">
        <f t="shared" si="273"/>
        <v>445.37514144575408</v>
      </c>
      <c r="AR352" s="31">
        <f t="shared" si="274"/>
        <v>1.5685510267159943</v>
      </c>
      <c r="AS352" s="58" t="str">
        <f t="shared" si="275"/>
        <v>-2.187192164384+1.95205014160918i</v>
      </c>
      <c r="AT352" s="49">
        <f t="shared" si="276"/>
        <v>9.3421098039830373</v>
      </c>
      <c r="AU352" s="61">
        <f t="shared" si="277"/>
        <v>138.25136335501617</v>
      </c>
      <c r="AV352" s="58" t="str">
        <f t="shared" si="254"/>
        <v>1.10935099100103-1.36451210462423i</v>
      </c>
      <c r="AW352" s="64">
        <f t="shared" si="278"/>
        <v>4.9031713792445482</v>
      </c>
      <c r="AX352" s="61">
        <f t="shared" si="279"/>
        <v>-50.888822203801631</v>
      </c>
    </row>
    <row r="353" spans="14:50" x14ac:dyDescent="0.3">
      <c r="N353" s="10">
        <v>35</v>
      </c>
      <c r="O353" s="50">
        <f t="shared" si="244"/>
        <v>22387.211385683382</v>
      </c>
      <c r="P353" s="48" t="str">
        <f t="shared" si="245"/>
        <v>51201.9230769231</v>
      </c>
      <c r="Q353" s="17" t="str">
        <f t="shared" si="246"/>
        <v>1+6573.29008236183i</v>
      </c>
      <c r="R353" s="17">
        <f t="shared" si="255"/>
        <v>6573.2901584272395</v>
      </c>
      <c r="S353" s="17">
        <f t="shared" si="256"/>
        <v>1.5706441959776414</v>
      </c>
      <c r="T353" s="17" t="str">
        <f t="shared" si="247"/>
        <v>1+4.21988992941747E-07i</v>
      </c>
      <c r="U353" s="17">
        <f t="shared" si="257"/>
        <v>1.000000000000089</v>
      </c>
      <c r="V353" s="17">
        <f t="shared" si="258"/>
        <v>4.2198899294172194E-7</v>
      </c>
      <c r="W353" s="31" t="str">
        <f t="shared" si="248"/>
        <v>1-0.227874056188543i</v>
      </c>
      <c r="X353" s="17">
        <f t="shared" si="259"/>
        <v>1.0256347232245111</v>
      </c>
      <c r="Y353" s="17">
        <f t="shared" si="260"/>
        <v>-0.22404832087828971</v>
      </c>
      <c r="Z353" s="31" t="str">
        <f t="shared" si="249"/>
        <v>0.799525106549092+13.9056964847259i</v>
      </c>
      <c r="AA353" s="17">
        <f t="shared" si="261"/>
        <v>13.928662359369637</v>
      </c>
      <c r="AB353" s="17">
        <f t="shared" si="262"/>
        <v>1.5133633299576983</v>
      </c>
      <c r="AC353" s="66" t="str">
        <f t="shared" si="263"/>
        <v>-0.565642013815471+0.0950377908461675i</v>
      </c>
      <c r="AD353" s="64">
        <f t="shared" si="264"/>
        <v>-4.8282645165391207</v>
      </c>
      <c r="AE353" s="61">
        <f t="shared" si="265"/>
        <v>170.46238576219173</v>
      </c>
      <c r="AF353" s="31" t="str">
        <f t="shared" si="250"/>
        <v>-0.332666666666667</v>
      </c>
      <c r="AG353" s="31" t="str">
        <f t="shared" si="266"/>
        <v>140662.997647249i</v>
      </c>
      <c r="AH353" s="31">
        <f t="shared" si="267"/>
        <v>140662.99764724899</v>
      </c>
      <c r="AI353" s="31">
        <f t="shared" si="268"/>
        <v>1.5707963267948966</v>
      </c>
      <c r="AJ353" s="31" t="str">
        <f t="shared" si="251"/>
        <v>-1054.64825081735+1159.97276821912i</v>
      </c>
      <c r="AK353" s="31">
        <f t="shared" si="269"/>
        <v>1567.7435236549454</v>
      </c>
      <c r="AL353" s="31">
        <f t="shared" si="270"/>
        <v>2.3086715888283234</v>
      </c>
      <c r="AM353" s="31" t="str">
        <f t="shared" si="252"/>
        <v>1+4220345.67752985i</v>
      </c>
      <c r="AN353" s="31">
        <f t="shared" si="271"/>
        <v>4220345.6775299683</v>
      </c>
      <c r="AO353" s="31">
        <f t="shared" si="272"/>
        <v>1.5707960898474813</v>
      </c>
      <c r="AP353" s="31" t="str">
        <f t="shared" si="253"/>
        <v>1+455.748112377087i</v>
      </c>
      <c r="AQ353" s="31">
        <f t="shared" si="273"/>
        <v>455.74920947301479</v>
      </c>
      <c r="AR353" s="31">
        <f t="shared" si="274"/>
        <v>1.5686021358196252</v>
      </c>
      <c r="AS353" s="58" t="str">
        <f t="shared" si="275"/>
        <v>-2.14255866999507+1.95662171686009i</v>
      </c>
      <c r="AT353" s="49">
        <f t="shared" si="276"/>
        <v>9.2525670238516664</v>
      </c>
      <c r="AU353" s="61">
        <f t="shared" si="277"/>
        <v>137.59713021995935</v>
      </c>
      <c r="AV353" s="58" t="str">
        <f t="shared" si="254"/>
        <v>1.02596819532179-1.31037149095446i</v>
      </c>
      <c r="AW353" s="64">
        <f t="shared" si="278"/>
        <v>4.4243025073125466</v>
      </c>
      <c r="AX353" s="61">
        <f t="shared" si="279"/>
        <v>-51.940484017848931</v>
      </c>
    </row>
    <row r="354" spans="14:50" x14ac:dyDescent="0.3">
      <c r="N354" s="10">
        <v>36</v>
      </c>
      <c r="O354" s="50">
        <f t="shared" si="244"/>
        <v>22908.676527677751</v>
      </c>
      <c r="P354" s="48" t="str">
        <f t="shared" si="245"/>
        <v>51201.9230769231</v>
      </c>
      <c r="Q354" s="17" t="str">
        <f t="shared" si="246"/>
        <v>1+6726.40167750949i</v>
      </c>
      <c r="R354" s="17">
        <f t="shared" si="255"/>
        <v>6726.4017518434375</v>
      </c>
      <c r="S354" s="17">
        <f t="shared" si="256"/>
        <v>1.5706476588977687</v>
      </c>
      <c r="T354" s="17" t="str">
        <f t="shared" si="247"/>
        <v>1+4.31818379296905E-07i</v>
      </c>
      <c r="U354" s="17">
        <f t="shared" si="257"/>
        <v>1.0000000000000933</v>
      </c>
      <c r="V354" s="17">
        <f t="shared" si="258"/>
        <v>4.3181837929687817E-7</v>
      </c>
      <c r="W354" s="31" t="str">
        <f t="shared" si="248"/>
        <v>1-0.233181924820329i</v>
      </c>
      <c r="X354" s="17">
        <f t="shared" si="259"/>
        <v>1.0268270594715128</v>
      </c>
      <c r="Y354" s="17">
        <f t="shared" si="260"/>
        <v>-0.22908833767477976</v>
      </c>
      <c r="Z354" s="31" t="str">
        <f t="shared" si="249"/>
        <v>0.790077015900089+14.2296017656033i</v>
      </c>
      <c r="AA354" s="17">
        <f t="shared" si="261"/>
        <v>14.251518799717948</v>
      </c>
      <c r="AB354" s="17">
        <f t="shared" si="262"/>
        <v>1.5153297979869267</v>
      </c>
      <c r="AC354" s="66" t="str">
        <f t="shared" si="263"/>
        <v>-0.540221694627726+0.0946652112364816i</v>
      </c>
      <c r="AD354" s="64">
        <f t="shared" si="264"/>
        <v>-5.2172075090112653</v>
      </c>
      <c r="AE354" s="61">
        <f t="shared" si="265"/>
        <v>170.06074590492992</v>
      </c>
      <c r="AF354" s="31" t="str">
        <f t="shared" si="250"/>
        <v>-0.332666666666667</v>
      </c>
      <c r="AG354" s="31" t="str">
        <f t="shared" si="266"/>
        <v>143939.459765635i</v>
      </c>
      <c r="AH354" s="31">
        <f t="shared" si="267"/>
        <v>143939.45976563499</v>
      </c>
      <c r="AI354" s="31">
        <f t="shared" si="268"/>
        <v>1.5707963267948966</v>
      </c>
      <c r="AJ354" s="31" t="str">
        <f t="shared" si="251"/>
        <v>-1104.39942013086+1186.99200495513i</v>
      </c>
      <c r="AK354" s="31">
        <f t="shared" si="269"/>
        <v>1621.3106115155044</v>
      </c>
      <c r="AL354" s="31">
        <f t="shared" si="270"/>
        <v>2.3201653582590795</v>
      </c>
      <c r="AM354" s="31" t="str">
        <f t="shared" si="252"/>
        <v>1+4318650.1568187i</v>
      </c>
      <c r="AN354" s="31">
        <f t="shared" si="271"/>
        <v>4318650.1568188155</v>
      </c>
      <c r="AO354" s="31">
        <f t="shared" si="272"/>
        <v>1.5707960952410629</v>
      </c>
      <c r="AP354" s="31" t="str">
        <f t="shared" si="253"/>
        <v>1+466.363849640657i</v>
      </c>
      <c r="AQ354" s="31">
        <f t="shared" si="273"/>
        <v>466.36492176369069</v>
      </c>
      <c r="AR354" s="31">
        <f t="shared" si="274"/>
        <v>1.5686520815490994</v>
      </c>
      <c r="AS354" s="58" t="str">
        <f t="shared" si="275"/>
        <v>-2.09773327151029+1.96017964283857i</v>
      </c>
      <c r="AT354" s="49">
        <f t="shared" si="276"/>
        <v>9.1607418868583217</v>
      </c>
      <c r="AU354" s="61">
        <f t="shared" si="277"/>
        <v>136.94144772941345</v>
      </c>
      <c r="AV354" s="58" t="str">
        <f t="shared" si="254"/>
        <v>0.947680202861488-1.25751393169434i</v>
      </c>
      <c r="AW354" s="64">
        <f t="shared" si="278"/>
        <v>3.943534377847056</v>
      </c>
      <c r="AX354" s="61">
        <f t="shared" si="279"/>
        <v>-52.997806365656615</v>
      </c>
    </row>
    <row r="355" spans="14:50" x14ac:dyDescent="0.3">
      <c r="N355" s="10">
        <v>37</v>
      </c>
      <c r="O355" s="50">
        <f t="shared" si="244"/>
        <v>23442.288153199243</v>
      </c>
      <c r="P355" s="48" t="str">
        <f t="shared" si="245"/>
        <v>51201.9230769231</v>
      </c>
      <c r="Q355" s="17" t="str">
        <f t="shared" si="246"/>
        <v>1+6883.07969986097i</v>
      </c>
      <c r="R355" s="17">
        <f t="shared" si="255"/>
        <v>6883.0797725028715</v>
      </c>
      <c r="S355" s="17">
        <f t="shared" si="256"/>
        <v>1.5706510429922138</v>
      </c>
      <c r="T355" s="17" t="str">
        <f t="shared" si="247"/>
        <v>1+4.41876721472556E-07i</v>
      </c>
      <c r="U355" s="17">
        <f t="shared" si="257"/>
        <v>1.0000000000000977</v>
      </c>
      <c r="V355" s="17">
        <f t="shared" si="258"/>
        <v>4.4187672147252723E-7</v>
      </c>
      <c r="W355" s="31" t="str">
        <f t="shared" si="248"/>
        <v>1-0.23861342959518i</v>
      </c>
      <c r="X355" s="17">
        <f t="shared" si="259"/>
        <v>1.02807410665923</v>
      </c>
      <c r="Y355" s="17">
        <f t="shared" si="260"/>
        <v>-0.2342335151049991</v>
      </c>
      <c r="Z355" s="31" t="str">
        <f t="shared" si="249"/>
        <v>0.780183650456948+14.5610517696877i</v>
      </c>
      <c r="AA355" s="17">
        <f t="shared" si="261"/>
        <v>14.581937977099122</v>
      </c>
      <c r="AB355" s="17">
        <f t="shared" si="262"/>
        <v>1.5172673404705352</v>
      </c>
      <c r="AC355" s="66" t="str">
        <f t="shared" si="263"/>
        <v>-0.515934439476417+0.0941822296959053i</v>
      </c>
      <c r="AD355" s="64">
        <f t="shared" si="264"/>
        <v>-5.6057471146320283</v>
      </c>
      <c r="AE355" s="61">
        <f t="shared" si="265"/>
        <v>169.65474262836565</v>
      </c>
      <c r="AF355" s="31" t="str">
        <f t="shared" si="250"/>
        <v>-0.332666666666667</v>
      </c>
      <c r="AG355" s="31" t="str">
        <f t="shared" si="266"/>
        <v>147292.240490852i</v>
      </c>
      <c r="AH355" s="31">
        <f t="shared" si="267"/>
        <v>147292.24049085201</v>
      </c>
      <c r="AI355" s="31">
        <f t="shared" si="268"/>
        <v>1.5707963267948966</v>
      </c>
      <c r="AJ355" s="31" t="str">
        <f t="shared" si="251"/>
        <v>-1156.49528981794+1214.64060056387i</v>
      </c>
      <c r="AK355" s="31">
        <f t="shared" si="269"/>
        <v>1677.1503045073928</v>
      </c>
      <c r="AL355" s="31">
        <f t="shared" si="270"/>
        <v>2.331677270303063</v>
      </c>
      <c r="AM355" s="31" t="str">
        <f t="shared" si="252"/>
        <v>1+4419244.44158476i</v>
      </c>
      <c r="AN355" s="31">
        <f t="shared" si="271"/>
        <v>4419244.4415848739</v>
      </c>
      <c r="AO355" s="31">
        <f t="shared" si="272"/>
        <v>1.5707961005118718</v>
      </c>
      <c r="AP355" s="31" t="str">
        <f t="shared" si="253"/>
        <v>1+477.226859190361i</v>
      </c>
      <c r="AQ355" s="31">
        <f t="shared" si="273"/>
        <v>477.22790690894919</v>
      </c>
      <c r="AR355" s="31">
        <f t="shared" si="274"/>
        <v>1.5687008903853068</v>
      </c>
      <c r="AS355" s="58" t="str">
        <f t="shared" si="275"/>
        <v>-2.05276252509429+1.96271419377849i</v>
      </c>
      <c r="AT355" s="49">
        <f t="shared" si="276"/>
        <v>9.0666257841056215</v>
      </c>
      <c r="AU355" s="61">
        <f t="shared" si="277"/>
        <v>136.2846605974801</v>
      </c>
      <c r="AV355" s="58" t="str">
        <f t="shared" si="254"/>
        <v>0.874238083736858-1.20596559906909i</v>
      </c>
      <c r="AW355" s="64">
        <f t="shared" si="278"/>
        <v>3.4608786694735949</v>
      </c>
      <c r="AX355" s="61">
        <f t="shared" si="279"/>
        <v>-54.060596774154241</v>
      </c>
    </row>
    <row r="356" spans="14:50" x14ac:dyDescent="0.3">
      <c r="N356" s="10">
        <v>38</v>
      </c>
      <c r="O356" s="50">
        <f t="shared" si="244"/>
        <v>23988.329190194923</v>
      </c>
      <c r="P356" s="48" t="str">
        <f t="shared" si="245"/>
        <v>51201.9230769231</v>
      </c>
      <c r="Q356" s="17" t="str">
        <f t="shared" si="246"/>
        <v>1+7043.40722217763i</v>
      </c>
      <c r="R356" s="17">
        <f t="shared" si="255"/>
        <v>7043.4072931660003</v>
      </c>
      <c r="S356" s="17">
        <f t="shared" si="256"/>
        <v>1.5706543500552681</v>
      </c>
      <c r="T356" s="17" t="str">
        <f t="shared" si="247"/>
        <v>1+4.5216935253486E-07i</v>
      </c>
      <c r="U356" s="17">
        <f t="shared" si="257"/>
        <v>1.0000000000001021</v>
      </c>
      <c r="V356" s="17">
        <f t="shared" si="258"/>
        <v>4.5216935253482919E-7</v>
      </c>
      <c r="W356" s="31" t="str">
        <f t="shared" si="248"/>
        <v>1-0.244171450368824i</v>
      </c>
      <c r="X356" s="17">
        <f t="shared" si="259"/>
        <v>1.0293783061514434</v>
      </c>
      <c r="Y356" s="17">
        <f t="shared" si="260"/>
        <v>-0.23948549106834657</v>
      </c>
      <c r="Z356" s="31" t="str">
        <f t="shared" si="249"/>
        <v>0.769824025065136+14.9002222361586i</v>
      </c>
      <c r="AA356" s="17">
        <f t="shared" si="261"/>
        <v>14.920095566600191</v>
      </c>
      <c r="AB356" s="17">
        <f t="shared" si="262"/>
        <v>1.5191769519971601</v>
      </c>
      <c r="AC356" s="66" t="str">
        <f t="shared" si="263"/>
        <v>-0.492730216910217+0.0935992093776744i</v>
      </c>
      <c r="AD356" s="64">
        <f t="shared" si="264"/>
        <v>-5.993862468128154</v>
      </c>
      <c r="AE356" s="61">
        <f t="shared" si="265"/>
        <v>169.24422499954528</v>
      </c>
      <c r="AF356" s="31" t="str">
        <f t="shared" si="250"/>
        <v>-0.332666666666667</v>
      </c>
      <c r="AG356" s="31" t="str">
        <f t="shared" si="266"/>
        <v>150723.11751162i</v>
      </c>
      <c r="AH356" s="31">
        <f t="shared" si="267"/>
        <v>150723.11751161999</v>
      </c>
      <c r="AI356" s="31">
        <f t="shared" si="268"/>
        <v>1.5707963267948966</v>
      </c>
      <c r="AJ356" s="31" t="str">
        <f t="shared" si="251"/>
        <v>-1211.0463622028+1242.9332146967i</v>
      </c>
      <c r="AK356" s="31">
        <f t="shared" si="269"/>
        <v>1735.3720833299433</v>
      </c>
      <c r="AL356" s="31">
        <f t="shared" si="270"/>
        <v>2.3432012858646991</v>
      </c>
      <c r="AM356" s="31" t="str">
        <f t="shared" si="252"/>
        <v>1+4522181.86824934i</v>
      </c>
      <c r="AN356" s="31">
        <f t="shared" si="271"/>
        <v>4522181.8682494508</v>
      </c>
      <c r="AO356" s="31">
        <f t="shared" si="272"/>
        <v>1.5707961056627022</v>
      </c>
      <c r="AP356" s="31" t="str">
        <f t="shared" si="253"/>
        <v>1+488.342900737649i</v>
      </c>
      <c r="AQ356" s="31">
        <f t="shared" si="273"/>
        <v>488.34392460730112</v>
      </c>
      <c r="AR356" s="31">
        <f t="shared" si="274"/>
        <v>1.5687485882064076</v>
      </c>
      <c r="AS356" s="58" t="str">
        <f t="shared" si="275"/>
        <v>-2.00769359819885+1.96421831465203i</v>
      </c>
      <c r="AT356" s="49">
        <f t="shared" si="276"/>
        <v>8.9702124986267116</v>
      </c>
      <c r="AU356" s="61">
        <f t="shared" si="277"/>
        <v>135.62711632171707</v>
      </c>
      <c r="AV356" s="58" t="str">
        <f t="shared" si="254"/>
        <v>0.805402020833195-1.15574824970155i</v>
      </c>
      <c r="AW356" s="64">
        <f t="shared" si="278"/>
        <v>2.9763500304985717</v>
      </c>
      <c r="AX356" s="61">
        <f t="shared" si="279"/>
        <v>-55.128658678737729</v>
      </c>
    </row>
    <row r="357" spans="14:50" x14ac:dyDescent="0.3">
      <c r="N357" s="10">
        <v>39</v>
      </c>
      <c r="O357" s="50">
        <f t="shared" si="244"/>
        <v>24547.089156850321</v>
      </c>
      <c r="P357" s="48" t="str">
        <f t="shared" si="245"/>
        <v>51201.9230769231</v>
      </c>
      <c r="Q357" s="17" t="str">
        <f t="shared" si="246"/>
        <v>1+7207.469252234i</v>
      </c>
      <c r="R357" s="17">
        <f t="shared" si="255"/>
        <v>7207.469321606477</v>
      </c>
      <c r="S357" s="17">
        <f t="shared" si="256"/>
        <v>1.5706575818403796</v>
      </c>
      <c r="T357" s="17" t="str">
        <f t="shared" si="247"/>
        <v>1+4.62701729773047E-07i</v>
      </c>
      <c r="U357" s="17">
        <f t="shared" si="257"/>
        <v>1.000000000000107</v>
      </c>
      <c r="V357" s="17">
        <f t="shared" si="258"/>
        <v>4.6270172977301397E-7</v>
      </c>
      <c r="W357" s="31" t="str">
        <f t="shared" si="248"/>
        <v>1-0.249858934077445i</v>
      </c>
      <c r="X357" s="17">
        <f t="shared" si="259"/>
        <v>1.0307422019779324</v>
      </c>
      <c r="Y357" s="17">
        <f t="shared" si="260"/>
        <v>-0.24484589079355687</v>
      </c>
      <c r="Z357" s="31" t="str">
        <f t="shared" si="249"/>
        <v>0.758976165570257+15.247292997687i</v>
      </c>
      <c r="AA357" s="17">
        <f t="shared" si="261"/>
        <v>15.266171379138212</v>
      </c>
      <c r="AB357" s="17">
        <f t="shared" si="262"/>
        <v>1.5210596144654445</v>
      </c>
      <c r="AC357" s="66" t="str">
        <f t="shared" si="263"/>
        <v>-0.470561163240502+0.092925762377894i</v>
      </c>
      <c r="AD357" s="64">
        <f t="shared" si="264"/>
        <v>-6.3815321065672386</v>
      </c>
      <c r="AE357" s="61">
        <f t="shared" si="265"/>
        <v>168.82904354092085</v>
      </c>
      <c r="AF357" s="31" t="str">
        <f t="shared" si="250"/>
        <v>-0.332666666666667</v>
      </c>
      <c r="AG357" s="31" t="str">
        <f t="shared" si="266"/>
        <v>154233.909924349i</v>
      </c>
      <c r="AH357" s="31">
        <f t="shared" si="267"/>
        <v>154233.90992434899</v>
      </c>
      <c r="AI357" s="31">
        <f t="shared" si="268"/>
        <v>1.5707963267948966</v>
      </c>
      <c r="AJ357" s="31" t="str">
        <f t="shared" si="251"/>
        <v>-1268.16834742379+1271.88484847212i</v>
      </c>
      <c r="AK357" s="31">
        <f t="shared" si="269"/>
        <v>1796.0907619551231</v>
      </c>
      <c r="AL357" s="31">
        <f t="shared" si="270"/>
        <v>2.3547313324906867</v>
      </c>
      <c r="AM357" s="31" t="str">
        <f t="shared" si="252"/>
        <v>1+4627517.01559863i</v>
      </c>
      <c r="AN357" s="31">
        <f t="shared" si="271"/>
        <v>4627517.0155987376</v>
      </c>
      <c r="AO357" s="31">
        <f t="shared" si="272"/>
        <v>1.5707961106962856</v>
      </c>
      <c r="AP357" s="31" t="str">
        <f t="shared" si="253"/>
        <v>1+499.717868154891i</v>
      </c>
      <c r="AQ357" s="31">
        <f t="shared" si="273"/>
        <v>499.71886871847153</v>
      </c>
      <c r="AR357" s="31">
        <f t="shared" si="274"/>
        <v>1.5687952003015491</v>
      </c>
      <c r="AS357" s="58" t="str">
        <f t="shared" si="275"/>
        <v>-1.96257407288987+1.96468766602207i</v>
      </c>
      <c r="AT357" s="49">
        <f t="shared" si="276"/>
        <v>8.8714982315722466</v>
      </c>
      <c r="AU357" s="61">
        <f t="shared" si="277"/>
        <v>134.96916427718807</v>
      </c>
      <c r="AV357" s="58" t="str">
        <f t="shared" si="254"/>
        <v>0.740941039485161-1.10687940547399i</v>
      </c>
      <c r="AW357" s="64">
        <f t="shared" si="278"/>
        <v>2.4899661250050018</v>
      </c>
      <c r="AX357" s="61">
        <f t="shared" si="279"/>
        <v>-56.20179218189103</v>
      </c>
    </row>
    <row r="358" spans="14:50" x14ac:dyDescent="0.3">
      <c r="N358" s="10">
        <v>40</v>
      </c>
      <c r="O358" s="50">
        <f t="shared" si="244"/>
        <v>25118.86431509586</v>
      </c>
      <c r="P358" s="48" t="str">
        <f t="shared" si="245"/>
        <v>51201.9230769231</v>
      </c>
      <c r="Q358" s="17" t="str">
        <f t="shared" si="246"/>
        <v>1+7375.35277789009i</v>
      </c>
      <c r="R358" s="17">
        <f t="shared" si="255"/>
        <v>7375.3528456834565</v>
      </c>
      <c r="S358" s="17">
        <f t="shared" si="256"/>
        <v>1.5706607400610837</v>
      </c>
      <c r="T358" s="17" t="str">
        <f t="shared" si="247"/>
        <v>1+4.73479437592945E-07i</v>
      </c>
      <c r="U358" s="17">
        <f t="shared" si="257"/>
        <v>1.0000000000001121</v>
      </c>
      <c r="V358" s="17">
        <f t="shared" si="258"/>
        <v>4.7347943759290961E-7</v>
      </c>
      <c r="W358" s="31" t="str">
        <f t="shared" si="248"/>
        <v>1-0.25567889630019i</v>
      </c>
      <c r="X358" s="17">
        <f t="shared" si="259"/>
        <v>1.0321684445928792</v>
      </c>
      <c r="Y358" s="17">
        <f t="shared" si="260"/>
        <v>-0.25031632370390156</v>
      </c>
      <c r="Z358" s="31" t="str">
        <f t="shared" si="249"/>
        <v>0.747617062207921+15.6024480757845i</v>
      </c>
      <c r="AA358" s="17">
        <f t="shared" si="261"/>
        <v>15.620349459255252</v>
      </c>
      <c r="AB358" s="17">
        <f t="shared" si="262"/>
        <v>1.5229162974621031</v>
      </c>
      <c r="AC358" s="66" t="str">
        <f t="shared" si="263"/>
        <v>-0.449381492259584+0.0921708002614251i</v>
      </c>
      <c r="AD358" s="64">
        <f t="shared" si="264"/>
        <v>-6.76873395008543</v>
      </c>
      <c r="AE358" s="61">
        <f t="shared" si="265"/>
        <v>168.40905038824647</v>
      </c>
      <c r="AF358" s="31" t="str">
        <f t="shared" si="250"/>
        <v>-0.332666666666667</v>
      </c>
      <c r="AG358" s="31" t="str">
        <f t="shared" si="266"/>
        <v>157826.479197648i</v>
      </c>
      <c r="AH358" s="31">
        <f t="shared" si="267"/>
        <v>157826.479197648</v>
      </c>
      <c r="AI358" s="31">
        <f t="shared" si="268"/>
        <v>1.5707963267948966</v>
      </c>
      <c r="AJ358" s="31" t="str">
        <f t="shared" si="251"/>
        <v>-1327.98240887004+1301.51085242959i</v>
      </c>
      <c r="AK358" s="31">
        <f t="shared" si="269"/>
        <v>1859.4267335015575</v>
      </c>
      <c r="AL358" s="31">
        <f t="shared" si="270"/>
        <v>2.366261320408408</v>
      </c>
      <c r="AM358" s="31" t="str">
        <f t="shared" si="252"/>
        <v>1+4735305.73372205i</v>
      </c>
      <c r="AN358" s="31">
        <f t="shared" si="271"/>
        <v>4735305.733722155</v>
      </c>
      <c r="AO358" s="31">
        <f t="shared" si="272"/>
        <v>1.5707961156152905</v>
      </c>
      <c r="AP358" s="31" t="str">
        <f t="shared" si="253"/>
        <v>1+511.35779260038i</v>
      </c>
      <c r="AQ358" s="31">
        <f t="shared" si="273"/>
        <v>511.35877038839692</v>
      </c>
      <c r="AR358" s="31">
        <f t="shared" si="274"/>
        <v>1.5688407513842706</v>
      </c>
      <c r="AS358" s="58" t="str">
        <f t="shared" si="275"/>
        <v>-1.91745174546332+1.96412065158i</v>
      </c>
      <c r="AT358" s="49">
        <f t="shared" si="276"/>
        <v>8.770481618260769</v>
      </c>
      <c r="AU358" s="61">
        <f t="shared" si="277"/>
        <v>134.31115479829617</v>
      </c>
      <c r="AV358" s="58" t="str">
        <f t="shared" si="254"/>
        <v>0.680632754445931-1.05937253122691i</v>
      </c>
      <c r="AW358" s="64">
        <f t="shared" si="278"/>
        <v>2.0017476681753537</v>
      </c>
      <c r="AX358" s="61">
        <f t="shared" si="279"/>
        <v>-57.279794813457414</v>
      </c>
    </row>
    <row r="359" spans="14:50" x14ac:dyDescent="0.3">
      <c r="N359" s="10">
        <v>41</v>
      </c>
      <c r="O359" s="50">
        <f t="shared" si="244"/>
        <v>25703.95782768865</v>
      </c>
      <c r="P359" s="48" t="str">
        <f t="shared" si="245"/>
        <v>51201.9230769231</v>
      </c>
      <c r="Q359" s="17" t="str">
        <f t="shared" si="246"/>
        <v>1+7547.14681321331i</v>
      </c>
      <c r="R359" s="17">
        <f t="shared" si="255"/>
        <v>7547.1468794635121</v>
      </c>
      <c r="S359" s="17">
        <f t="shared" si="256"/>
        <v>1.5706638263919104</v>
      </c>
      <c r="T359" s="17" t="str">
        <f t="shared" si="247"/>
        <v>1+4.84508190477891E-07i</v>
      </c>
      <c r="U359" s="17">
        <f t="shared" si="257"/>
        <v>1.0000000000001172</v>
      </c>
      <c r="V359" s="17">
        <f t="shared" si="258"/>
        <v>4.8450819047785304E-7</v>
      </c>
      <c r="W359" s="31" t="str">
        <f t="shared" si="248"/>
        <v>1-0.261634422858061i</v>
      </c>
      <c r="X359" s="17">
        <f t="shared" si="259"/>
        <v>1.0336597947217792</v>
      </c>
      <c r="Y359" s="17">
        <f t="shared" si="260"/>
        <v>-0.25589838008954802</v>
      </c>
      <c r="Z359" s="31" t="str">
        <f t="shared" si="249"/>
        <v>0.735722620796961+15.9658757783746i</v>
      </c>
      <c r="AA359" s="17">
        <f t="shared" si="261"/>
        <v>15.982818185327679</v>
      </c>
      <c r="AB359" s="17">
        <f t="shared" si="262"/>
        <v>1.5247479586425157</v>
      </c>
      <c r="AC359" s="66" t="str">
        <f t="shared" si="263"/>
        <v>-0.42914740839545+0.0913425813085827i</v>
      </c>
      <c r="AD359" s="64">
        <f t="shared" si="264"/>
        <v>-7.1554452833490254</v>
      </c>
      <c r="AE359" s="61">
        <f t="shared" si="265"/>
        <v>167.98409945937971</v>
      </c>
      <c r="AF359" s="31" t="str">
        <f t="shared" si="250"/>
        <v>-0.332666666666667</v>
      </c>
      <c r="AG359" s="31" t="str">
        <f t="shared" si="266"/>
        <v>161502.730159297i</v>
      </c>
      <c r="AH359" s="31">
        <f t="shared" si="267"/>
        <v>161502.730159297</v>
      </c>
      <c r="AI359" s="31">
        <f t="shared" si="268"/>
        <v>1.5707963267948966</v>
      </c>
      <c r="AJ359" s="31" t="str">
        <f t="shared" si="251"/>
        <v>-1390.61542018527+1331.82693466855i</v>
      </c>
      <c r="AK359" s="31">
        <f t="shared" si="269"/>
        <v>1925.5062271427951</v>
      </c>
      <c r="AL359" s="31">
        <f t="shared" si="270"/>
        <v>2.3777851586745209</v>
      </c>
      <c r="AM359" s="31" t="str">
        <f t="shared" si="252"/>
        <v>1+4845605.17362463i</v>
      </c>
      <c r="AN359" s="31">
        <f t="shared" si="271"/>
        <v>4845605.1736247335</v>
      </c>
      <c r="AO359" s="31">
        <f t="shared" si="272"/>
        <v>1.5707961204223251</v>
      </c>
      <c r="AP359" s="31" t="str">
        <f t="shared" si="253"/>
        <v>1+523.268845716122i</v>
      </c>
      <c r="AQ359" s="31">
        <f t="shared" si="273"/>
        <v>523.26980124700742</v>
      </c>
      <c r="AR359" s="31">
        <f t="shared" si="274"/>
        <v>1.5688852656056027</v>
      </c>
      <c r="AS359" s="58" t="str">
        <f t="shared" si="275"/>
        <v>-1.8723744241374+1.96251842803919i</v>
      </c>
      <c r="AT359" s="49">
        <f t="shared" si="276"/>
        <v>8.6671637339487706</v>
      </c>
      <c r="AU359" s="61">
        <f t="shared" si="277"/>
        <v>133.65343825429011</v>
      </c>
      <c r="AV359" s="58" t="str">
        <f t="shared" si="254"/>
        <v>0.624263132581727-1.01323721039821i</v>
      </c>
      <c r="AW359" s="64">
        <f t="shared" si="278"/>
        <v>1.5117184505997336</v>
      </c>
      <c r="AX359" s="61">
        <f t="shared" si="279"/>
        <v>-58.362462286330079</v>
      </c>
    </row>
    <row r="360" spans="14:50" x14ac:dyDescent="0.3">
      <c r="N360" s="10">
        <v>42</v>
      </c>
      <c r="O360" s="50">
        <f t="shared" si="244"/>
        <v>26302.679918953829</v>
      </c>
      <c r="P360" s="48" t="str">
        <f t="shared" si="245"/>
        <v>51201.9230769231</v>
      </c>
      <c r="Q360" s="17" t="str">
        <f t="shared" si="246"/>
        <v>1+7722.94244567519i</v>
      </c>
      <c r="R360" s="17">
        <f t="shared" si="255"/>
        <v>7722.9425104173533</v>
      </c>
      <c r="S360" s="17">
        <f t="shared" si="256"/>
        <v>1.5706668424692727</v>
      </c>
      <c r="T360" s="17" t="str">
        <f t="shared" si="247"/>
        <v>1+4.95793836018654E-07i</v>
      </c>
      <c r="U360" s="17">
        <f t="shared" si="257"/>
        <v>1.000000000000123</v>
      </c>
      <c r="V360" s="17">
        <f t="shared" si="258"/>
        <v>4.957938360186133E-7</v>
      </c>
      <c r="W360" s="31" t="str">
        <f t="shared" si="248"/>
        <v>1-0.267728671450073i</v>
      </c>
      <c r="X360" s="17">
        <f t="shared" si="259"/>
        <v>1.0352191272945168</v>
      </c>
      <c r="Y360" s="17">
        <f t="shared" si="260"/>
        <v>-0.26159362758208871</v>
      </c>
      <c r="Z360" s="31" t="str">
        <f t="shared" si="249"/>
        <v>0.723267611632425+16.3377687996357i</v>
      </c>
      <c r="AA360" s="17">
        <f t="shared" si="261"/>
        <v>16.353770372253191</v>
      </c>
      <c r="AB360" s="17">
        <f t="shared" si="262"/>
        <v>1.5265555441134546</v>
      </c>
      <c r="AC360" s="66" t="str">
        <f t="shared" si="263"/>
        <v>-0.409817023201762+0.0904487546885158i</v>
      </c>
      <c r="AD360" s="64">
        <f t="shared" si="264"/>
        <v>-7.5416427378523903</v>
      </c>
      <c r="AE360" s="61">
        <f t="shared" si="265"/>
        <v>167.55404663429704</v>
      </c>
      <c r="AF360" s="31" t="str">
        <f t="shared" si="250"/>
        <v>-0.332666666666667</v>
      </c>
      <c r="AG360" s="31" t="str">
        <f t="shared" si="266"/>
        <v>165264.612006218i</v>
      </c>
      <c r="AH360" s="31">
        <f t="shared" si="267"/>
        <v>165264.612006218</v>
      </c>
      <c r="AI360" s="31">
        <f t="shared" si="268"/>
        <v>1.5707963267948966</v>
      </c>
      <c r="AJ360" s="31" t="str">
        <f t="shared" si="251"/>
        <v>-1456.20023438384+1362.84916917708i</v>
      </c>
      <c r="AK360" s="31">
        <f t="shared" si="269"/>
        <v>1994.4615766031213</v>
      </c>
      <c r="AL360" s="31">
        <f t="shared" si="270"/>
        <v>2.3892967713295468</v>
      </c>
      <c r="AM360" s="31" t="str">
        <f t="shared" si="252"/>
        <v>1+4958473.81752945i</v>
      </c>
      <c r="AN360" s="31">
        <f t="shared" si="271"/>
        <v>4958473.8175295517</v>
      </c>
      <c r="AO360" s="31">
        <f t="shared" si="272"/>
        <v>1.5707961251199385</v>
      </c>
      <c r="AP360" s="31" t="str">
        <f t="shared" si="253"/>
        <v>1+535.457342900146i</v>
      </c>
      <c r="AQ360" s="31">
        <f t="shared" si="273"/>
        <v>535.45827668053153</v>
      </c>
      <c r="AR360" s="31">
        <f t="shared" si="274"/>
        <v>1.5689287665668683</v>
      </c>
      <c r="AS360" s="58" t="str">
        <f t="shared" si="275"/>
        <v>-1.82738972663746+1.95988489726484i</v>
      </c>
      <c r="AT360" s="49">
        <f t="shared" si="276"/>
        <v>8.5615480892675961</v>
      </c>
      <c r="AU360" s="61">
        <f t="shared" si="277"/>
        <v>132.99636412440631</v>
      </c>
      <c r="AV360" s="58" t="str">
        <f t="shared" si="254"/>
        <v>0.571626269709611-0.968479319520113i</v>
      </c>
      <c r="AW360" s="64">
        <f t="shared" si="278"/>
        <v>1.0199053514152039</v>
      </c>
      <c r="AX360" s="61">
        <f t="shared" si="279"/>
        <v>-59.449589241296643</v>
      </c>
    </row>
    <row r="361" spans="14:50" x14ac:dyDescent="0.3">
      <c r="N361" s="10">
        <v>43</v>
      </c>
      <c r="O361" s="50">
        <f t="shared" si="244"/>
        <v>26915.348039269167</v>
      </c>
      <c r="P361" s="48" t="str">
        <f t="shared" si="245"/>
        <v>51201.9230769231</v>
      </c>
      <c r="Q361" s="17" t="str">
        <f t="shared" si="246"/>
        <v>1+7902.83288444703i</v>
      </c>
      <c r="R361" s="17">
        <f t="shared" si="255"/>
        <v>7902.8329477154803</v>
      </c>
      <c r="S361" s="17">
        <f t="shared" si="256"/>
        <v>1.5706697898923347</v>
      </c>
      <c r="T361" s="17" t="str">
        <f t="shared" si="247"/>
        <v>1+5.07342358013883E-07i</v>
      </c>
      <c r="U361" s="17">
        <f t="shared" si="257"/>
        <v>1.0000000000001288</v>
      </c>
      <c r="V361" s="17">
        <f t="shared" si="258"/>
        <v>5.0734235801383948E-7</v>
      </c>
      <c r="W361" s="31" t="str">
        <f t="shared" si="248"/>
        <v>1-0.273964873327497i</v>
      </c>
      <c r="X361" s="17">
        <f t="shared" si="259"/>
        <v>1.0368494354617508</v>
      </c>
      <c r="Y361" s="17">
        <f t="shared" si="260"/>
        <v>-0.26740360742669017</v>
      </c>
      <c r="Z361" s="31" t="str">
        <f t="shared" si="249"/>
        <v>0.710225615970003+16.7183243221704i</v>
      </c>
      <c r="AA361" s="17">
        <f t="shared" si="261"/>
        <v>16.73340337668504</v>
      </c>
      <c r="AB361" s="17">
        <f t="shared" si="262"/>
        <v>1.5283399888175859</v>
      </c>
      <c r="AC361" s="66" t="str">
        <f t="shared" si="263"/>
        <v>-0.391350275081899+0.0894964017527979i</v>
      </c>
      <c r="AD361" s="64">
        <f t="shared" si="264"/>
        <v>-7.927302275164374</v>
      </c>
      <c r="AE361" s="61">
        <f t="shared" si="265"/>
        <v>167.11874994660377</v>
      </c>
      <c r="AF361" s="31" t="str">
        <f t="shared" si="250"/>
        <v>-0.332666666666667</v>
      </c>
      <c r="AG361" s="31" t="str">
        <f t="shared" si="266"/>
        <v>169114.119337961i</v>
      </c>
      <c r="AH361" s="31">
        <f t="shared" si="267"/>
        <v>169114.11933796099</v>
      </c>
      <c r="AI361" s="31">
        <f t="shared" si="268"/>
        <v>1.5707963267948966</v>
      </c>
      <c r="AJ361" s="31" t="str">
        <f t="shared" si="251"/>
        <v>-1524.87596564978+1394.59400435456i</v>
      </c>
      <c r="AK361" s="31">
        <f t="shared" si="269"/>
        <v>2066.4315008240742</v>
      </c>
      <c r="AL361" s="31">
        <f t="shared" si="270"/>
        <v>2.4007901134542724</v>
      </c>
      <c r="AM361" s="31" t="str">
        <f t="shared" si="252"/>
        <v>1+5073971.50988549i</v>
      </c>
      <c r="AN361" s="31">
        <f t="shared" si="271"/>
        <v>5073971.5098855887</v>
      </c>
      <c r="AO361" s="31">
        <f t="shared" si="272"/>
        <v>1.570796129710621</v>
      </c>
      <c r="AP361" s="31" t="str">
        <f t="shared" si="253"/>
        <v>1+547.929746654994i</v>
      </c>
      <c r="AQ361" s="31">
        <f t="shared" si="273"/>
        <v>547.93065917997853</v>
      </c>
      <c r="AR361" s="31">
        <f t="shared" si="274"/>
        <v>1.5689712773321944</v>
      </c>
      <c r="AS361" s="58" t="str">
        <f t="shared" si="275"/>
        <v>-1.78254487949265+1.95622668073425i</v>
      </c>
      <c r="AT361" s="49">
        <f t="shared" si="276"/>
        <v>8.4536406153691974</v>
      </c>
      <c r="AU361" s="61">
        <f t="shared" si="277"/>
        <v>132.34028007862364</v>
      </c>
      <c r="AV361" s="58" t="str">
        <f t="shared" si="254"/>
        <v>0.522524179996744-0.925101202305366i</v>
      </c>
      <c r="AW361" s="64">
        <f t="shared" si="278"/>
        <v>0.52633834020482317</v>
      </c>
      <c r="AX361" s="61">
        <f t="shared" si="279"/>
        <v>-60.540969974772587</v>
      </c>
    </row>
    <row r="362" spans="14:50" x14ac:dyDescent="0.3">
      <c r="N362" s="10">
        <v>44</v>
      </c>
      <c r="O362" s="50">
        <f t="shared" si="244"/>
        <v>27542.287033381719</v>
      </c>
      <c r="P362" s="48" t="str">
        <f t="shared" si="245"/>
        <v>51201.9230769231</v>
      </c>
      <c r="Q362" s="17" t="str">
        <f t="shared" si="246"/>
        <v>1+8086.91350982056i</v>
      </c>
      <c r="R362" s="17">
        <f t="shared" si="255"/>
        <v>8086.9135716488454</v>
      </c>
      <c r="S362" s="17">
        <f t="shared" si="256"/>
        <v>1.5706726702238589</v>
      </c>
      <c r="T362" s="17" t="str">
        <f t="shared" si="247"/>
        <v>1+5.19159879642802E-07i</v>
      </c>
      <c r="U362" s="17">
        <f t="shared" si="257"/>
        <v>1.0000000000001348</v>
      </c>
      <c r="V362" s="17">
        <f t="shared" si="258"/>
        <v>5.1915987964275526E-7</v>
      </c>
      <c r="W362" s="31" t="str">
        <f t="shared" si="248"/>
        <v>1-0.280346335007112i</v>
      </c>
      <c r="X362" s="17">
        <f t="shared" si="259"/>
        <v>1.0385538346912595</v>
      </c>
      <c r="Y362" s="17">
        <f t="shared" si="260"/>
        <v>-0.27332983054800153</v>
      </c>
      <c r="Z362" s="31" t="str">
        <f t="shared" si="249"/>
        <v>0.696568969988324+17.1077441215539i</v>
      </c>
      <c r="AA362" s="17">
        <f t="shared" si="261"/>
        <v>17.121919204882161</v>
      </c>
      <c r="AB362" s="17">
        <f t="shared" si="262"/>
        <v>1.5301022169194261</v>
      </c>
      <c r="AC362" s="66" t="str">
        <f t="shared" si="263"/>
        <v>-0.373708852146292+0.088492074631185i</v>
      </c>
      <c r="AD362" s="64">
        <f t="shared" si="264"/>
        <v>-8.3123991712431771</v>
      </c>
      <c r="AE362" s="61">
        <f t="shared" si="265"/>
        <v>166.67806978677925</v>
      </c>
      <c r="AF362" s="31" t="str">
        <f t="shared" si="250"/>
        <v>-0.332666666666667</v>
      </c>
      <c r="AG362" s="31" t="str">
        <f t="shared" si="266"/>
        <v>173053.293214267i</v>
      </c>
      <c r="AH362" s="31">
        <f t="shared" si="267"/>
        <v>173053.293214267</v>
      </c>
      <c r="AI362" s="31">
        <f t="shared" si="268"/>
        <v>1.5707963267948966</v>
      </c>
      <c r="AJ362" s="31" t="str">
        <f t="shared" si="251"/>
        <v>-1596.78828441663+1427.07827173278i</v>
      </c>
      <c r="AK362" s="31">
        <f t="shared" si="269"/>
        <v>2141.5613974159187</v>
      </c>
      <c r="AL362" s="31">
        <f t="shared" si="270"/>
        <v>2.4122591870250192</v>
      </c>
      <c r="AM362" s="31" t="str">
        <f t="shared" si="252"/>
        <v>1+5192159.48909803i</v>
      </c>
      <c r="AN362" s="31">
        <f t="shared" si="271"/>
        <v>5192159.489098127</v>
      </c>
      <c r="AO362" s="31">
        <f t="shared" si="272"/>
        <v>1.5707961341968066</v>
      </c>
      <c r="AP362" s="31" t="str">
        <f t="shared" si="253"/>
        <v>1+560.692670014225i</v>
      </c>
      <c r="AQ362" s="31">
        <f t="shared" si="273"/>
        <v>560.69356176763847</v>
      </c>
      <c r="AR362" s="31">
        <f t="shared" si="274"/>
        <v>1.5690128204407363</v>
      </c>
      <c r="AS362" s="58" t="str">
        <f t="shared" si="275"/>
        <v>-1.73788652083589+1.95155307663308i</v>
      </c>
      <c r="AT362" s="49">
        <f t="shared" si="276"/>
        <v>8.3434496389132704</v>
      </c>
      <c r="AU362" s="61">
        <f t="shared" si="277"/>
        <v>131.6855310699215</v>
      </c>
      <c r="AV362" s="58" t="str">
        <f t="shared" si="254"/>
        <v>0.47676659635796-0.883101843873453i</v>
      </c>
      <c r="AW362" s="64">
        <f t="shared" si="278"/>
        <v>3.1050467670090551E-2</v>
      </c>
      <c r="AX362" s="61">
        <f t="shared" si="279"/>
        <v>-61.636399143299315</v>
      </c>
    </row>
    <row r="363" spans="14:50" x14ac:dyDescent="0.3">
      <c r="N363" s="10">
        <v>45</v>
      </c>
      <c r="O363" s="50">
        <f t="shared" si="244"/>
        <v>28183.829312644593</v>
      </c>
      <c r="P363" s="48" t="str">
        <f t="shared" si="245"/>
        <v>51201.9230769231</v>
      </c>
      <c r="Q363" s="17" t="str">
        <f t="shared" si="246"/>
        <v>1+8275.28192377993i</v>
      </c>
      <c r="R363" s="17">
        <f t="shared" si="255"/>
        <v>8275.2819842008321</v>
      </c>
      <c r="S363" s="17">
        <f t="shared" si="256"/>
        <v>1.5706754849910352</v>
      </c>
      <c r="T363" s="17" t="str">
        <f t="shared" si="247"/>
        <v>1+5.31252666711798E-07i</v>
      </c>
      <c r="U363" s="17">
        <f t="shared" si="257"/>
        <v>1.0000000000001412</v>
      </c>
      <c r="V363" s="17">
        <f t="shared" si="258"/>
        <v>5.3125266671174805E-7</v>
      </c>
      <c r="W363" s="31" t="str">
        <f t="shared" si="248"/>
        <v>1-0.286876440024371i</v>
      </c>
      <c r="X363" s="17">
        <f t="shared" si="259"/>
        <v>1.0403355669403294</v>
      </c>
      <c r="Y363" s="17">
        <f t="shared" si="260"/>
        <v>-0.27937377340663705</v>
      </c>
      <c r="Z363" s="31" t="str">
        <f t="shared" si="249"/>
        <v>0.682268706110285+17.5062346733184i</v>
      </c>
      <c r="AA363" s="17">
        <f t="shared" si="261"/>
        <v>17.519524623249136</v>
      </c>
      <c r="AB363" s="17">
        <f t="shared" si="262"/>
        <v>1.5318431421924616</v>
      </c>
      <c r="AC363" s="66" t="str">
        <f t="shared" si="263"/>
        <v>-0.356856118102995+0.0874418323004752i</v>
      </c>
      <c r="AD363" s="64">
        <f t="shared" si="264"/>
        <v>-8.696908001950046</v>
      </c>
      <c r="AE363" s="61">
        <f t="shared" si="265"/>
        <v>166.23186911735468</v>
      </c>
      <c r="AF363" s="31" t="str">
        <f t="shared" si="250"/>
        <v>-0.332666666666667</v>
      </c>
      <c r="AG363" s="31" t="str">
        <f t="shared" si="266"/>
        <v>177084.222237266i</v>
      </c>
      <c r="AH363" s="31">
        <f t="shared" si="267"/>
        <v>177084.22223726599</v>
      </c>
      <c r="AI363" s="31">
        <f t="shared" si="268"/>
        <v>1.5707963267948966</v>
      </c>
      <c r="AJ363" s="31" t="str">
        <f t="shared" si="251"/>
        <v>-1672.08972635392+1460.31919490028i</v>
      </c>
      <c r="AK363" s="31">
        <f t="shared" si="269"/>
        <v>2220.0036495403629</v>
      </c>
      <c r="AL363" s="31">
        <f t="shared" si="270"/>
        <v>2.4236980564671073</v>
      </c>
      <c r="AM363" s="31" t="str">
        <f t="shared" si="252"/>
        <v>1+5313100.41999804i</v>
      </c>
      <c r="AN363" s="31">
        <f t="shared" si="271"/>
        <v>5313100.4199981345</v>
      </c>
      <c r="AO363" s="31">
        <f t="shared" si="272"/>
        <v>1.5707961385808744</v>
      </c>
      <c r="AP363" s="31" t="str">
        <f t="shared" si="253"/>
        <v>1+573.752880048742i</v>
      </c>
      <c r="AQ363" s="31">
        <f t="shared" si="273"/>
        <v>573.75375150340074</v>
      </c>
      <c r="AR363" s="31">
        <f t="shared" si="274"/>
        <v>1.5690534179186262</v>
      </c>
      <c r="AS363" s="58" t="str">
        <f t="shared" si="275"/>
        <v>-1.69346050844617+1.94587600009803i</v>
      </c>
      <c r="AT363" s="49">
        <f t="shared" si="276"/>
        <v>8.2309858471196584</v>
      </c>
      <c r="AU363" s="61">
        <f t="shared" si="277"/>
        <v>131.03245844381908</v>
      </c>
      <c r="AV363" s="58" t="str">
        <f t="shared" si="254"/>
        <v>0.434170780326733-0.842477045491794i</v>
      </c>
      <c r="AW363" s="64">
        <f t="shared" si="278"/>
        <v>-0.46592215483038485</v>
      </c>
      <c r="AX363" s="61">
        <f t="shared" si="279"/>
        <v>-62.735672438826235</v>
      </c>
    </row>
    <row r="364" spans="14:50" x14ac:dyDescent="0.3">
      <c r="N364" s="10">
        <v>46</v>
      </c>
      <c r="O364" s="50">
        <f t="shared" si="244"/>
        <v>28840.315031266062</v>
      </c>
      <c r="P364" s="48" t="str">
        <f t="shared" si="245"/>
        <v>51201.9230769231</v>
      </c>
      <c r="Q364" s="17" t="str">
        <f t="shared" si="246"/>
        <v>1+8468.03800175156i</v>
      </c>
      <c r="R364" s="17">
        <f t="shared" si="255"/>
        <v>8468.0380607971147</v>
      </c>
      <c r="S364" s="17">
        <f t="shared" si="256"/>
        <v>1.5706782356862898</v>
      </c>
      <c r="T364" s="17" t="str">
        <f t="shared" si="247"/>
        <v>1+5.43627130976644E-07i</v>
      </c>
      <c r="U364" s="17">
        <f t="shared" si="257"/>
        <v>1.0000000000001479</v>
      </c>
      <c r="V364" s="17">
        <f t="shared" si="258"/>
        <v>5.4362713097659047E-7</v>
      </c>
      <c r="W364" s="31" t="str">
        <f t="shared" si="248"/>
        <v>1-0.293558650727387i</v>
      </c>
      <c r="X364" s="17">
        <f t="shared" si="259"/>
        <v>1.0421980048996851</v>
      </c>
      <c r="Y364" s="17">
        <f t="shared" si="260"/>
        <v>-0.28553687364385233</v>
      </c>
      <c r="Z364" s="31" t="str">
        <f t="shared" si="249"/>
        <v>0.667294491558933+17.914007262429i</v>
      </c>
      <c r="AA364" s="17">
        <f t="shared" si="261"/>
        <v>17.926431271639757</v>
      </c>
      <c r="AB364" s="17">
        <f t="shared" si="262"/>
        <v>1.5335636684071725</v>
      </c>
      <c r="AC364" s="66" t="str">
        <f t="shared" si="263"/>
        <v>-0.34075704108258+0.0863512742870361i</v>
      </c>
      <c r="AD364" s="64">
        <f t="shared" si="264"/>
        <v>-9.0808026298988107</v>
      </c>
      <c r="AE364" s="61">
        <f t="shared" si="265"/>
        <v>165.78001370017734</v>
      </c>
      <c r="AF364" s="31" t="str">
        <f t="shared" si="250"/>
        <v>-0.332666666666667</v>
      </c>
      <c r="AG364" s="31" t="str">
        <f t="shared" si="266"/>
        <v>181209.043658881i</v>
      </c>
      <c r="AH364" s="31">
        <f t="shared" si="267"/>
        <v>181209.04365888101</v>
      </c>
      <c r="AI364" s="31">
        <f t="shared" si="268"/>
        <v>1.5707963267948966</v>
      </c>
      <c r="AJ364" s="31" t="str">
        <f t="shared" si="251"/>
        <v>-1750.94001591584+1494.33439863453i</v>
      </c>
      <c r="AK364" s="31">
        <f t="shared" si="269"/>
        <v>2301.9179469037949</v>
      </c>
      <c r="AL364" s="31">
        <f t="shared" si="270"/>
        <v>2.4351008638095819</v>
      </c>
      <c r="AM364" s="31" t="str">
        <f t="shared" si="252"/>
        <v>1+5436858.42706789i</v>
      </c>
      <c r="AN364" s="31">
        <f t="shared" si="271"/>
        <v>5436858.427067982</v>
      </c>
      <c r="AO364" s="31">
        <f t="shared" si="272"/>
        <v>1.5707961428651487</v>
      </c>
      <c r="AP364" s="31" t="str">
        <f t="shared" si="253"/>
        <v>1+587.117301454775i</v>
      </c>
      <c r="AQ364" s="31">
        <f t="shared" si="273"/>
        <v>587.11815307273298</v>
      </c>
      <c r="AR364" s="31">
        <f t="shared" si="274"/>
        <v>1.5690930912906487</v>
      </c>
      <c r="AS364" s="58" t="str">
        <f t="shared" si="275"/>
        <v>-1.64931173469119+1.93920990731278i</v>
      </c>
      <c r="AT364" s="49">
        <f t="shared" si="276"/>
        <v>8.1162622431956848</v>
      </c>
      <c r="AU364" s="61">
        <f t="shared" si="277"/>
        <v>130.38139907074142</v>
      </c>
      <c r="AV364" s="58" t="str">
        <f t="shared" si="254"/>
        <v>0.394561339929643-0.803219600041073i</v>
      </c>
      <c r="AW364" s="64">
        <f t="shared" si="278"/>
        <v>-0.96454038670313458</v>
      </c>
      <c r="AX364" s="61">
        <f t="shared" si="279"/>
        <v>-63.83858722908127</v>
      </c>
    </row>
    <row r="365" spans="14:50" x14ac:dyDescent="0.3">
      <c r="N365" s="10">
        <v>47</v>
      </c>
      <c r="O365" s="50">
        <f t="shared" si="244"/>
        <v>29512.092266663854</v>
      </c>
      <c r="P365" s="48" t="str">
        <f t="shared" si="245"/>
        <v>51201.9230769231</v>
      </c>
      <c r="Q365" s="17" t="str">
        <f t="shared" si="246"/>
        <v>1+8665.28394555953i</v>
      </c>
      <c r="R365" s="17">
        <f t="shared" si="255"/>
        <v>8665.2840032610438</v>
      </c>
      <c r="S365" s="17">
        <f t="shared" si="256"/>
        <v>1.5706809237680779</v>
      </c>
      <c r="T365" s="17" t="str">
        <f t="shared" si="247"/>
        <v>1+5.56289833542094E-07i</v>
      </c>
      <c r="U365" s="17">
        <f t="shared" si="257"/>
        <v>1.0000000000001548</v>
      </c>
      <c r="V365" s="17">
        <f t="shared" si="258"/>
        <v>5.5628983354203665E-7</v>
      </c>
      <c r="W365" s="31" t="str">
        <f t="shared" si="248"/>
        <v>1-0.30039651011273i</v>
      </c>
      <c r="X365" s="17">
        <f t="shared" si="259"/>
        <v>1.0441446563038608</v>
      </c>
      <c r="Y365" s="17">
        <f t="shared" si="260"/>
        <v>-0.29182052551303567</v>
      </c>
      <c r="Z365" s="31" t="str">
        <f t="shared" si="249"/>
        <v>0.651614564017566+18.3312780953102i</v>
      </c>
      <c r="AA365" s="17">
        <f t="shared" si="261"/>
        <v>18.342855779502802</v>
      </c>
      <c r="AB365" s="17">
        <f t="shared" si="262"/>
        <v>1.5352646897197284</v>
      </c>
      <c r="AC365" s="66" t="str">
        <f t="shared" si="263"/>
        <v>-0.325378125299671+0.0852255721538064i</v>
      </c>
      <c r="AD365" s="64">
        <f t="shared" si="264"/>
        <v>-9.4640561927877513</v>
      </c>
      <c r="AE365" s="61">
        <f t="shared" si="265"/>
        <v>165.32237233585039</v>
      </c>
      <c r="AF365" s="31" t="str">
        <f t="shared" si="250"/>
        <v>-0.332666666666667</v>
      </c>
      <c r="AG365" s="31" t="str">
        <f t="shared" si="266"/>
        <v>185429.944514031i</v>
      </c>
      <c r="AH365" s="31">
        <f t="shared" si="267"/>
        <v>185429.944514031</v>
      </c>
      <c r="AI365" s="31">
        <f t="shared" si="268"/>
        <v>1.5707963267948966</v>
      </c>
      <c r="AJ365" s="31" t="str">
        <f t="shared" si="251"/>
        <v>-1833.50640513824+1529.14191824678i</v>
      </c>
      <c r="AK365" s="31">
        <f t="shared" si="269"/>
        <v>2387.4716215742533</v>
      </c>
      <c r="AL365" s="31">
        <f t="shared" si="270"/>
        <v>2.4464618433488221</v>
      </c>
      <c r="AM365" s="31" t="str">
        <f t="shared" si="252"/>
        <v>1+5563499.12844116i</v>
      </c>
      <c r="AN365" s="31">
        <f t="shared" si="271"/>
        <v>5563499.12844125</v>
      </c>
      <c r="AO365" s="31">
        <f t="shared" si="272"/>
        <v>1.570796147051901</v>
      </c>
      <c r="AP365" s="31" t="str">
        <f t="shared" si="253"/>
        <v>1+600.79302022546i</v>
      </c>
      <c r="AQ365" s="31">
        <f t="shared" si="273"/>
        <v>600.79385245825381</v>
      </c>
      <c r="AR365" s="31">
        <f t="shared" si="274"/>
        <v>1.5691318615916505</v>
      </c>
      <c r="AS365" s="58" t="str">
        <f t="shared" si="275"/>
        <v>-1.60548394992525+1.93157170434583i</v>
      </c>
      <c r="AT365" s="49">
        <f t="shared" si="276"/>
        <v>7.9992940925310352</v>
      </c>
      <c r="AU365" s="61">
        <f t="shared" si="277"/>
        <v>129.73268450650954</v>
      </c>
      <c r="AV365" s="58" t="str">
        <f t="shared" si="254"/>
        <v>0.357770054166412-0.765319468258069i</v>
      </c>
      <c r="AW365" s="64">
        <f t="shared" si="278"/>
        <v>-1.4647621002567184</v>
      </c>
      <c r="AX365" s="61">
        <f t="shared" si="279"/>
        <v>-64.944943157640111</v>
      </c>
    </row>
    <row r="366" spans="14:50" x14ac:dyDescent="0.3">
      <c r="N366" s="10">
        <v>48</v>
      </c>
      <c r="O366" s="50">
        <f t="shared" si="244"/>
        <v>30199.517204020212</v>
      </c>
      <c r="P366" s="48" t="str">
        <f t="shared" si="245"/>
        <v>51201.9230769231</v>
      </c>
      <c r="Q366" s="17" t="str">
        <f t="shared" si="246"/>
        <v>1+8867.12433761399i</v>
      </c>
      <c r="R366" s="17">
        <f t="shared" si="255"/>
        <v>8867.1243940020559</v>
      </c>
      <c r="S366" s="17">
        <f t="shared" si="256"/>
        <v>1.5706835506616559</v>
      </c>
      <c r="T366" s="17" t="str">
        <f t="shared" si="247"/>
        <v>1+5.69247488340652E-07i</v>
      </c>
      <c r="U366" s="17">
        <f t="shared" si="257"/>
        <v>1.0000000000001621</v>
      </c>
      <c r="V366" s="17">
        <f t="shared" si="258"/>
        <v>5.6924748834059045E-7</v>
      </c>
      <c r="W366" s="31" t="str">
        <f t="shared" si="248"/>
        <v>1-0.307393643703952i</v>
      </c>
      <c r="X366" s="17">
        <f t="shared" si="259"/>
        <v>1.0461791683022523</v>
      </c>
      <c r="Y366" s="17">
        <f t="shared" si="260"/>
        <v>-0.29822607509761351</v>
      </c>
      <c r="Z366" s="31" t="str">
        <f t="shared" si="249"/>
        <v>0.635195664257634+18.7582684144806i</v>
      </c>
      <c r="AA366" s="17">
        <f t="shared" si="261"/>
        <v>18.769019884948502</v>
      </c>
      <c r="AB366" s="17">
        <f t="shared" si="262"/>
        <v>1.5369470910611476</v>
      </c>
      <c r="AC366" s="66" t="str">
        <f t="shared" si="263"/>
        <v>-0.310687345454953+0.0840694989132899i</v>
      </c>
      <c r="AD366" s="64">
        <f t="shared" si="264"/>
        <v>-9.8466410933680635</v>
      </c>
      <c r="AE366" s="61">
        <f t="shared" si="265"/>
        <v>164.85881711538562</v>
      </c>
      <c r="AF366" s="31" t="str">
        <f t="shared" si="250"/>
        <v>-0.332666666666667</v>
      </c>
      <c r="AG366" s="31" t="str">
        <f t="shared" si="266"/>
        <v>189749.162780217i</v>
      </c>
      <c r="AH366" s="31">
        <f t="shared" si="267"/>
        <v>189749.16278021701</v>
      </c>
      <c r="AI366" s="31">
        <f t="shared" si="268"/>
        <v>1.5707963267948966</v>
      </c>
      <c r="AJ366" s="31" t="str">
        <f t="shared" si="251"/>
        <v>-1919.96402840248+1564.76020914469i</v>
      </c>
      <c r="AK366" s="31">
        <f t="shared" si="269"/>
        <v>2476.8399993705711</v>
      </c>
      <c r="AL366" s="31">
        <f t="shared" si="270"/>
        <v>2.4577753357343606</v>
      </c>
      <c r="AM366" s="31" t="str">
        <f t="shared" si="252"/>
        <v>1+5693089.67069393i</v>
      </c>
      <c r="AN366" s="31">
        <f t="shared" si="271"/>
        <v>5693089.6706940187</v>
      </c>
      <c r="AO366" s="31">
        <f t="shared" si="272"/>
        <v>1.570796151143351</v>
      </c>
      <c r="AP366" s="31" t="str">
        <f t="shared" si="253"/>
        <v>1+614.787287407903i</v>
      </c>
      <c r="AQ366" s="31">
        <f t="shared" si="273"/>
        <v>614.78810069679093</v>
      </c>
      <c r="AR366" s="31">
        <f t="shared" si="274"/>
        <v>1.5691697493776926</v>
      </c>
      <c r="AS366" s="58" t="str">
        <f t="shared" si="275"/>
        <v>-1.56201959577101+1.92298064178463i</v>
      </c>
      <c r="AT366" s="49">
        <f t="shared" si="276"/>
        <v>7.8800988601282835</v>
      </c>
      <c r="AU366" s="61">
        <f t="shared" si="277"/>
        <v>129.08664018592302</v>
      </c>
      <c r="AV366" s="58" t="str">
        <f t="shared" si="254"/>
        <v>0.323635702783923-0.728763955666537i</v>
      </c>
      <c r="AW366" s="64">
        <f t="shared" si="278"/>
        <v>-1.9665422332397813</v>
      </c>
      <c r="AX366" s="61">
        <f t="shared" si="279"/>
        <v>-66.054542698691407</v>
      </c>
    </row>
    <row r="367" spans="14:50" x14ac:dyDescent="0.3">
      <c r="N367" s="10">
        <v>49</v>
      </c>
      <c r="O367" s="50">
        <f t="shared" si="244"/>
        <v>30902.954325135954</v>
      </c>
      <c r="P367" s="48" t="str">
        <f t="shared" si="245"/>
        <v>51201.9230769231</v>
      </c>
      <c r="Q367" s="17" t="str">
        <f t="shared" si="246"/>
        <v>1+9073.66619636251i</v>
      </c>
      <c r="R367" s="17">
        <f t="shared" si="255"/>
        <v>9073.6662514670261</v>
      </c>
      <c r="S367" s="17">
        <f t="shared" si="256"/>
        <v>1.5706861177598372</v>
      </c>
      <c r="T367" s="17" t="str">
        <f t="shared" si="247"/>
        <v>1+5.82506965692409E-07i</v>
      </c>
      <c r="U367" s="17">
        <f t="shared" si="257"/>
        <v>1.0000000000001696</v>
      </c>
      <c r="V367" s="17">
        <f t="shared" si="258"/>
        <v>5.8250696569234313E-7</v>
      </c>
      <c r="W367" s="31" t="str">
        <f t="shared" si="248"/>
        <v>1-0.3145537614739i</v>
      </c>
      <c r="X367" s="17">
        <f t="shared" si="259"/>
        <v>1.048305331884456</v>
      </c>
      <c r="Y367" s="17">
        <f t="shared" si="260"/>
        <v>-0.30475481531627863</v>
      </c>
      <c r="Z367" s="31" t="str">
        <f t="shared" si="249"/>
        <v>0.618002965591424+19.1952046158594i</v>
      </c>
      <c r="AA367" s="17">
        <f t="shared" si="261"/>
        <v>19.205150556821724</v>
      </c>
      <c r="AB367" s="17">
        <f t="shared" si="262"/>
        <v>1.5386117485267496</v>
      </c>
      <c r="AC367" s="66" t="str">
        <f t="shared" si="263"/>
        <v>-0.296654083783045+0.0828874564993809i</v>
      </c>
      <c r="AD367" s="64">
        <f t="shared" si="264"/>
        <v>-10.228528991214144</v>
      </c>
      <c r="AE367" s="61">
        <f t="shared" si="265"/>
        <v>164.38922368402544</v>
      </c>
      <c r="AF367" s="31" t="str">
        <f t="shared" si="250"/>
        <v>-0.332666666666667</v>
      </c>
      <c r="AG367" s="31" t="str">
        <f t="shared" si="266"/>
        <v>194168.988564136i</v>
      </c>
      <c r="AH367" s="31">
        <f t="shared" si="267"/>
        <v>194168.988564136</v>
      </c>
      <c r="AI367" s="31">
        <f t="shared" si="268"/>
        <v>1.5707963267948966</v>
      </c>
      <c r="AJ367" s="31" t="str">
        <f t="shared" si="251"/>
        <v>-2010.4962739191+1601.20815661753i</v>
      </c>
      <c r="AK367" s="31">
        <f t="shared" si="269"/>
        <v>2570.206767608609</v>
      </c>
      <c r="AL367" s="31">
        <f t="shared" si="270"/>
        <v>2.4690358013971458</v>
      </c>
      <c r="AM367" s="31" t="str">
        <f t="shared" si="252"/>
        <v>1+5825698.76444704i</v>
      </c>
      <c r="AN367" s="31">
        <f t="shared" si="271"/>
        <v>5825698.7644471256</v>
      </c>
      <c r="AO367" s="31">
        <f t="shared" si="272"/>
        <v>1.5707961551416683</v>
      </c>
      <c r="AP367" s="31" t="str">
        <f t="shared" si="253"/>
        <v>1+629.107522947801i</v>
      </c>
      <c r="AQ367" s="31">
        <f t="shared" si="273"/>
        <v>629.1083177239974</v>
      </c>
      <c r="AR367" s="31">
        <f t="shared" si="274"/>
        <v>1.5692067747369449</v>
      </c>
      <c r="AS367" s="58" t="str">
        <f t="shared" si="275"/>
        <v>-1.51895964956819+1.91345819636751i</v>
      </c>
      <c r="AT367" s="49">
        <f t="shared" si="276"/>
        <v>7.7586961398071841</v>
      </c>
      <c r="AU367" s="61">
        <f t="shared" si="277"/>
        <v>128.44358465399998</v>
      </c>
      <c r="AV367" s="58" t="str">
        <f t="shared" si="254"/>
        <v>0.292003900131271-0.69353788997846i</v>
      </c>
      <c r="AW367" s="64">
        <f t="shared" si="278"/>
        <v>-2.4698328514069527</v>
      </c>
      <c r="AX367" s="61">
        <f t="shared" si="279"/>
        <v>-67.16719166197457</v>
      </c>
    </row>
    <row r="368" spans="14:50" x14ac:dyDescent="0.3">
      <c r="N368" s="10">
        <v>50</v>
      </c>
      <c r="O368" s="50">
        <f t="shared" si="244"/>
        <v>31622.77660168384</v>
      </c>
      <c r="P368" s="48" t="str">
        <f t="shared" si="245"/>
        <v>51201.9230769231</v>
      </c>
      <c r="Q368" s="17" t="str">
        <f t="shared" si="246"/>
        <v>1+9285.01903303251i</v>
      </c>
      <c r="R368" s="17">
        <f t="shared" si="255"/>
        <v>9285.019086882694</v>
      </c>
      <c r="S368" s="17">
        <f t="shared" si="256"/>
        <v>1.5706886264237314</v>
      </c>
      <c r="T368" s="17" t="str">
        <f t="shared" si="247"/>
        <v>1+5.96075295947767E-07i</v>
      </c>
      <c r="U368" s="17">
        <f t="shared" si="257"/>
        <v>1.0000000000001776</v>
      </c>
      <c r="V368" s="17">
        <f t="shared" si="258"/>
        <v>5.9607529594769641E-7</v>
      </c>
      <c r="W368" s="31" t="str">
        <f t="shared" si="248"/>
        <v>1-0.321880659811794i</v>
      </c>
      <c r="X368" s="17">
        <f t="shared" si="259"/>
        <v>1.0505270863527869</v>
      </c>
      <c r="Y368" s="17">
        <f t="shared" si="260"/>
        <v>-0.3114079807176896</v>
      </c>
      <c r="Z368" s="31" t="str">
        <f t="shared" si="249"/>
        <v>0.6+19.6423183688041i</v>
      </c>
      <c r="AA368" s="17">
        <f t="shared" si="261"/>
        <v>19.651480119865248</v>
      </c>
      <c r="AB368" s="17">
        <f t="shared" si="262"/>
        <v>1.5402595297657307</v>
      </c>
      <c r="AC368" s="66" t="str">
        <f t="shared" si="263"/>
        <v>-0.283249069653636+0.0816835014226531i</v>
      </c>
      <c r="AD368" s="64">
        <f t="shared" si="264"/>
        <v>-10.609690796463543</v>
      </c>
      <c r="AE368" s="61">
        <f t="shared" si="265"/>
        <v>163.91347151712236</v>
      </c>
      <c r="AF368" s="31" t="str">
        <f t="shared" si="250"/>
        <v>-0.332666666666667</v>
      </c>
      <c r="AG368" s="31" t="str">
        <f t="shared" si="266"/>
        <v>198691.765315922i</v>
      </c>
      <c r="AH368" s="31">
        <f t="shared" si="267"/>
        <v>198691.76531592201</v>
      </c>
      <c r="AI368" s="31">
        <f t="shared" si="268"/>
        <v>1.5707963267948966</v>
      </c>
      <c r="AJ368" s="31" t="str">
        <f t="shared" si="251"/>
        <v>-2105.29517271869+1638.5050858495i</v>
      </c>
      <c r="AK368" s="31">
        <f t="shared" si="269"/>
        <v>2667.7643600264428</v>
      </c>
      <c r="AL368" s="31">
        <f t="shared" si="270"/>
        <v>2.4802378332474326</v>
      </c>
      <c r="AM368" s="31" t="str">
        <f t="shared" si="252"/>
        <v>1+5961396.72079729i</v>
      </c>
      <c r="AN368" s="31">
        <f t="shared" si="271"/>
        <v>5961396.7207973748</v>
      </c>
      <c r="AO368" s="31">
        <f t="shared" si="272"/>
        <v>1.5707961590489727</v>
      </c>
      <c r="AP368" s="31" t="str">
        <f t="shared" si="253"/>
        <v>1+643.761319623587i</v>
      </c>
      <c r="AQ368" s="31">
        <f t="shared" si="273"/>
        <v>643.76209630849041</v>
      </c>
      <c r="AR368" s="31">
        <f t="shared" si="274"/>
        <v>1.5692429573003366</v>
      </c>
      <c r="AS368" s="58" t="str">
        <f t="shared" si="275"/>
        <v>-1.4763434811126+1.90302794093828i</v>
      </c>
      <c r="AT368" s="49">
        <f t="shared" si="276"/>
        <v>7.6351075757814382</v>
      </c>
      <c r="AU368" s="61">
        <f t="shared" si="277"/>
        <v>127.80382883905385</v>
      </c>
      <c r="AV368" s="58" t="str">
        <f t="shared" si="254"/>
        <v>0.262726931993374-0.659623798635428i</v>
      </c>
      <c r="AW368" s="64">
        <f t="shared" si="278"/>
        <v>-2.9745832206821019</v>
      </c>
      <c r="AX368" s="61">
        <f t="shared" si="279"/>
        <v>-68.282699643823761</v>
      </c>
    </row>
    <row r="369" spans="14:50" x14ac:dyDescent="0.3">
      <c r="N369" s="10">
        <v>51</v>
      </c>
      <c r="O369" s="50">
        <f t="shared" si="244"/>
        <v>32359.365692962871</v>
      </c>
      <c r="P369" s="48" t="str">
        <f t="shared" si="245"/>
        <v>51201.9230769231</v>
      </c>
      <c r="Q369" s="17" t="str">
        <f t="shared" si="246"/>
        <v>1+9501.29490969559i</v>
      </c>
      <c r="R369" s="17">
        <f t="shared" si="255"/>
        <v>9501.2949623199966</v>
      </c>
      <c r="S369" s="17">
        <f t="shared" si="256"/>
        <v>1.5706910779834649</v>
      </c>
      <c r="T369" s="17" t="str">
        <f t="shared" si="247"/>
        <v>1+6.09959673215026E-07i</v>
      </c>
      <c r="U369" s="17">
        <f t="shared" si="257"/>
        <v>1.0000000000001861</v>
      </c>
      <c r="V369" s="17">
        <f t="shared" si="258"/>
        <v>6.0995967321495041E-7</v>
      </c>
      <c r="W369" s="31" t="str">
        <f t="shared" si="248"/>
        <v>1-0.329378223536113i</v>
      </c>
      <c r="X369" s="17">
        <f t="shared" si="259"/>
        <v>1.0528485238341769</v>
      </c>
      <c r="Y369" s="17">
        <f t="shared" si="260"/>
        <v>-0.31818674206830816</v>
      </c>
      <c r="Z369" s="31" t="str">
        <f t="shared" si="249"/>
        <v>0.58114858077964+20.0998467389448i</v>
      </c>
      <c r="AA369" s="17">
        <f t="shared" si="261"/>
        <v>20.108246383064145</v>
      </c>
      <c r="AB369" s="17">
        <f t="shared" si="262"/>
        <v>1.5418912943707348</v>
      </c>
      <c r="AC369" s="66" t="str">
        <f t="shared" si="263"/>
        <v>-0.270444321634986+0.080461368725991i</v>
      </c>
      <c r="AD369" s="64">
        <f t="shared" si="264"/>
        <v>-10.99009666570783</v>
      </c>
      <c r="AE369" s="61">
        <f t="shared" si="265"/>
        <v>163.43144420787024</v>
      </c>
      <c r="AF369" s="31" t="str">
        <f t="shared" si="250"/>
        <v>-0.332666666666667</v>
      </c>
      <c r="AG369" s="31" t="str">
        <f t="shared" si="266"/>
        <v>203319.891071675i</v>
      </c>
      <c r="AH369" s="31">
        <f t="shared" si="267"/>
        <v>203319.891071675</v>
      </c>
      <c r="AI369" s="31">
        <f t="shared" si="268"/>
        <v>1.5707963267948966</v>
      </c>
      <c r="AJ369" s="31" t="str">
        <f t="shared" si="251"/>
        <v>-2204.56180597554+1676.67077216617i</v>
      </c>
      <c r="AK369" s="31">
        <f t="shared" si="269"/>
        <v>2769.7143597494737</v>
      </c>
      <c r="AL369" s="31">
        <f t="shared" si="270"/>
        <v>2.4913761685780784</v>
      </c>
      <c r="AM369" s="31" t="str">
        <f t="shared" si="252"/>
        <v>1+6100255.48859733i</v>
      </c>
      <c r="AN369" s="31">
        <f t="shared" si="271"/>
        <v>6100255.4885974107</v>
      </c>
      <c r="AO369" s="31">
        <f t="shared" si="272"/>
        <v>1.5707961628673361</v>
      </c>
      <c r="AP369" s="31" t="str">
        <f t="shared" si="253"/>
        <v>1+658.756447072227i</v>
      </c>
      <c r="AQ369" s="31">
        <f t="shared" si="273"/>
        <v>658.75720607764435</v>
      </c>
      <c r="AR369" s="31">
        <f t="shared" si="274"/>
        <v>1.5692783162519628</v>
      </c>
      <c r="AS369" s="58" t="str">
        <f t="shared" si="275"/>
        <v>-1.43420872263429+1.89171540415101i</v>
      </c>
      <c r="AT369" s="49">
        <f t="shared" si="276"/>
        <v>7.5093567772599936</v>
      </c>
      <c r="AU369" s="61">
        <f t="shared" si="277"/>
        <v>127.16767537127889</v>
      </c>
      <c r="AV369" s="58" t="str">
        <f t="shared" si="254"/>
        <v>0.235663594417779-0.627002086063983i</v>
      </c>
      <c r="AW369" s="64">
        <f t="shared" si="278"/>
        <v>-3.4807398884478409</v>
      </c>
      <c r="AX369" s="61">
        <f t="shared" si="279"/>
        <v>-69.400880420850854</v>
      </c>
    </row>
    <row r="370" spans="14:50" x14ac:dyDescent="0.3">
      <c r="N370" s="10">
        <v>52</v>
      </c>
      <c r="O370" s="50">
        <f t="shared" si="244"/>
        <v>33113.11214825909</v>
      </c>
      <c r="P370" s="48" t="str">
        <f t="shared" si="245"/>
        <v>51201.9230769231</v>
      </c>
      <c r="Q370" s="17" t="str">
        <f t="shared" si="246"/>
        <v>1+9722.60849868428i</v>
      </c>
      <c r="R370" s="17">
        <f t="shared" si="255"/>
        <v>9722.6085501108082</v>
      </c>
      <c r="S370" s="17">
        <f t="shared" si="256"/>
        <v>1.5706934737388871</v>
      </c>
      <c r="T370" s="17" t="str">
        <f t="shared" si="247"/>
        <v>1+6.24167459174794E-07i</v>
      </c>
      <c r="U370" s="17">
        <f t="shared" si="257"/>
        <v>1.000000000000195</v>
      </c>
      <c r="V370" s="17">
        <f t="shared" si="258"/>
        <v>6.2416745917471294E-7</v>
      </c>
      <c r="W370" s="31" t="str">
        <f t="shared" si="248"/>
        <v>1-0.337050427954388i</v>
      </c>
      <c r="X370" s="17">
        <f t="shared" si="259"/>
        <v>1.0552738938229431</v>
      </c>
      <c r="Y370" s="17">
        <f t="shared" si="260"/>
        <v>-0.3250922007386961</v>
      </c>
      <c r="Z370" s="31" t="str">
        <f t="shared" si="249"/>
        <v>0.561408721542727+20.5680323138793i</v>
      </c>
      <c r="AA370" s="17">
        <f t="shared" si="261"/>
        <v>20.575692771263064</v>
      </c>
      <c r="AB370" s="17">
        <f t="shared" si="262"/>
        <v>1.5435078942672986</v>
      </c>
      <c r="AC370" s="66" t="str">
        <f t="shared" si="263"/>
        <v>-0.258213091931096+0.079224494350188i</v>
      </c>
      <c r="AD370" s="64">
        <f t="shared" si="264"/>
        <v>-11.369716000217807</v>
      </c>
      <c r="AE370" s="61">
        <f t="shared" si="265"/>
        <v>162.94302976659225</v>
      </c>
      <c r="AF370" s="31" t="str">
        <f t="shared" si="250"/>
        <v>-0.332666666666667</v>
      </c>
      <c r="AG370" s="31" t="str">
        <f t="shared" si="266"/>
        <v>208055.819724931i</v>
      </c>
      <c r="AH370" s="31">
        <f t="shared" si="267"/>
        <v>208055.819724931</v>
      </c>
      <c r="AI370" s="31">
        <f t="shared" si="268"/>
        <v>1.5707963267948966</v>
      </c>
      <c r="AJ370" s="31" t="str">
        <f t="shared" si="251"/>
        <v>-2308.50673152768+1715.7254515196i</v>
      </c>
      <c r="AK370" s="31">
        <f t="shared" si="269"/>
        <v>2876.2679211959285</v>
      </c>
      <c r="AL370" s="31">
        <f t="shared" si="270"/>
        <v>2.5024457001172866</v>
      </c>
      <c r="AM370" s="31" t="str">
        <f t="shared" si="252"/>
        <v>1+6242348.69260385i</v>
      </c>
      <c r="AN370" s="31">
        <f t="shared" si="271"/>
        <v>6242348.6926039299</v>
      </c>
      <c r="AO370" s="31">
        <f t="shared" si="272"/>
        <v>1.5707961665987831</v>
      </c>
      <c r="AP370" s="31" t="str">
        <f t="shared" si="253"/>
        <v>1+674.100855908776i</v>
      </c>
      <c r="AQ370" s="31">
        <f t="shared" si="273"/>
        <v>674.10159763713989</v>
      </c>
      <c r="AR370" s="31">
        <f t="shared" si="274"/>
        <v>1.5693128703392538</v>
      </c>
      <c r="AS370" s="58" t="str">
        <f t="shared" si="275"/>
        <v>-1.39259115278302+1.87954792142842i</v>
      </c>
      <c r="AT370" s="49">
        <f t="shared" si="276"/>
        <v>7.3814692267693927</v>
      </c>
      <c r="AU370" s="61">
        <f t="shared" si="277"/>
        <v>126.53541795005798</v>
      </c>
      <c r="AV370" s="58" t="str">
        <f t="shared" si="254"/>
        <v>0.210679033673879-0.595651210140477i</v>
      </c>
      <c r="AW370" s="64">
        <f t="shared" si="278"/>
        <v>-3.9882467734484166</v>
      </c>
      <c r="AX370" s="61">
        <f t="shared" si="279"/>
        <v>-70.521552283349791</v>
      </c>
    </row>
    <row r="371" spans="14:50" x14ac:dyDescent="0.3">
      <c r="N371" s="10">
        <v>53</v>
      </c>
      <c r="O371" s="50">
        <f t="shared" si="244"/>
        <v>33884.41561392029</v>
      </c>
      <c r="P371" s="48" t="str">
        <f t="shared" si="245"/>
        <v>51201.9230769231</v>
      </c>
      <c r="Q371" s="17" t="str">
        <f t="shared" si="246"/>
        <v>1+9949.07714339298i</v>
      </c>
      <c r="R371" s="17">
        <f t="shared" si="255"/>
        <v>9949.0771936488982</v>
      </c>
      <c r="S371" s="17">
        <f t="shared" si="256"/>
        <v>1.5706958149602592</v>
      </c>
      <c r="T371" s="17" t="str">
        <f t="shared" si="247"/>
        <v>1+6.38706186983254E-07i</v>
      </c>
      <c r="U371" s="17">
        <f t="shared" si="257"/>
        <v>1.0000000000002038</v>
      </c>
      <c r="V371" s="17">
        <f t="shared" si="258"/>
        <v>6.3870618698316714E-7</v>
      </c>
      <c r="W371" s="31" t="str">
        <f t="shared" si="248"/>
        <v>1-0.344901340970957i</v>
      </c>
      <c r="X371" s="17">
        <f t="shared" si="259"/>
        <v>1.0578076077451724</v>
      </c>
      <c r="Y371" s="17">
        <f t="shared" si="260"/>
        <v>-0.33212538289530769</v>
      </c>
      <c r="Z371" s="31" t="str">
        <f t="shared" si="249"/>
        <v>0.540738551401243+21.0471233317969i</v>
      </c>
      <c r="AA371" s="17">
        <f t="shared" si="261"/>
        <v>21.054068460153754</v>
      </c>
      <c r="AB371" s="17">
        <f t="shared" si="262"/>
        <v>1.545110174103077</v>
      </c>
      <c r="AC371" s="66" t="str">
        <f t="shared" si="263"/>
        <v>-0.246529813105864+0.0779760360122573i</v>
      </c>
      <c r="AD371" s="64">
        <f t="shared" si="264"/>
        <v>-11.748517446695388</v>
      </c>
      <c r="AE371" s="61">
        <f t="shared" si="265"/>
        <v>162.44812093118699</v>
      </c>
      <c r="AF371" s="31" t="str">
        <f t="shared" si="250"/>
        <v>-0.332666666666667</v>
      </c>
      <c r="AG371" s="31" t="str">
        <f t="shared" si="266"/>
        <v>212902.062327751i</v>
      </c>
      <c r="AH371" s="31">
        <f t="shared" si="267"/>
        <v>212902.06232775099</v>
      </c>
      <c r="AI371" s="31">
        <f t="shared" si="268"/>
        <v>1.5707963267948966</v>
      </c>
      <c r="AJ371" s="31" t="str">
        <f t="shared" si="251"/>
        <v>-2417.35043049838+1755.68983121774i</v>
      </c>
      <c r="AK371" s="31">
        <f t="shared" si="269"/>
        <v>2987.6462118651325</v>
      </c>
      <c r="AL371" s="31">
        <f t="shared" si="270"/>
        <v>2.5134414861840373</v>
      </c>
      <c r="AM371" s="31" t="str">
        <f t="shared" si="252"/>
        <v>1+6387751.67251448i</v>
      </c>
      <c r="AN371" s="31">
        <f t="shared" si="271"/>
        <v>6387751.6725145578</v>
      </c>
      <c r="AO371" s="31">
        <f t="shared" si="272"/>
        <v>1.5707961702452917</v>
      </c>
      <c r="AP371" s="31" t="str">
        <f t="shared" si="253"/>
        <v>1+689.802681941913i</v>
      </c>
      <c r="AQ371" s="31">
        <f t="shared" si="273"/>
        <v>689.80340678649588</v>
      </c>
      <c r="AR371" s="31">
        <f t="shared" si="274"/>
        <v>1.5693466378829137</v>
      </c>
      <c r="AS371" s="58" t="str">
        <f t="shared" si="275"/>
        <v>-1.35152459520127+1.86655447872929i</v>
      </c>
      <c r="AT371" s="49">
        <f t="shared" si="276"/>
        <v>7.2514721829262658</v>
      </c>
      <c r="AU371" s="61">
        <f t="shared" si="277"/>
        <v>125.90734076267022</v>
      </c>
      <c r="AV371" s="58" t="str">
        <f t="shared" si="254"/>
        <v>0.187644586610712-0.565547857299911i</v>
      </c>
      <c r="AW371" s="64">
        <f t="shared" si="278"/>
        <v>-4.4970452637691221</v>
      </c>
      <c r="AX371" s="61">
        <f t="shared" si="279"/>
        <v>-71.644538306142806</v>
      </c>
    </row>
    <row r="372" spans="14:50" x14ac:dyDescent="0.3">
      <c r="N372" s="10">
        <v>54</v>
      </c>
      <c r="O372" s="50">
        <f t="shared" si="244"/>
        <v>34673.685045253202</v>
      </c>
      <c r="P372" s="48" t="str">
        <f t="shared" si="245"/>
        <v>51201.9230769231</v>
      </c>
      <c r="Q372" s="17" t="str">
        <f t="shared" si="246"/>
        <v>1+10180.8209204946i</v>
      </c>
      <c r="R372" s="17">
        <f t="shared" si="255"/>
        <v>10180.820969606553</v>
      </c>
      <c r="S372" s="17">
        <f t="shared" si="256"/>
        <v>1.5706981028889273</v>
      </c>
      <c r="T372" s="17" t="str">
        <f t="shared" si="247"/>
        <v>1+6.53583565266322E-07i</v>
      </c>
      <c r="U372" s="17">
        <f t="shared" si="257"/>
        <v>1.0000000000002136</v>
      </c>
      <c r="V372" s="17">
        <f t="shared" si="258"/>
        <v>6.5358356526622888E-7</v>
      </c>
      <c r="W372" s="31" t="str">
        <f t="shared" si="248"/>
        <v>1-0.352935125243813i</v>
      </c>
      <c r="X372" s="17">
        <f t="shared" si="259"/>
        <v>1.0604542435347535</v>
      </c>
      <c r="Y372" s="17">
        <f t="shared" si="260"/>
        <v>-0.33928723350678536</v>
      </c>
      <c r="Z372" s="31" t="str">
        <f t="shared" si="249"/>
        <v>0.519094226153035+21.5373738130964i</v>
      </c>
      <c r="AA372" s="17">
        <f t="shared" si="261"/>
        <v>21.543628514729729</v>
      </c>
      <c r="AB372" s="17">
        <f t="shared" si="262"/>
        <v>1.5466989716367598</v>
      </c>
      <c r="AC372" s="66" t="str">
        <f t="shared" si="263"/>
        <v>-0.235370047009797+0.0767188926927988i</v>
      </c>
      <c r="AD372" s="64">
        <f t="shared" si="264"/>
        <v>-12.126468900746959</v>
      </c>
      <c r="AE372" s="61">
        <f t="shared" si="265"/>
        <v>161.94661548821978</v>
      </c>
      <c r="AF372" s="31" t="str">
        <f t="shared" si="250"/>
        <v>-0.332666666666667</v>
      </c>
      <c r="AG372" s="31" t="str">
        <f t="shared" si="266"/>
        <v>217861.188422107i</v>
      </c>
      <c r="AH372" s="31">
        <f t="shared" si="267"/>
        <v>217861.18842210699</v>
      </c>
      <c r="AI372" s="31">
        <f t="shared" si="268"/>
        <v>1.5707963267948966</v>
      </c>
      <c r="AJ372" s="31" t="str">
        <f t="shared" si="251"/>
        <v>-2531.32377496602+1796.58510090369i</v>
      </c>
      <c r="AK372" s="31">
        <f t="shared" si="269"/>
        <v>3104.0808749930061</v>
      </c>
      <c r="AL372" s="31">
        <f t="shared" si="270"/>
        <v>2.5243587599085426</v>
      </c>
      <c r="AM372" s="31" t="str">
        <f t="shared" si="252"/>
        <v>1+6536541.52291371i</v>
      </c>
      <c r="AN372" s="31">
        <f t="shared" si="271"/>
        <v>6536541.5229137857</v>
      </c>
      <c r="AO372" s="31">
        <f t="shared" si="272"/>
        <v>1.5707961738087959</v>
      </c>
      <c r="AP372" s="31" t="str">
        <f t="shared" si="253"/>
        <v>1+705.870250487627i</v>
      </c>
      <c r="AQ372" s="31">
        <f t="shared" si="273"/>
        <v>705.87095883274958</v>
      </c>
      <c r="AR372" s="31">
        <f t="shared" si="274"/>
        <v>1.5693796367866331</v>
      </c>
      <c r="AS372" s="58" t="str">
        <f t="shared" si="275"/>
        <v>-1.31104083207736+1.85276555070746i</v>
      </c>
      <c r="AT372" s="49">
        <f t="shared" si="276"/>
        <v>7.1193945784164105</v>
      </c>
      <c r="AU372" s="61">
        <f t="shared" si="277"/>
        <v>125.28371795655256</v>
      </c>
      <c r="AV372" s="58" t="str">
        <f t="shared" si="254"/>
        <v>0.166437620808172-0.536667115680168i</v>
      </c>
      <c r="AW372" s="64">
        <f t="shared" si="278"/>
        <v>-5.0070743223305474</v>
      </c>
      <c r="AX372" s="61">
        <f t="shared" si="279"/>
        <v>-72.76966655522763</v>
      </c>
    </row>
    <row r="373" spans="14:50" x14ac:dyDescent="0.3">
      <c r="N373" s="10">
        <v>55</v>
      </c>
      <c r="O373" s="50">
        <f t="shared" si="244"/>
        <v>35481.33892335758</v>
      </c>
      <c r="P373" s="48" t="str">
        <f t="shared" si="245"/>
        <v>51201.9230769231</v>
      </c>
      <c r="Q373" s="17" t="str">
        <f t="shared" si="246"/>
        <v>1+10417.9627036075i</v>
      </c>
      <c r="R373" s="17">
        <f t="shared" si="255"/>
        <v>10417.962751601528</v>
      </c>
      <c r="S373" s="17">
        <f t="shared" si="256"/>
        <v>1.5707003387379819</v>
      </c>
      <c r="T373" s="17" t="str">
        <f t="shared" si="247"/>
        <v>1+6.68807482206901E-07i</v>
      </c>
      <c r="U373" s="17">
        <f t="shared" si="257"/>
        <v>1.0000000000002236</v>
      </c>
      <c r="V373" s="17">
        <f t="shared" si="258"/>
        <v>6.6880748220680128E-7</v>
      </c>
      <c r="W373" s="31" t="str">
        <f t="shared" si="248"/>
        <v>1-0.361156040391726i</v>
      </c>
      <c r="X373" s="17">
        <f t="shared" si="259"/>
        <v>1.0632185502103648</v>
      </c>
      <c r="Y373" s="17">
        <f t="shared" si="260"/>
        <v>-0.34657861017586428</v>
      </c>
      <c r="Z373" s="31" t="str">
        <f t="shared" si="249"/>
        <v>0.496429835282329+22.0390436950727i</v>
      </c>
      <c r="AA373" s="17">
        <f t="shared" si="261"/>
        <v>22.044634031316605</v>
      </c>
      <c r="AB373" s="17">
        <f t="shared" si="262"/>
        <v>1.5482751181266281</v>
      </c>
      <c r="AC373" s="66" t="str">
        <f t="shared" si="263"/>
        <v>-0.22471043582695+0.075455722822651i</v>
      </c>
      <c r="AD373" s="64">
        <f t="shared" si="264"/>
        <v>-12.503537513281247</v>
      </c>
      <c r="AE373" s="61">
        <f t="shared" si="265"/>
        <v>161.43841660402936</v>
      </c>
      <c r="AF373" s="31" t="str">
        <f t="shared" si="250"/>
        <v>-0.332666666666667</v>
      </c>
      <c r="AG373" s="31" t="str">
        <f t="shared" si="266"/>
        <v>222935.8274023i</v>
      </c>
      <c r="AH373" s="31">
        <f t="shared" si="267"/>
        <v>222935.8274023</v>
      </c>
      <c r="AI373" s="31">
        <f t="shared" si="268"/>
        <v>1.5707963267948966</v>
      </c>
      <c r="AJ373" s="31" t="str">
        <f t="shared" si="251"/>
        <v>-2650.66851767496+1838.43294379076i</v>
      </c>
      <c r="AK373" s="31">
        <f t="shared" si="269"/>
        <v>3225.8145141046671</v>
      </c>
      <c r="AL373" s="31">
        <f t="shared" si="270"/>
        <v>2.5351929374895361</v>
      </c>
      <c r="AM373" s="31" t="str">
        <f t="shared" si="252"/>
        <v>1+6688797.13414979i</v>
      </c>
      <c r="AN373" s="31">
        <f t="shared" si="271"/>
        <v>6688797.1341498643</v>
      </c>
      <c r="AO373" s="31">
        <f t="shared" si="272"/>
        <v>1.5707961772911847</v>
      </c>
      <c r="AP373" s="31" t="str">
        <f t="shared" si="253"/>
        <v>1+722.312080783452i</v>
      </c>
      <c r="AQ373" s="31">
        <f t="shared" si="273"/>
        <v>722.31277300468673</v>
      </c>
      <c r="AR373" s="31">
        <f t="shared" si="274"/>
        <v>1.5694118845465794</v>
      </c>
      <c r="AS373" s="58" t="str">
        <f t="shared" si="275"/>
        <v>-1.27116953288462+1.83821293484691i</v>
      </c>
      <c r="AT373" s="49">
        <f t="shared" si="276"/>
        <v>6.9852669139494914</v>
      </c>
      <c r="AU373" s="61">
        <f t="shared" si="277"/>
        <v>124.66481316673608</v>
      </c>
      <c r="AV373" s="58" t="str">
        <f t="shared" si="254"/>
        <v>0.146941374043623-0.508982645666127i</v>
      </c>
      <c r="AW373" s="64">
        <f t="shared" si="278"/>
        <v>-5.5182705993317507</v>
      </c>
      <c r="AX373" s="61">
        <f t="shared" si="279"/>
        <v>-73.896770229234605</v>
      </c>
    </row>
    <row r="374" spans="14:50" x14ac:dyDescent="0.3">
      <c r="N374" s="10">
        <v>56</v>
      </c>
      <c r="O374" s="50">
        <f t="shared" si="244"/>
        <v>36307.805477010232</v>
      </c>
      <c r="P374" s="48" t="str">
        <f t="shared" si="245"/>
        <v>51201.9230769231</v>
      </c>
      <c r="Q374" s="17" t="str">
        <f t="shared" si="246"/>
        <v>1+10660.6282284438i</v>
      </c>
      <c r="R374" s="17">
        <f t="shared" si="255"/>
        <v>10660.628275345351</v>
      </c>
      <c r="S374" s="17">
        <f t="shared" si="256"/>
        <v>1.5707025236928993</v>
      </c>
      <c r="T374" s="17" t="str">
        <f t="shared" si="247"/>
        <v>1+6.84386009727256E-07i</v>
      </c>
      <c r="U374" s="17">
        <f t="shared" si="257"/>
        <v>1.000000000000234</v>
      </c>
      <c r="V374" s="17">
        <f t="shared" si="258"/>
        <v>6.8438600972714912E-7</v>
      </c>
      <c r="W374" s="31" t="str">
        <f t="shared" si="248"/>
        <v>1-0.369568445252718i</v>
      </c>
      <c r="X374" s="17">
        <f t="shared" si="259"/>
        <v>1.0661054524419764</v>
      </c>
      <c r="Y374" s="17">
        <f t="shared" si="260"/>
        <v>-0.35400027681010093</v>
      </c>
      <c r="Z374" s="31" t="str">
        <f t="shared" si="249"/>
        <v>0.472697304577434+22.5523989697372i</v>
      </c>
      <c r="AA374" s="17">
        <f t="shared" si="261"/>
        <v>22.557352283279133</v>
      </c>
      <c r="AB374" s="17">
        <f t="shared" si="262"/>
        <v>1.5498394387186785</v>
      </c>
      <c r="AC374" s="66" t="str">
        <f t="shared" si="263"/>
        <v>-0.214528655162219+0.074188961253422i</v>
      </c>
      <c r="AD374" s="64">
        <f t="shared" si="264"/>
        <v>-12.879689700030442</v>
      </c>
      <c r="AE374" s="61">
        <f t="shared" si="265"/>
        <v>160.92343316509326</v>
      </c>
      <c r="AF374" s="31" t="str">
        <f t="shared" si="250"/>
        <v>-0.332666666666667</v>
      </c>
      <c r="AG374" s="31" t="str">
        <f t="shared" si="266"/>
        <v>228128.669909085i</v>
      </c>
      <c r="AH374" s="31">
        <f t="shared" si="267"/>
        <v>228128.669909085</v>
      </c>
      <c r="AI374" s="31">
        <f t="shared" si="268"/>
        <v>1.5707963267948966</v>
      </c>
      <c r="AJ374" s="31" t="str">
        <f t="shared" si="251"/>
        <v>-2775.63780482526+1881.25554815916i</v>
      </c>
      <c r="AK374" s="31">
        <f t="shared" si="269"/>
        <v>3353.1012005388102</v>
      </c>
      <c r="AL374" s="31">
        <f t="shared" si="270"/>
        <v>2.5459396254692281</v>
      </c>
      <c r="AM374" s="31" t="str">
        <f t="shared" si="252"/>
        <v>1+6844599.23416307i</v>
      </c>
      <c r="AN374" s="31">
        <f t="shared" si="271"/>
        <v>6844599.2341631427</v>
      </c>
      <c r="AO374" s="31">
        <f t="shared" si="272"/>
        <v>1.5707961806943047</v>
      </c>
      <c r="AP374" s="31" t="str">
        <f t="shared" si="253"/>
        <v>1+739.136890505435i</v>
      </c>
      <c r="AQ374" s="31">
        <f t="shared" si="273"/>
        <v>739.13756696980533</v>
      </c>
      <c r="AR374" s="31">
        <f t="shared" si="274"/>
        <v>1.5694433982606739</v>
      </c>
      <c r="AS374" s="58" t="str">
        <f t="shared" si="275"/>
        <v>-1.23193819833256+1.82292958313712i</v>
      </c>
      <c r="AT374" s="49">
        <f t="shared" si="276"/>
        <v>6.8491211489671668</v>
      </c>
      <c r="AU374" s="61">
        <f t="shared" si="277"/>
        <v>124.05087909955465</v>
      </c>
      <c r="AV374" s="58" t="str">
        <f t="shared" si="254"/>
        <v>0.129044792720175-0.482466847188536i</v>
      </c>
      <c r="AW374" s="64">
        <f t="shared" si="278"/>
        <v>-6.0305685510632649</v>
      </c>
      <c r="AX374" s="61">
        <f t="shared" si="279"/>
        <v>-75.025687735352065</v>
      </c>
    </row>
    <row r="375" spans="14:50" x14ac:dyDescent="0.3">
      <c r="N375" s="10">
        <v>57</v>
      </c>
      <c r="O375" s="50">
        <f t="shared" si="244"/>
        <v>37153.522909717351</v>
      </c>
      <c r="P375" s="48" t="str">
        <f t="shared" si="245"/>
        <v>51201.9230769231</v>
      </c>
      <c r="Q375" s="17" t="str">
        <f t="shared" si="246"/>
        <v>1+10908.9461594769i</v>
      </c>
      <c r="R375" s="17">
        <f t="shared" si="255"/>
        <v>10908.94620531084</v>
      </c>
      <c r="S375" s="17">
        <f t="shared" si="256"/>
        <v>1.5707046589121718</v>
      </c>
      <c r="T375" s="17" t="str">
        <f t="shared" si="247"/>
        <v>1+7.00327407768889E-07i</v>
      </c>
      <c r="U375" s="17">
        <f t="shared" si="257"/>
        <v>1.0000000000002451</v>
      </c>
      <c r="V375" s="17">
        <f t="shared" si="258"/>
        <v>7.003274077687745E-7</v>
      </c>
      <c r="W375" s="31" t="str">
        <f t="shared" si="248"/>
        <v>1-0.378176800195199i</v>
      </c>
      <c r="X375" s="17">
        <f t="shared" si="259"/>
        <v>1.0691200550947866</v>
      </c>
      <c r="Y375" s="17">
        <f t="shared" si="260"/>
        <v>-0.36155289714718442</v>
      </c>
      <c r="Z375" s="31" t="str">
        <f t="shared" si="249"/>
        <v>0.447846294158843+23.0777118248518i</v>
      </c>
      <c r="AA375" s="17">
        <f t="shared" si="261"/>
        <v>23.082056870523832</v>
      </c>
      <c r="AB375" s="17">
        <f t="shared" si="262"/>
        <v>1.5513927528343006</v>
      </c>
      <c r="AC375" s="66" t="str">
        <f t="shared" si="263"/>
        <v>-0.204803369091126+0.0729208350910832i</v>
      </c>
      <c r="AD375" s="64">
        <f t="shared" si="264"/>
        <v>-13.254891154403769</v>
      </c>
      <c r="AE375" s="61">
        <f t="shared" si="265"/>
        <v>160.40158012675269</v>
      </c>
      <c r="AF375" s="31" t="str">
        <f t="shared" si="250"/>
        <v>-0.332666666666667</v>
      </c>
      <c r="AG375" s="31" t="str">
        <f t="shared" si="266"/>
        <v>233442.469256296i</v>
      </c>
      <c r="AH375" s="31">
        <f t="shared" si="267"/>
        <v>233442.469256296</v>
      </c>
      <c r="AI375" s="31">
        <f t="shared" si="268"/>
        <v>1.5707963267948966</v>
      </c>
      <c r="AJ375" s="31" t="str">
        <f t="shared" si="251"/>
        <v>-2906.49671302991+1925.07561912056i</v>
      </c>
      <c r="AK375" s="31">
        <f t="shared" si="269"/>
        <v>3486.2070050681268</v>
      </c>
      <c r="AL375" s="31">
        <f t="shared" si="270"/>
        <v>2.556594627016116</v>
      </c>
      <c r="AM375" s="31" t="str">
        <f t="shared" si="252"/>
        <v>1+7004030.43128928i</v>
      </c>
      <c r="AN375" s="31">
        <f t="shared" si="271"/>
        <v>7004030.4312893515</v>
      </c>
      <c r="AO375" s="31">
        <f t="shared" si="272"/>
        <v>1.5707961840199602</v>
      </c>
      <c r="AP375" s="31" t="str">
        <f t="shared" si="253"/>
        <v>1+756.353600390399i</v>
      </c>
      <c r="AQ375" s="31">
        <f t="shared" si="273"/>
        <v>756.35426145657391</v>
      </c>
      <c r="AR375" s="31">
        <f t="shared" si="274"/>
        <v>1.5694741946376543</v>
      </c>
      <c r="AS375" s="58" t="str">
        <f t="shared" si="275"/>
        <v>-1.1933721193825+1.80694943281027i</v>
      </c>
      <c r="AT375" s="49">
        <f t="shared" si="276"/>
        <v>6.7109905898758466</v>
      </c>
      <c r="AU375" s="61">
        <f t="shared" si="277"/>
        <v>123.44215717318386</v>
      </c>
      <c r="AV375" s="58" t="str">
        <f t="shared" si="254"/>
        <v>0.112642369021069-0.45709102313663i</v>
      </c>
      <c r="AW375" s="64">
        <f t="shared" si="278"/>
        <v>-6.54390056452793</v>
      </c>
      <c r="AX375" s="61">
        <f t="shared" si="279"/>
        <v>-76.156262700063465</v>
      </c>
    </row>
    <row r="376" spans="14:50" x14ac:dyDescent="0.3">
      <c r="N376" s="10">
        <v>58</v>
      </c>
      <c r="O376" s="50">
        <f t="shared" si="244"/>
        <v>38018.939632056143</v>
      </c>
      <c r="P376" s="48" t="str">
        <f t="shared" si="245"/>
        <v>51201.9230769231</v>
      </c>
      <c r="Q376" s="17" t="str">
        <f t="shared" si="246"/>
        <v>1+11163.0481581608i</v>
      </c>
      <c r="R376" s="17">
        <f t="shared" si="255"/>
        <v>11163.048202951433</v>
      </c>
      <c r="S376" s="17">
        <f t="shared" si="256"/>
        <v>1.5707067455279204</v>
      </c>
      <c r="T376" s="17" t="str">
        <f t="shared" si="247"/>
        <v>1+7.1664012867205E-07i</v>
      </c>
      <c r="U376" s="17">
        <f t="shared" si="257"/>
        <v>1.0000000000002567</v>
      </c>
      <c r="V376" s="17">
        <f t="shared" si="258"/>
        <v>7.1664012867192723E-7</v>
      </c>
      <c r="W376" s="31" t="str">
        <f t="shared" si="248"/>
        <v>1-0.386985669482906i</v>
      </c>
      <c r="X376" s="17">
        <f t="shared" si="259"/>
        <v>1.0722676477377899</v>
      </c>
      <c r="Y376" s="17">
        <f t="shared" si="260"/>
        <v>-0.36923702815291509</v>
      </c>
      <c r="Z376" s="31" t="str">
        <f t="shared" si="249"/>
        <v>0.421824091701627+23.6152607882455i</v>
      </c>
      <c r="AA376" s="17">
        <f t="shared" si="261"/>
        <v>23.619027872907584</v>
      </c>
      <c r="AB376" s="17">
        <f t="shared" si="262"/>
        <v>1.5529358745574637</v>
      </c>
      <c r="AC376" s="66" t="str">
        <f t="shared" si="263"/>
        <v>-0.195514187096783+0.0716533784668359i</v>
      </c>
      <c r="AD376" s="64">
        <f t="shared" si="264"/>
        <v>-13.629106863873005</v>
      </c>
      <c r="AE376" s="61">
        <f t="shared" si="265"/>
        <v>159.87277886926071</v>
      </c>
      <c r="AF376" s="31" t="str">
        <f t="shared" si="250"/>
        <v>-0.332666666666667</v>
      </c>
      <c r="AG376" s="31" t="str">
        <f t="shared" si="266"/>
        <v>238880.042890683i</v>
      </c>
      <c r="AH376" s="31">
        <f t="shared" si="267"/>
        <v>238880.04289068299</v>
      </c>
      <c r="AI376" s="31">
        <f t="shared" si="268"/>
        <v>1.5707963267948966</v>
      </c>
      <c r="AJ376" s="31" t="str">
        <f t="shared" si="251"/>
        <v>-3043.52281157776+1969.9163906566i</v>
      </c>
      <c r="AK376" s="31">
        <f t="shared" si="269"/>
        <v>3625.4105547884806</v>
      </c>
      <c r="AL376" s="31">
        <f t="shared" si="270"/>
        <v>2.5671539472143587</v>
      </c>
      <c r="AM376" s="31" t="str">
        <f t="shared" si="252"/>
        <v>1+7167175.25805947i</v>
      </c>
      <c r="AN376" s="31">
        <f t="shared" si="271"/>
        <v>7167175.2580595398</v>
      </c>
      <c r="AO376" s="31">
        <f t="shared" si="272"/>
        <v>1.5707961872699145</v>
      </c>
      <c r="AP376" s="31" t="str">
        <f t="shared" si="253"/>
        <v>1+773.971338965813i</v>
      </c>
      <c r="AQ376" s="31">
        <f t="shared" si="273"/>
        <v>773.97198498429725</v>
      </c>
      <c r="AR376" s="31">
        <f t="shared" si="274"/>
        <v>1.5695042900059335</v>
      </c>
      <c r="AS376" s="58" t="str">
        <f t="shared" si="275"/>
        <v>-1.15549435102025+1.79030723759999i</v>
      </c>
      <c r="AT376" s="49">
        <f t="shared" si="276"/>
        <v>6.5709097765672748</v>
      </c>
      <c r="AU376" s="61">
        <f t="shared" si="277"/>
        <v>122.83887721509134</v>
      </c>
      <c r="AV376" s="58" t="str">
        <f t="shared" si="254"/>
        <v>0.0976339766669814-0.432825538262794i</v>
      </c>
      <c r="AW376" s="64">
        <f t="shared" si="278"/>
        <v>-7.0581970873057323</v>
      </c>
      <c r="AX376" s="61">
        <f t="shared" si="279"/>
        <v>-77.288343915647943</v>
      </c>
    </row>
    <row r="377" spans="14:50" x14ac:dyDescent="0.3">
      <c r="N377" s="10">
        <v>59</v>
      </c>
      <c r="O377" s="50">
        <f t="shared" si="244"/>
        <v>38904.514499428085</v>
      </c>
      <c r="P377" s="48" t="str">
        <f t="shared" si="245"/>
        <v>51201.9230769231</v>
      </c>
      <c r="Q377" s="17" t="str">
        <f t="shared" si="246"/>
        <v>1+11423.0689527385i</v>
      </c>
      <c r="R377" s="17">
        <f t="shared" si="255"/>
        <v>11423.068996509573</v>
      </c>
      <c r="S377" s="17">
        <f t="shared" si="256"/>
        <v>1.5707087846464964</v>
      </c>
      <c r="T377" s="17" t="str">
        <f t="shared" si="247"/>
        <v>1+7.33332821657287E-07i</v>
      </c>
      <c r="U377" s="17">
        <f t="shared" si="257"/>
        <v>1.0000000000002689</v>
      </c>
      <c r="V377" s="17">
        <f t="shared" si="258"/>
        <v>7.3333282165715546E-7</v>
      </c>
      <c r="W377" s="31" t="str">
        <f t="shared" si="248"/>
        <v>1-0.395999723694934i</v>
      </c>
      <c r="X377" s="17">
        <f t="shared" si="259"/>
        <v>1.0755537091035781</v>
      </c>
      <c r="Y377" s="17">
        <f t="shared" si="260"/>
        <v>-0.37705311331266222</v>
      </c>
      <c r="Z377" s="31" t="str">
        <f t="shared" si="249"/>
        <v>0.394575500625514+24.1653308754941i</v>
      </c>
      <c r="AA377" s="17">
        <f t="shared" si="261"/>
        <v>24.168552007677295</v>
      </c>
      <c r="AB377" s="17">
        <f t="shared" si="262"/>
        <v>1.5544696130214086</v>
      </c>
      <c r="AC377" s="66" t="str">
        <f t="shared" si="263"/>
        <v>-0.18664162282083+0.0703884463146986i</v>
      </c>
      <c r="AD377" s="64">
        <f t="shared" si="264"/>
        <v>-14.002301130093164</v>
      </c>
      <c r="AE377" s="61">
        <f t="shared" si="265"/>
        <v>159.33695755996393</v>
      </c>
      <c r="AF377" s="31" t="str">
        <f t="shared" si="250"/>
        <v>-0.332666666666667</v>
      </c>
      <c r="AG377" s="31" t="str">
        <f t="shared" si="266"/>
        <v>244444.273885762i</v>
      </c>
      <c r="AH377" s="31">
        <f t="shared" si="267"/>
        <v>244444.273885762</v>
      </c>
      <c r="AI377" s="31">
        <f t="shared" si="268"/>
        <v>1.5707963267948966</v>
      </c>
      <c r="AJ377" s="31" t="str">
        <f t="shared" si="251"/>
        <v>-3187.00675119527+2015.8016379379i</v>
      </c>
      <c r="AK377" s="31">
        <f t="shared" si="269"/>
        <v>3771.0036165028205</v>
      </c>
      <c r="AL377" s="31">
        <f t="shared" si="270"/>
        <v>2.5776137973669182</v>
      </c>
      <c r="AM377" s="31" t="str">
        <f t="shared" si="252"/>
        <v>1+7334120.21602026i</v>
      </c>
      <c r="AN377" s="31">
        <f t="shared" si="271"/>
        <v>7334120.216020328</v>
      </c>
      <c r="AO377" s="31">
        <f t="shared" si="272"/>
        <v>1.5707961904458907</v>
      </c>
      <c r="AP377" s="31" t="str">
        <f t="shared" si="253"/>
        <v>1+791.999447389869i</v>
      </c>
      <c r="AQ377" s="31">
        <f t="shared" si="273"/>
        <v>792.00007870318927</v>
      </c>
      <c r="AR377" s="31">
        <f t="shared" si="274"/>
        <v>1.5695337003222558</v>
      </c>
      <c r="AS377" s="58" t="str">
        <f t="shared" si="275"/>
        <v>-1.1183257003293+1.7730384009018i</v>
      </c>
      <c r="AT377" s="49">
        <f t="shared" si="276"/>
        <v>6.4289143679674616</v>
      </c>
      <c r="AU377" s="61">
        <f t="shared" si="277"/>
        <v>122.2412572159799</v>
      </c>
      <c r="AV377" s="58" t="str">
        <f t="shared" si="254"/>
        <v>0.0839247052559264-0.409639972987938i</v>
      </c>
      <c r="AW377" s="64">
        <f t="shared" si="278"/>
        <v>-7.5733867621257032</v>
      </c>
      <c r="AX377" s="61">
        <f t="shared" si="279"/>
        <v>-78.421785224056137</v>
      </c>
    </row>
    <row r="378" spans="14:50" x14ac:dyDescent="0.3">
      <c r="N378" s="10">
        <v>60</v>
      </c>
      <c r="O378" s="50">
        <f t="shared" si="244"/>
        <v>39810.717055349742</v>
      </c>
      <c r="P378" s="48" t="str">
        <f t="shared" si="245"/>
        <v>51201.9230769231</v>
      </c>
      <c r="Q378" s="17" t="str">
        <f t="shared" si="246"/>
        <v>1+11689.1464096771i</v>
      </c>
      <c r="R378" s="17">
        <f t="shared" si="255"/>
        <v>11689.146452451821</v>
      </c>
      <c r="S378" s="17">
        <f t="shared" si="256"/>
        <v>1.5707107773490678</v>
      </c>
      <c r="T378" s="17" t="str">
        <f t="shared" si="247"/>
        <v>1+7.50414337411372E-07i</v>
      </c>
      <c r="U378" s="17">
        <f t="shared" si="257"/>
        <v>1.0000000000002816</v>
      </c>
      <c r="V378" s="17">
        <f t="shared" si="258"/>
        <v>7.5041433741123118E-7</v>
      </c>
      <c r="W378" s="31" t="str">
        <f t="shared" si="248"/>
        <v>1-0.40522374220214i</v>
      </c>
      <c r="X378" s="17">
        <f t="shared" si="259"/>
        <v>1.0789839114853874</v>
      </c>
      <c r="Y378" s="17">
        <f t="shared" si="260"/>
        <v>-0.38500147583980432</v>
      </c>
      <c r="Z378" s="31" t="str">
        <f t="shared" si="249"/>
        <v>0.366042723015554+24.7282137410388i</v>
      </c>
      <c r="AA378" s="17">
        <f t="shared" si="261"/>
        <v>24.730922791064081</v>
      </c>
      <c r="AB378" s="17">
        <f t="shared" si="262"/>
        <v>1.5559947727948369</v>
      </c>
      <c r="AC378" s="66" t="str">
        <f t="shared" si="263"/>
        <v>-0.178167054557488+0.0691277272208588i</v>
      </c>
      <c r="AD378" s="64">
        <f t="shared" si="264"/>
        <v>-14.374437592954813</v>
      </c>
      <c r="AE378" s="61">
        <f t="shared" si="265"/>
        <v>158.79405152026976</v>
      </c>
      <c r="AF378" s="31" t="str">
        <f t="shared" si="250"/>
        <v>-0.332666666666667</v>
      </c>
      <c r="AG378" s="31" t="str">
        <f t="shared" si="266"/>
        <v>250138.112470457i</v>
      </c>
      <c r="AH378" s="31">
        <f t="shared" si="267"/>
        <v>250138.11247045701</v>
      </c>
      <c r="AI378" s="31">
        <f t="shared" si="268"/>
        <v>1.5707963267948966</v>
      </c>
      <c r="AJ378" s="31" t="str">
        <f t="shared" si="251"/>
        <v>-3337.25288055555+2062.75568992991i</v>
      </c>
      <c r="AK378" s="31">
        <f t="shared" si="269"/>
        <v>3923.291707879308</v>
      </c>
      <c r="AL378" s="31">
        <f t="shared" si="270"/>
        <v>2.5879705983274501</v>
      </c>
      <c r="AM378" s="31" t="str">
        <f t="shared" si="252"/>
        <v>1+7504953.82159813i</v>
      </c>
      <c r="AN378" s="31">
        <f t="shared" si="271"/>
        <v>7504953.8215981973</v>
      </c>
      <c r="AO378" s="31">
        <f t="shared" si="272"/>
        <v>1.5707961935495731</v>
      </c>
      <c r="AP378" s="31" t="str">
        <f t="shared" si="253"/>
        <v>1+810.447484404281i</v>
      </c>
      <c r="AQ378" s="31">
        <f t="shared" si="273"/>
        <v>810.4481013471667</v>
      </c>
      <c r="AR378" s="31">
        <f t="shared" si="274"/>
        <v>1.5695624411801565</v>
      </c>
      <c r="AS378" s="58" t="str">
        <f t="shared" si="275"/>
        <v>-1.08188472827588+1.75517881212135i</v>
      </c>
      <c r="AT378" s="49">
        <f t="shared" si="276"/>
        <v>6.285041027330692</v>
      </c>
      <c r="AU378" s="61">
        <f t="shared" si="277"/>
        <v>121.6495031393695</v>
      </c>
      <c r="AV378" s="58" t="str">
        <f t="shared" si="254"/>
        <v>0.0714246932594861-0.387503271558039i</v>
      </c>
      <c r="AW378" s="64">
        <f t="shared" si="278"/>
        <v>-8.0893965656241313</v>
      </c>
      <c r="AX378" s="61">
        <f t="shared" si="279"/>
        <v>-79.556445340360725</v>
      </c>
    </row>
    <row r="379" spans="14:50" x14ac:dyDescent="0.3">
      <c r="N379" s="10">
        <v>61</v>
      </c>
      <c r="O379" s="50">
        <f t="shared" si="244"/>
        <v>40738.027780411358</v>
      </c>
      <c r="P379" s="48" t="str">
        <f t="shared" si="245"/>
        <v>51201.9230769231</v>
      </c>
      <c r="Q379" s="17" t="str">
        <f t="shared" si="246"/>
        <v>1+11961.4216067664i</v>
      </c>
      <c r="R379" s="17">
        <f t="shared" si="255"/>
        <v>11961.42164856745</v>
      </c>
      <c r="S379" s="17">
        <f t="shared" si="256"/>
        <v>1.5707127246921913</v>
      </c>
      <c r="T379" s="17" t="str">
        <f t="shared" si="247"/>
        <v>1+7.67893732780063E-07i</v>
      </c>
      <c r="U379" s="17">
        <f t="shared" si="257"/>
        <v>1.0000000000002949</v>
      </c>
      <c r="V379" s="17">
        <f t="shared" si="258"/>
        <v>7.6789373277991206E-7</v>
      </c>
      <c r="W379" s="31" t="str">
        <f t="shared" si="248"/>
        <v>1-0.414662615701233i</v>
      </c>
      <c r="X379" s="17">
        <f t="shared" si="259"/>
        <v>1.0825641250568894</v>
      </c>
      <c r="Y379" s="17">
        <f t="shared" si="260"/>
        <v>-0.39308231182747605</v>
      </c>
      <c r="Z379" s="31" t="str">
        <f t="shared" si="249"/>
        <v>0.336165237024974+25.3042078328257i</v>
      </c>
      <c r="AA379" s="17">
        <f t="shared" si="261"/>
        <v>25.306440704165045</v>
      </c>
      <c r="AB379" s="17">
        <f t="shared" si="262"/>
        <v>1.5575121542676038</v>
      </c>
      <c r="AC379" s="66" t="str">
        <f t="shared" si="263"/>
        <v>-0.170072687422125+0.0678727554056608i</v>
      </c>
      <c r="AD379" s="64">
        <f t="shared" si="264"/>
        <v>-14.745479258757525</v>
      </c>
      <c r="AE379" s="61">
        <f t="shared" si="265"/>
        <v>158.24400359589117</v>
      </c>
      <c r="AF379" s="31" t="str">
        <f t="shared" si="250"/>
        <v>-0.332666666666667</v>
      </c>
      <c r="AG379" s="31" t="str">
        <f t="shared" si="266"/>
        <v>255964.577593354i</v>
      </c>
      <c r="AH379" s="31">
        <f t="shared" si="267"/>
        <v>255964.57759335401</v>
      </c>
      <c r="AI379" s="31">
        <f t="shared" si="268"/>
        <v>1.5707963267948966</v>
      </c>
      <c r="AJ379" s="31" t="str">
        <f t="shared" si="251"/>
        <v>-3494.57989184288+2110.80344229254i</v>
      </c>
      <c r="AK379" s="31">
        <f t="shared" si="269"/>
        <v>4082.5947377209304</v>
      </c>
      <c r="AL379" s="31">
        <f t="shared" si="270"/>
        <v>2.5982209828832046</v>
      </c>
      <c r="AM379" s="31" t="str">
        <f t="shared" si="252"/>
        <v>1+7679766.65303203i</v>
      </c>
      <c r="AN379" s="31">
        <f t="shared" si="271"/>
        <v>7679766.6530320952</v>
      </c>
      <c r="AO379" s="31">
        <f t="shared" si="272"/>
        <v>1.5707961965826069</v>
      </c>
      <c r="AP379" s="31" t="str">
        <f t="shared" si="253"/>
        <v>1+829.325231402467i</v>
      </c>
      <c r="AQ379" s="31">
        <f t="shared" si="273"/>
        <v>829.3258343020284</v>
      </c>
      <c r="AR379" s="31">
        <f t="shared" si="274"/>
        <v>1.5695905278182292</v>
      </c>
      <c r="AS379" s="58" t="str">
        <f t="shared" si="275"/>
        <v>-1.04618776449994+1.73676468738934i</v>
      </c>
      <c r="AT379" s="49">
        <f t="shared" si="276"/>
        <v>6.1393273079582666</v>
      </c>
      <c r="AU379" s="61">
        <f t="shared" si="277"/>
        <v>121.06380878554097</v>
      </c>
      <c r="AV379" s="58" t="str">
        <f t="shared" si="254"/>
        <v>0.0600489598322844-0.366383884052451i</v>
      </c>
      <c r="AW379" s="64">
        <f t="shared" si="278"/>
        <v>-8.6061519507992656</v>
      </c>
      <c r="AX379" s="61">
        <f t="shared" si="279"/>
        <v>-80.692187618567814</v>
      </c>
    </row>
    <row r="380" spans="14:50" x14ac:dyDescent="0.3">
      <c r="N380" s="10">
        <v>62</v>
      </c>
      <c r="O380" s="50">
        <f t="shared" si="244"/>
        <v>41686.938347033625</v>
      </c>
      <c r="P380" s="48" t="str">
        <f t="shared" si="245"/>
        <v>51201.9230769231</v>
      </c>
      <c r="Q380" s="17" t="str">
        <f t="shared" si="246"/>
        <v>1+12240.0389079196i</v>
      </c>
      <c r="R380" s="17">
        <f t="shared" si="255"/>
        <v>12240.038948769143</v>
      </c>
      <c r="S380" s="17">
        <f t="shared" si="256"/>
        <v>1.5707146277083743</v>
      </c>
      <c r="T380" s="17" t="str">
        <f t="shared" si="247"/>
        <v>1+7.8578027557015E-07i</v>
      </c>
      <c r="U380" s="17">
        <f t="shared" si="257"/>
        <v>1.0000000000003086</v>
      </c>
      <c r="V380" s="17">
        <f t="shared" si="258"/>
        <v>7.8578027556998835E-7</v>
      </c>
      <c r="W380" s="31" t="str">
        <f t="shared" si="248"/>
        <v>1-0.42432134880788i</v>
      </c>
      <c r="X380" s="17">
        <f t="shared" si="259"/>
        <v>1.0863004220997701</v>
      </c>
      <c r="Y380" s="17">
        <f t="shared" si="260"/>
        <v>-0.4012956833728164</v>
      </c>
      <c r="Z380" s="31" t="str">
        <f t="shared" si="249"/>
        <v>0.304879668500245+25.8936185505464i</v>
      </c>
      <c r="AA380" s="17">
        <f t="shared" si="261"/>
        <v>25.895413363247659</v>
      </c>
      <c r="AB380" s="17">
        <f t="shared" si="262"/>
        <v>1.5590225540359286</v>
      </c>
      <c r="AC380" s="66" t="str">
        <f t="shared" si="263"/>
        <v>-0.162341517127973+0.0666249218952085i</v>
      </c>
      <c r="AD380" s="64">
        <f t="shared" si="264"/>
        <v>-15.115388532684548</v>
      </c>
      <c r="AE380" s="61">
        <f t="shared" si="265"/>
        <v>157.68676452869562</v>
      </c>
      <c r="AF380" s="31" t="str">
        <f t="shared" si="250"/>
        <v>-0.332666666666667</v>
      </c>
      <c r="AG380" s="31" t="str">
        <f t="shared" si="266"/>
        <v>261926.758523383i</v>
      </c>
      <c r="AH380" s="31">
        <f t="shared" si="267"/>
        <v>261926.758523383</v>
      </c>
      <c r="AI380" s="31">
        <f t="shared" si="268"/>
        <v>1.5707963267948966</v>
      </c>
      <c r="AJ380" s="31" t="str">
        <f t="shared" si="251"/>
        <v>-3659.32149674137+2159.97037058005i</v>
      </c>
      <c r="AK380" s="31">
        <f t="shared" si="269"/>
        <v>4249.2476767419921</v>
      </c>
      <c r="AL380" s="31">
        <f t="shared" si="270"/>
        <v>2.608361797217742</v>
      </c>
      <c r="AM380" s="31" t="str">
        <f t="shared" si="252"/>
        <v>1+7858651.39839912i</v>
      </c>
      <c r="AN380" s="31">
        <f t="shared" si="271"/>
        <v>7858651.3983991826</v>
      </c>
      <c r="AO380" s="31">
        <f t="shared" si="272"/>
        <v>1.5707961995466004</v>
      </c>
      <c r="AP380" s="31" t="str">
        <f t="shared" si="253"/>
        <v>1+848.642697615761i</v>
      </c>
      <c r="AQ380" s="31">
        <f t="shared" si="273"/>
        <v>848.64328679166249</v>
      </c>
      <c r="AR380" s="31">
        <f t="shared" si="274"/>
        <v>1.5696179751282036</v>
      </c>
      <c r="AS380" s="58" t="str">
        <f t="shared" si="275"/>
        <v>-1.01124893430765+1.71783241570686i</v>
      </c>
      <c r="AT380" s="49">
        <f t="shared" si="276"/>
        <v>5.9918115399883698</v>
      </c>
      <c r="AU380" s="61">
        <f t="shared" si="277"/>
        <v>120.48435570819119</v>
      </c>
      <c r="AV380" s="58" t="str">
        <f t="shared" si="254"/>
        <v>0.0497172356640229-0.346249901802323i</v>
      </c>
      <c r="AW380" s="64">
        <f t="shared" si="278"/>
        <v>-9.123576992696167</v>
      </c>
      <c r="AX380" s="61">
        <f t="shared" si="279"/>
        <v>-81.828879763113207</v>
      </c>
    </row>
    <row r="381" spans="14:50" x14ac:dyDescent="0.3">
      <c r="N381" s="10">
        <v>63</v>
      </c>
      <c r="O381" s="50">
        <f t="shared" si="244"/>
        <v>42657.951880159271</v>
      </c>
      <c r="P381" s="48" t="str">
        <f t="shared" si="245"/>
        <v>51201.9230769231</v>
      </c>
      <c r="Q381" s="17" t="str">
        <f t="shared" si="246"/>
        <v>1+12525.1460397179i</v>
      </c>
      <c r="R381" s="17">
        <f t="shared" si="255"/>
        <v>12525.146079637592</v>
      </c>
      <c r="S381" s="17">
        <f t="shared" si="256"/>
        <v>1.5707164874066208</v>
      </c>
      <c r="T381" s="17" t="str">
        <f t="shared" si="247"/>
        <v>1+8.04083449463374E-07i</v>
      </c>
      <c r="U381" s="17">
        <f t="shared" si="257"/>
        <v>1.0000000000003233</v>
      </c>
      <c r="V381" s="17">
        <f t="shared" si="258"/>
        <v>8.0408344946320066E-7</v>
      </c>
      <c r="W381" s="31" t="str">
        <f t="shared" si="248"/>
        <v>1-0.434205062710221i</v>
      </c>
      <c r="X381" s="17">
        <f t="shared" si="259"/>
        <v>1.090199081123804</v>
      </c>
      <c r="Y381" s="17">
        <f t="shared" si="260"/>
        <v>-0.40964151170586427</v>
      </c>
      <c r="Z381" s="31" t="str">
        <f t="shared" si="249"/>
        <v>0.272119656556002+26.496758407565i</v>
      </c>
      <c r="AA381" s="17">
        <f t="shared" si="261"/>
        <v>26.498155694620539</v>
      </c>
      <c r="AB381" s="17">
        <f t="shared" si="262"/>
        <v>1.5605267652871431</v>
      </c>
      <c r="AC381" s="66" t="str">
        <f t="shared" si="263"/>
        <v>-0.154957295306811+0.0653854849358887i</v>
      </c>
      <c r="AD381" s="64">
        <f t="shared" si="264"/>
        <v>-15.484127255748103</v>
      </c>
      <c r="AE381" s="61">
        <f t="shared" si="265"/>
        <v>157.1222933283145</v>
      </c>
      <c r="AF381" s="31" t="str">
        <f t="shared" si="250"/>
        <v>-0.332666666666667</v>
      </c>
      <c r="AG381" s="31" t="str">
        <f t="shared" si="266"/>
        <v>268027.816487791i</v>
      </c>
      <c r="AH381" s="31">
        <f t="shared" si="267"/>
        <v>268027.81648779102</v>
      </c>
      <c r="AI381" s="31">
        <f t="shared" si="268"/>
        <v>1.5707963267948966</v>
      </c>
      <c r="AJ381" s="31" t="str">
        <f t="shared" si="251"/>
        <v>-3831.82713428228+2210.28254374862i</v>
      </c>
      <c r="AK381" s="31">
        <f t="shared" si="269"/>
        <v>4423.6012603106328</v>
      </c>
      <c r="AL381" s="31">
        <f t="shared" si="270"/>
        <v>2.6183901014882034</v>
      </c>
      <c r="AM381" s="31" t="str">
        <f t="shared" si="252"/>
        <v>1+8041702.90475916i</v>
      </c>
      <c r="AN381" s="31">
        <f t="shared" si="271"/>
        <v>8041702.9047592226</v>
      </c>
      <c r="AO381" s="31">
        <f t="shared" si="272"/>
        <v>1.5707962024431255</v>
      </c>
      <c r="AP381" s="31" t="str">
        <f t="shared" si="253"/>
        <v>1+868.410125420443i</v>
      </c>
      <c r="AQ381" s="31">
        <f t="shared" si="273"/>
        <v>868.41070118507264</v>
      </c>
      <c r="AR381" s="31">
        <f t="shared" si="274"/>
        <v>1.5696447976628412</v>
      </c>
      <c r="AS381" s="58" t="str">
        <f t="shared" si="275"/>
        <v>-0.977080196978725+1.69841841146075i</v>
      </c>
      <c r="AT381" s="49">
        <f t="shared" si="276"/>
        <v>5.8425327188546294</v>
      </c>
      <c r="AU381" s="61">
        <f t="shared" si="277"/>
        <v>119.91131318180982</v>
      </c>
      <c r="AV381" s="58" t="str">
        <f t="shared" si="254"/>
        <v>0.0403537931642665-0.327069185839956i</v>
      </c>
      <c r="AW381" s="64">
        <f t="shared" si="278"/>
        <v>-9.6415945368934715</v>
      </c>
      <c r="AX381" s="61">
        <f t="shared" si="279"/>
        <v>-82.966393489875671</v>
      </c>
    </row>
    <row r="382" spans="14:50" x14ac:dyDescent="0.3">
      <c r="N382" s="10">
        <v>64</v>
      </c>
      <c r="O382" s="50">
        <f t="shared" si="244"/>
        <v>43651.583224016598</v>
      </c>
      <c r="P382" s="48" t="str">
        <f t="shared" si="245"/>
        <v>51201.9230769231</v>
      </c>
      <c r="Q382" s="17" t="str">
        <f t="shared" si="246"/>
        <v>1+12816.8941697364i</v>
      </c>
      <c r="R382" s="17">
        <f t="shared" si="255"/>
        <v>12816.894208747412</v>
      </c>
      <c r="S382" s="17">
        <f t="shared" si="256"/>
        <v>1.5707183047729678</v>
      </c>
      <c r="T382" s="17" t="str">
        <f t="shared" si="247"/>
        <v>1+8.22812959044805E-07i</v>
      </c>
      <c r="U382" s="17">
        <f t="shared" si="257"/>
        <v>1.0000000000003384</v>
      </c>
      <c r="V382" s="17">
        <f t="shared" si="258"/>
        <v>8.2281295904461924E-7</v>
      </c>
      <c r="W382" s="31" t="str">
        <f t="shared" si="248"/>
        <v>1-0.444318997884194i</v>
      </c>
      <c r="X382" s="17">
        <f t="shared" si="259"/>
        <v>1.09426659086386</v>
      </c>
      <c r="Y382" s="17">
        <f t="shared" si="260"/>
        <v>-0.41811957035815966</v>
      </c>
      <c r="Z382" s="31" t="str">
        <f t="shared" si="249"/>
        <v>0.2378157128147+27.1139471966174i</v>
      </c>
      <c r="AA382" s="17">
        <f t="shared" si="261"/>
        <v>27.114990114219442</v>
      </c>
      <c r="AB382" s="17">
        <f t="shared" si="262"/>
        <v>1.5620255781840078</v>
      </c>
      <c r="AC382" s="66" t="str">
        <f t="shared" si="263"/>
        <v>-0.147904496311674+0.0641555797017126i</v>
      </c>
      <c r="AD382" s="64">
        <f t="shared" si="264"/>
        <v>-15.85165674635644</v>
      </c>
      <c r="AE382" s="61">
        <f t="shared" si="265"/>
        <v>156.55055764150376</v>
      </c>
      <c r="AF382" s="31" t="str">
        <f t="shared" si="250"/>
        <v>-0.332666666666667</v>
      </c>
      <c r="AG382" s="31" t="str">
        <f t="shared" si="266"/>
        <v>274270.986348268i</v>
      </c>
      <c r="AH382" s="31">
        <f t="shared" si="267"/>
        <v>274270.98634826799</v>
      </c>
      <c r="AI382" s="31">
        <f t="shared" si="268"/>
        <v>1.5707963267948966</v>
      </c>
      <c r="AJ382" s="31" t="str">
        <f t="shared" si="251"/>
        <v>-4012.46271205108+2261.76663797844i</v>
      </c>
      <c r="AK382" s="31">
        <f t="shared" si="269"/>
        <v>4606.022724680437</v>
      </c>
      <c r="AL382" s="31">
        <f t="shared" si="270"/>
        <v>2.6283031695569998</v>
      </c>
      <c r="AM382" s="31" t="str">
        <f t="shared" si="252"/>
        <v>1+8229018.22844382i</v>
      </c>
      <c r="AN382" s="31">
        <f t="shared" si="271"/>
        <v>8229018.2284438824</v>
      </c>
      <c r="AO382" s="31">
        <f t="shared" si="272"/>
        <v>1.5707962052737172</v>
      </c>
      <c r="AP382" s="31" t="str">
        <f t="shared" si="253"/>
        <v>1+888.637995768388i</v>
      </c>
      <c r="AQ382" s="31">
        <f t="shared" si="273"/>
        <v>888.6385584270231</v>
      </c>
      <c r="AR382" s="31">
        <f t="shared" si="274"/>
        <v>1.5696710096436506</v>
      </c>
      <c r="AS382" s="58" t="str">
        <f t="shared" si="275"/>
        <v>-0.943691394438734+1.6785589741222i</v>
      </c>
      <c r="AT382" s="49">
        <f t="shared" si="276"/>
        <v>5.691530395968595</v>
      </c>
      <c r="AU382" s="61">
        <f t="shared" si="277"/>
        <v>119.34483821749592</v>
      </c>
      <c r="AV382" s="58" t="str">
        <f t="shared" si="254"/>
        <v>0.0318872763198005-0.308809488066719i</v>
      </c>
      <c r="AW382" s="64">
        <f t="shared" si="278"/>
        <v>-10.160126350387838</v>
      </c>
      <c r="AX382" s="61">
        <f t="shared" si="279"/>
        <v>-84.104604141000337</v>
      </c>
    </row>
    <row r="383" spans="14:50" x14ac:dyDescent="0.3">
      <c r="N383" s="10">
        <v>65</v>
      </c>
      <c r="O383" s="50">
        <f t="shared" si="244"/>
        <v>44668.359215096389</v>
      </c>
      <c r="P383" s="48" t="str">
        <f t="shared" si="245"/>
        <v>51201.9230769231</v>
      </c>
      <c r="Q383" s="17" t="str">
        <f t="shared" si="246"/>
        <v>1+13115.4379866953i</v>
      </c>
      <c r="R383" s="17">
        <f t="shared" si="255"/>
        <v>13115.438024818312</v>
      </c>
      <c r="S383" s="17">
        <f t="shared" si="256"/>
        <v>1.5707200807710067</v>
      </c>
      <c r="T383" s="17" t="str">
        <f t="shared" si="247"/>
        <v>1+8.41978734948343E-07i</v>
      </c>
      <c r="U383" s="17">
        <f t="shared" si="257"/>
        <v>1.0000000000003544</v>
      </c>
      <c r="V383" s="17">
        <f t="shared" si="258"/>
        <v>8.419787349481441E-7</v>
      </c>
      <c r="W383" s="31" t="str">
        <f t="shared" si="248"/>
        <v>1-0.454668516872105i</v>
      </c>
      <c r="X383" s="17">
        <f t="shared" si="259"/>
        <v>1.0985096541381325</v>
      </c>
      <c r="Y383" s="17">
        <f t="shared" si="260"/>
        <v>-0.42672947840902026</v>
      </c>
      <c r="Z383" s="31" t="str">
        <f t="shared" si="249"/>
        <v>0.201895074012441+27.7455121593691i</v>
      </c>
      <c r="AA383" s="17">
        <f t="shared" si="261"/>
        <v>27.746246712061961</v>
      </c>
      <c r="AB383" s="17">
        <f t="shared" si="262"/>
        <v>1.5635197802486291</v>
      </c>
      <c r="AC383" s="66" t="str">
        <f t="shared" si="263"/>
        <v>-0.141168285441718+0.062936227341132i</v>
      </c>
      <c r="AD383" s="64">
        <f t="shared" si="264"/>
        <v>-16.217937846638844</v>
      </c>
      <c r="AE383" s="61">
        <f t="shared" si="265"/>
        <v>155.97153411707731</v>
      </c>
      <c r="AF383" s="31" t="str">
        <f t="shared" si="250"/>
        <v>-0.332666666666667</v>
      </c>
      <c r="AG383" s="31" t="str">
        <f t="shared" si="266"/>
        <v>280659.578316114i</v>
      </c>
      <c r="AH383" s="31">
        <f t="shared" si="267"/>
        <v>280659.57831611403</v>
      </c>
      <c r="AI383" s="31">
        <f t="shared" si="268"/>
        <v>1.5707963267948966</v>
      </c>
      <c r="AJ383" s="31" t="str">
        <f t="shared" si="251"/>
        <v>-4201.6113823265+2314.44995081775i</v>
      </c>
      <c r="AK383" s="31">
        <f t="shared" si="269"/>
        <v>4796.896578303089</v>
      </c>
      <c r="AL383" s="31">
        <f t="shared" si="270"/>
        <v>2.6380984879221949</v>
      </c>
      <c r="AM383" s="31" t="str">
        <f t="shared" si="252"/>
        <v>1+8420696.68651718i</v>
      </c>
      <c r="AN383" s="31">
        <f t="shared" si="271"/>
        <v>8420696.6865172405</v>
      </c>
      <c r="AO383" s="31">
        <f t="shared" si="272"/>
        <v>1.570796208039877</v>
      </c>
      <c r="AP383" s="31" t="str">
        <f t="shared" si="253"/>
        <v>1+909.337033744209i</v>
      </c>
      <c r="AQ383" s="31">
        <f t="shared" si="273"/>
        <v>909.33758359517753</v>
      </c>
      <c r="AR383" s="31">
        <f t="shared" si="274"/>
        <v>1.5696966249684268</v>
      </c>
      <c r="AS383" s="58" t="str">
        <f t="shared" si="275"/>
        <v>-0.911090309299785+1.6582901558123i</v>
      </c>
      <c r="AT383" s="49">
        <f t="shared" si="276"/>
        <v>5.5388445721287436</v>
      </c>
      <c r="AU383" s="61">
        <f t="shared" si="277"/>
        <v>118.78507562467314</v>
      </c>
      <c r="AV383" s="58" t="str">
        <f t="shared" si="254"/>
        <v>0.0242505306026511-0.291438564895295i</v>
      </c>
      <c r="AW383" s="64">
        <f t="shared" si="278"/>
        <v>-10.679093274510109</v>
      </c>
      <c r="AX383" s="61">
        <f t="shared" si="279"/>
        <v>-85.243390258249534</v>
      </c>
    </row>
    <row r="384" spans="14:50" x14ac:dyDescent="0.3">
      <c r="N384" s="10">
        <v>66</v>
      </c>
      <c r="O384" s="50">
        <f t="shared" ref="O384:O418" si="280">10^(4+(N384/100))</f>
        <v>45708.818961487581</v>
      </c>
      <c r="P384" s="48" t="str">
        <f t="shared" si="245"/>
        <v>51201.9230769231</v>
      </c>
      <c r="Q384" s="17" t="str">
        <f t="shared" si="246"/>
        <v>1+13420.9357824781i</v>
      </c>
      <c r="R384" s="17">
        <f t="shared" si="255"/>
        <v>13420.935819733326</v>
      </c>
      <c r="S384" s="17">
        <f t="shared" si="256"/>
        <v>1.5707218163423948</v>
      </c>
      <c r="T384" s="17" t="str">
        <f t="shared" si="247"/>
        <v>1+8.61590939122051E-07i</v>
      </c>
      <c r="U384" s="17">
        <f t="shared" si="257"/>
        <v>1.0000000000003713</v>
      </c>
      <c r="V384" s="17">
        <f t="shared" si="258"/>
        <v>8.6159093912183774E-7</v>
      </c>
      <c r="W384" s="31" t="str">
        <f t="shared" si="248"/>
        <v>1-0.465259107125907i</v>
      </c>
      <c r="X384" s="17">
        <f t="shared" si="259"/>
        <v>1.1029351915518864</v>
      </c>
      <c r="Y384" s="17">
        <f t="shared" si="260"/>
        <v>-0.4354706938503014</v>
      </c>
      <c r="Z384" s="31" t="str">
        <f t="shared" si="249"/>
        <v>0.164281547658383+28.3917881599227i</v>
      </c>
      <c r="AA384" s="17">
        <f t="shared" si="261"/>
        <v>28.392263441734048</v>
      </c>
      <c r="AB384" s="17">
        <f t="shared" si="262"/>
        <v>1.5650101567460144</v>
      </c>
      <c r="AC384" s="66" t="str">
        <f t="shared" si="263"/>
        <v>-0.134734488531505+0.0617283434069817i</v>
      </c>
      <c r="AD384" s="64">
        <f t="shared" si="264"/>
        <v>-16.582930973641883</v>
      </c>
      <c r="AE384" s="61">
        <f t="shared" si="265"/>
        <v>155.38520876407259</v>
      </c>
      <c r="AF384" s="31" t="str">
        <f t="shared" si="250"/>
        <v>-0.332666666666667</v>
      </c>
      <c r="AG384" s="31" t="str">
        <f t="shared" si="266"/>
        <v>287196.97970735i</v>
      </c>
      <c r="AH384" s="31">
        <f t="shared" si="267"/>
        <v>287196.97970735002</v>
      </c>
      <c r="AI384" s="31">
        <f t="shared" si="268"/>
        <v>1.5707963267948966</v>
      </c>
      <c r="AJ384" s="31" t="str">
        <f t="shared" si="251"/>
        <v>-4399.6743547977+2368.36041565634i</v>
      </c>
      <c r="AK384" s="31">
        <f t="shared" si="269"/>
        <v>4996.6254098853988</v>
      </c>
      <c r="AL384" s="31">
        <f t="shared" si="270"/>
        <v>2.6477737538944477</v>
      </c>
      <c r="AM384" s="31" t="str">
        <f t="shared" si="252"/>
        <v>1+8616839.90943477i</v>
      </c>
      <c r="AN384" s="31">
        <f t="shared" si="271"/>
        <v>8616839.909434827</v>
      </c>
      <c r="AO384" s="31">
        <f t="shared" si="272"/>
        <v>1.5707962107430713</v>
      </c>
      <c r="AP384" s="31" t="str">
        <f t="shared" si="253"/>
        <v>1+930.518214251814i</v>
      </c>
      <c r="AQ384" s="31">
        <f t="shared" si="273"/>
        <v>930.51875158665393</v>
      </c>
      <c r="AR384" s="31">
        <f t="shared" si="274"/>
        <v>1.5697216572186192</v>
      </c>
      <c r="AS384" s="58" t="str">
        <f t="shared" si="275"/>
        <v>-0.879282731243874+1.63764763728974i</v>
      </c>
      <c r="AT384" s="49">
        <f t="shared" si="276"/>
        <v>5.384515594107957</v>
      </c>
      <c r="AU384" s="61">
        <f t="shared" si="277"/>
        <v>118.2321581159658</v>
      </c>
      <c r="AV384" s="58" t="str">
        <f t="shared" si="254"/>
        <v>0.0173804333344748-0.274924283191111i</v>
      </c>
      <c r="AW384" s="64">
        <f t="shared" si="278"/>
        <v>-11.198415379533937</v>
      </c>
      <c r="AX384" s="61">
        <f t="shared" si="279"/>
        <v>-86.382633119961611</v>
      </c>
    </row>
    <row r="385" spans="14:50" x14ac:dyDescent="0.3">
      <c r="N385" s="10">
        <v>67</v>
      </c>
      <c r="O385" s="50">
        <f t="shared" si="280"/>
        <v>46773.514128719893</v>
      </c>
      <c r="P385" s="48" t="str">
        <f t="shared" si="245"/>
        <v>51201.9230769231</v>
      </c>
      <c r="Q385" s="17" t="str">
        <f t="shared" si="246"/>
        <v>1+13733.5495360599i</v>
      </c>
      <c r="R385" s="17">
        <f t="shared" si="255"/>
        <v>13733.549572467093</v>
      </c>
      <c r="S385" s="17">
        <f t="shared" si="256"/>
        <v>1.5707235124073555</v>
      </c>
      <c r="T385" s="17" t="str">
        <f t="shared" si="247"/>
        <v>1+8.81659970216191E-07i</v>
      </c>
      <c r="U385" s="17">
        <f t="shared" si="257"/>
        <v>1.0000000000003886</v>
      </c>
      <c r="V385" s="17">
        <f t="shared" si="258"/>
        <v>8.816599702159625E-7</v>
      </c>
      <c r="W385" s="31" t="str">
        <f t="shared" si="248"/>
        <v>1-0.476096383916742i</v>
      </c>
      <c r="X385" s="17">
        <f t="shared" si="259"/>
        <v>1.1075503450311404</v>
      </c>
      <c r="Y385" s="17">
        <f t="shared" si="260"/>
        <v>-0.44434250711323436</v>
      </c>
      <c r="Z385" s="31" t="str">
        <f t="shared" si="249"/>
        <v>0.124895350420173+29.0531178623687i</v>
      </c>
      <c r="AA385" s="17">
        <f t="shared" si="261"/>
        <v>29.053386315079415</v>
      </c>
      <c r="AB385" s="17">
        <f t="shared" si="262"/>
        <v>1.5664974910673166</v>
      </c>
      <c r="AC385" s="66" t="str">
        <f t="shared" si="263"/>
        <v>-0.128589562849033+0.0605327457103794i</v>
      </c>
      <c r="AD385" s="64">
        <f t="shared" si="264"/>
        <v>-16.946596175484828</v>
      </c>
      <c r="AE385" s="61">
        <f t="shared" si="265"/>
        <v>154.79157730064949</v>
      </c>
      <c r="AF385" s="31" t="str">
        <f t="shared" si="250"/>
        <v>-0.332666666666667</v>
      </c>
      <c r="AG385" s="31" t="str">
        <f t="shared" si="266"/>
        <v>293886.65673873i</v>
      </c>
      <c r="AH385" s="31">
        <f t="shared" si="267"/>
        <v>293886.65673872997</v>
      </c>
      <c r="AI385" s="31">
        <f t="shared" si="268"/>
        <v>1.5707963267948966</v>
      </c>
      <c r="AJ385" s="31" t="str">
        <f t="shared" si="251"/>
        <v>-4607.07174758417+2423.52661653626i</v>
      </c>
      <c r="AK385" s="31">
        <f t="shared" si="269"/>
        <v>5205.6307349300105</v>
      </c>
      <c r="AL385" s="31">
        <f t="shared" si="270"/>
        <v>2.6573268730713862</v>
      </c>
      <c r="AM385" s="31" t="str">
        <f t="shared" si="252"/>
        <v>1+8817551.89492975i</v>
      </c>
      <c r="AN385" s="31">
        <f t="shared" si="271"/>
        <v>8817551.8949298058</v>
      </c>
      <c r="AO385" s="31">
        <f t="shared" si="272"/>
        <v>1.5707962133847333</v>
      </c>
      <c r="AP385" s="31" t="str">
        <f t="shared" si="253"/>
        <v>1+952.192767833485i</v>
      </c>
      <c r="AQ385" s="31">
        <f t="shared" si="273"/>
        <v>952.19329293709745</v>
      </c>
      <c r="AR385" s="31">
        <f t="shared" si="274"/>
        <v>1.569746119666533</v>
      </c>
      <c r="AS385" s="58" t="str">
        <f t="shared" si="275"/>
        <v>-0.848272530709327+1.61666661279024i</v>
      </c>
      <c r="AT385" s="49">
        <f t="shared" si="276"/>
        <v>5.2285840548189091</v>
      </c>
      <c r="AU385" s="61">
        <f t="shared" si="277"/>
        <v>117.68620645231985</v>
      </c>
      <c r="AV385" s="58" t="str">
        <f t="shared" si="254"/>
        <v>0.0112177249302633-0.259234718405852i</v>
      </c>
      <c r="AW385" s="64">
        <f t="shared" si="278"/>
        <v>-11.718012120665907</v>
      </c>
      <c r="AX385" s="61">
        <f t="shared" si="279"/>
        <v>-87.52221624703067</v>
      </c>
    </row>
    <row r="386" spans="14:50" x14ac:dyDescent="0.3">
      <c r="N386" s="10">
        <v>68</v>
      </c>
      <c r="O386" s="50">
        <f t="shared" si="280"/>
        <v>47863.009232263823</v>
      </c>
      <c r="P386" s="48" t="str">
        <f t="shared" si="245"/>
        <v>51201.9230769231</v>
      </c>
      <c r="Q386" s="17" t="str">
        <f t="shared" si="246"/>
        <v>1+14053.4449993906i</v>
      </c>
      <c r="R386" s="17">
        <f t="shared" si="255"/>
        <v>14053.445034969063</v>
      </c>
      <c r="S386" s="17">
        <f t="shared" si="256"/>
        <v>1.5707251698651647</v>
      </c>
      <c r="T386" s="17" t="str">
        <f t="shared" si="247"/>
        <v>1+9.02196469096684E-07i</v>
      </c>
      <c r="U386" s="17">
        <f t="shared" si="257"/>
        <v>1.000000000000407</v>
      </c>
      <c r="V386" s="17">
        <f t="shared" si="258"/>
        <v>9.0219646909643917E-7</v>
      </c>
      <c r="W386" s="31" t="str">
        <f t="shared" si="248"/>
        <v>1-0.487186093312209i</v>
      </c>
      <c r="X386" s="17">
        <f t="shared" si="259"/>
        <v>1.1123624811709591</v>
      </c>
      <c r="Y386" s="17">
        <f t="shared" si="260"/>
        <v>-0.4533440348034124</v>
      </c>
      <c r="Z386" s="31" t="str">
        <f t="shared" si="249"/>
        <v>0.08365293889289+29.7298519124686i</v>
      </c>
      <c r="AA386" s="17">
        <f t="shared" si="261"/>
        <v>29.729969602263274</v>
      </c>
      <c r="AB386" s="17">
        <f t="shared" si="262"/>
        <v>1.567982565112805</v>
      </c>
      <c r="AC386" s="66" t="str">
        <f t="shared" si="263"/>
        <v>-0.12272056924884+0.0593501616367574i</v>
      </c>
      <c r="AD386" s="64">
        <f t="shared" si="264"/>
        <v>-17.308893192534487</v>
      </c>
      <c r="AE386" s="61">
        <f t="shared" si="265"/>
        <v>154.19064549107878</v>
      </c>
      <c r="AF386" s="31" t="str">
        <f t="shared" si="250"/>
        <v>-0.332666666666667</v>
      </c>
      <c r="AG386" s="31" t="str">
        <f t="shared" si="266"/>
        <v>300732.156365561i</v>
      </c>
      <c r="AH386" s="31">
        <f t="shared" si="267"/>
        <v>300732.15636556101</v>
      </c>
      <c r="AI386" s="31">
        <f t="shared" si="268"/>
        <v>1.5707963267948966</v>
      </c>
      <c r="AJ386" s="31" t="str">
        <f t="shared" si="251"/>
        <v>-4824.24347836215+2479.97780330744i</v>
      </c>
      <c r="AK386" s="31">
        <f t="shared" si="269"/>
        <v>5424.3538825760006</v>
      </c>
      <c r="AL386" s="31">
        <f t="shared" si="270"/>
        <v>2.6667559561622545</v>
      </c>
      <c r="AM386" s="31" t="str">
        <f t="shared" si="252"/>
        <v>1+9022939.06315347i</v>
      </c>
      <c r="AN386" s="31">
        <f t="shared" si="271"/>
        <v>9022939.0631535258</v>
      </c>
      <c r="AO386" s="31">
        <f t="shared" si="272"/>
        <v>1.5707962159662638</v>
      </c>
      <c r="AP386" s="31" t="str">
        <f t="shared" si="253"/>
        <v>1+974.372186624418i</v>
      </c>
      <c r="AQ386" s="31">
        <f t="shared" si="273"/>
        <v>974.37269977521919</v>
      </c>
      <c r="AR386" s="31">
        <f t="shared" si="274"/>
        <v>1.5697700252823648</v>
      </c>
      <c r="AS386" s="58" t="str">
        <f t="shared" si="275"/>
        <v>-0.818061738842187+1.59538168402571i</v>
      </c>
      <c r="AT386" s="49">
        <f t="shared" si="276"/>
        <v>5.0710906974040668</v>
      </c>
      <c r="AU386" s="61">
        <f t="shared" si="277"/>
        <v>117.14732962533964</v>
      </c>
      <c r="AV386" s="58" t="str">
        <f t="shared" si="254"/>
        <v>0.00570684145216097-0.244338244861939i</v>
      </c>
      <c r="AW386" s="64">
        <f t="shared" si="278"/>
        <v>-12.23780249513041</v>
      </c>
      <c r="AX386" s="61">
        <f t="shared" si="279"/>
        <v>-88.66202488358158</v>
      </c>
    </row>
    <row r="387" spans="14:50" x14ac:dyDescent="0.3">
      <c r="N387" s="10">
        <v>69</v>
      </c>
      <c r="O387" s="50">
        <f t="shared" si="280"/>
        <v>48977.881936844598</v>
      </c>
      <c r="P387" s="48" t="str">
        <f t="shared" si="245"/>
        <v>51201.9230769231</v>
      </c>
      <c r="Q387" s="17" t="str">
        <f t="shared" si="246"/>
        <v>1+14380.7917852794i</v>
      </c>
      <c r="R387" s="17">
        <f t="shared" si="255"/>
        <v>14380.791820048</v>
      </c>
      <c r="S387" s="17">
        <f t="shared" si="256"/>
        <v>1.5707267895946284</v>
      </c>
      <c r="T387" s="17" t="str">
        <f t="shared" si="247"/>
        <v>1+9.23211324487075E-07i</v>
      </c>
      <c r="U387" s="17">
        <f t="shared" si="257"/>
        <v>1.0000000000004263</v>
      </c>
      <c r="V387" s="17">
        <f t="shared" si="258"/>
        <v>9.2321132448681271E-7</v>
      </c>
      <c r="W387" s="31" t="str">
        <f t="shared" si="248"/>
        <v>1-0.49853411522302i</v>
      </c>
      <c r="X387" s="17">
        <f t="shared" si="259"/>
        <v>1.1173791943835358</v>
      </c>
      <c r="Y387" s="17">
        <f t="shared" si="260"/>
        <v>-0.46247421369251107</v>
      </c>
      <c r="Z387" s="31" t="str">
        <f t="shared" si="249"/>
        <v>0.0404668323922061+30.4223491235736i</v>
      </c>
      <c r="AA387" s="17">
        <f t="shared" si="261"/>
        <v>30.422376037402525</v>
      </c>
      <c r="AB387" s="17">
        <f t="shared" si="262"/>
        <v>1.5694661596746247</v>
      </c>
      <c r="AC387" s="66" t="str">
        <f t="shared" si="263"/>
        <v>-0.11711514552844+0.0581812349597197i</v>
      </c>
      <c r="AD387" s="64">
        <f t="shared" si="264"/>
        <v>-17.669781523629872</v>
      </c>
      <c r="AE387" s="61">
        <f t="shared" si="265"/>
        <v>153.58242946803335</v>
      </c>
      <c r="AF387" s="31" t="str">
        <f t="shared" si="250"/>
        <v>-0.332666666666667</v>
      </c>
      <c r="AG387" s="31" t="str">
        <f t="shared" si="266"/>
        <v>307737.108162358i</v>
      </c>
      <c r="AH387" s="31">
        <f t="shared" si="267"/>
        <v>307737.108162358</v>
      </c>
      <c r="AI387" s="31">
        <f t="shared" si="268"/>
        <v>1.5707963267948966</v>
      </c>
      <c r="AJ387" s="31" t="str">
        <f t="shared" si="251"/>
        <v>-5051.65019748941+2537.74390713632i</v>
      </c>
      <c r="AK387" s="31">
        <f t="shared" si="269"/>
        <v>5653.2569246410794</v>
      </c>
      <c r="AL387" s="31">
        <f t="shared" si="270"/>
        <v>2.6760593152174104</v>
      </c>
      <c r="AM387" s="31" t="str">
        <f t="shared" si="252"/>
        <v>1+9233110.3131012i</v>
      </c>
      <c r="AN387" s="31">
        <f t="shared" si="271"/>
        <v>9233110.3131012544</v>
      </c>
      <c r="AO387" s="31">
        <f t="shared" si="272"/>
        <v>1.5707962184890316</v>
      </c>
      <c r="AP387" s="31" t="str">
        <f t="shared" si="253"/>
        <v>1+997.06823044604i</v>
      </c>
      <c r="AQ387" s="31">
        <f t="shared" si="273"/>
        <v>997.06873191610907</v>
      </c>
      <c r="AR387" s="31">
        <f t="shared" si="274"/>
        <v>1.5697933867410787</v>
      </c>
      <c r="AS387" s="58" t="str">
        <f t="shared" si="275"/>
        <v>-0.78865063268833+1.57382676353545i</v>
      </c>
      <c r="AT387" s="49">
        <f t="shared" si="276"/>
        <v>4.912076323541827</v>
      </c>
      <c r="AU387" s="61">
        <f t="shared" si="277"/>
        <v>116.61562507371575</v>
      </c>
      <c r="AV387" s="58" t="str">
        <f t="shared" si="254"/>
        <v>0.00079574890323883-0.230203618209579i</v>
      </c>
      <c r="AW387" s="64">
        <f t="shared" si="278"/>
        <v>-12.757705200088054</v>
      </c>
      <c r="AX387" s="61">
        <f t="shared" si="279"/>
        <v>-89.80194545825087</v>
      </c>
    </row>
    <row r="388" spans="14:50" x14ac:dyDescent="0.3">
      <c r="N388" s="10">
        <v>70</v>
      </c>
      <c r="O388" s="50">
        <f t="shared" si="280"/>
        <v>50118.723362727294</v>
      </c>
      <c r="P388" s="48" t="str">
        <f t="shared" si="245"/>
        <v>51201.9230769231</v>
      </c>
      <c r="Q388" s="17" t="str">
        <f t="shared" si="246"/>
        <v>1+14715.7634573251i</v>
      </c>
      <c r="R388" s="17">
        <f t="shared" si="255"/>
        <v>14715.76349130227</v>
      </c>
      <c r="S388" s="17">
        <f t="shared" si="256"/>
        <v>1.5707283724545487</v>
      </c>
      <c r="T388" s="17" t="str">
        <f t="shared" si="247"/>
        <v>1+9.44715678741859E-07i</v>
      </c>
      <c r="U388" s="17">
        <f t="shared" si="257"/>
        <v>1.0000000000004463</v>
      </c>
      <c r="V388" s="17">
        <f t="shared" si="258"/>
        <v>9.4471567874157803E-7</v>
      </c>
      <c r="W388" s="31" t="str">
        <f t="shared" si="248"/>
        <v>1-0.510146466520603i</v>
      </c>
      <c r="X388" s="17">
        <f t="shared" si="259"/>
        <v>1.1226083098318205</v>
      </c>
      <c r="Y388" s="17">
        <f t="shared" si="260"/>
        <v>-0.47173179501732815</v>
      </c>
      <c r="Z388" s="31" t="str">
        <f t="shared" si="249"/>
        <v>-0.00475457260383005+31.1309766668715i</v>
      </c>
      <c r="AA388" s="17">
        <f t="shared" si="261"/>
        <v>31.130977029949744</v>
      </c>
      <c r="AB388" s="17">
        <f t="shared" si="262"/>
        <v>1.5709490548193892</v>
      </c>
      <c r="AC388" s="66" t="str">
        <f t="shared" si="263"/>
        <v>-0.111761480938341+0.0570265321861109i</v>
      </c>
      <c r="AD388" s="64">
        <f t="shared" si="264"/>
        <v>-18.02922049734752</v>
      </c>
      <c r="AE388" s="61">
        <f t="shared" si="265"/>
        <v>152.96695603728253</v>
      </c>
      <c r="AF388" s="31" t="str">
        <f t="shared" si="250"/>
        <v>-0.332666666666667</v>
      </c>
      <c r="AG388" s="31" t="str">
        <f t="shared" si="266"/>
        <v>314905.226247286i</v>
      </c>
      <c r="AH388" s="31">
        <f t="shared" si="267"/>
        <v>314905.22624728602</v>
      </c>
      <c r="AI388" s="31">
        <f t="shared" si="268"/>
        <v>1.5707963267948966</v>
      </c>
      <c r="AJ388" s="31" t="str">
        <f t="shared" si="251"/>
        <v>-5289.77426510621+2596.85555637578i</v>
      </c>
      <c r="AK388" s="31">
        <f t="shared" si="269"/>
        <v>5892.8236488511784</v>
      </c>
      <c r="AL388" s="31">
        <f t="shared" si="270"/>
        <v>2.6852354593177554</v>
      </c>
      <c r="AM388" s="31" t="str">
        <f t="shared" si="252"/>
        <v>1+9448177.08035164i</v>
      </c>
      <c r="AN388" s="31">
        <f t="shared" si="271"/>
        <v>9448177.0803516917</v>
      </c>
      <c r="AO388" s="31">
        <f t="shared" si="272"/>
        <v>1.570796220954374</v>
      </c>
      <c r="AP388" s="31" t="str">
        <f t="shared" si="253"/>
        <v>1+1020.29293304121i</v>
      </c>
      <c r="AQ388" s="31">
        <f t="shared" si="273"/>
        <v>1020.2934230964321</v>
      </c>
      <c r="AR388" s="31">
        <f t="shared" si="274"/>
        <v>1.5698162164291276</v>
      </c>
      <c r="AS388" s="58" t="str">
        <f t="shared" si="275"/>
        <v>-0.760037824629397+1.55203498747416i</v>
      </c>
      <c r="AT388" s="49">
        <f t="shared" si="276"/>
        <v>4.7515817062129901</v>
      </c>
      <c r="AU388" s="61">
        <f t="shared" si="277"/>
        <v>116.09117893058875</v>
      </c>
      <c r="AV388" s="58" t="str">
        <f t="shared" si="254"/>
        <v>-0.00356422031742891-0.216800050137122i</v>
      </c>
      <c r="AW388" s="64">
        <f t="shared" si="278"/>
        <v>-13.277638791134518</v>
      </c>
      <c r="AX388" s="61">
        <f t="shared" si="279"/>
        <v>-90.941865032128717</v>
      </c>
    </row>
    <row r="389" spans="14:50" x14ac:dyDescent="0.3">
      <c r="N389" s="10">
        <v>71</v>
      </c>
      <c r="O389" s="50">
        <f t="shared" si="280"/>
        <v>51286.138399136544</v>
      </c>
      <c r="P389" s="48" t="str">
        <f t="shared" si="245"/>
        <v>51201.9230769231</v>
      </c>
      <c r="Q389" s="17" t="str">
        <f t="shared" si="246"/>
        <v>1+15058.537621942i</v>
      </c>
      <c r="R389" s="17">
        <f t="shared" si="255"/>
        <v>15058.537655145754</v>
      </c>
      <c r="S389" s="17">
        <f t="shared" si="256"/>
        <v>1.5707299192841784</v>
      </c>
      <c r="T389" s="17" t="str">
        <f t="shared" si="247"/>
        <v>1+9.66720933754303E-07i</v>
      </c>
      <c r="U389" s="17">
        <f t="shared" si="257"/>
        <v>1.0000000000004672</v>
      </c>
      <c r="V389" s="17">
        <f t="shared" si="258"/>
        <v>9.6672093375400185E-7</v>
      </c>
      <c r="W389" s="31" t="str">
        <f t="shared" si="248"/>
        <v>1-0.522029304227323i</v>
      </c>
      <c r="X389" s="17">
        <f t="shared" si="259"/>
        <v>1.1280578861353094</v>
      </c>
      <c r="Y389" s="17">
        <f t="shared" si="260"/>
        <v>-0.48111533913859811</v>
      </c>
      <c r="Z389" s="31" t="str">
        <f t="shared" si="249"/>
        <v>-0.0521071967581599+31.8561102660654i</v>
      </c>
      <c r="AA389" s="17">
        <f t="shared" si="261"/>
        <v>31.856152882036326</v>
      </c>
      <c r="AB389" s="17">
        <f t="shared" si="262"/>
        <v>1.572432030270668</v>
      </c>
      <c r="AC389" s="66" t="str">
        <f t="shared" si="263"/>
        <v>-0.106648291797668+0.0558865484634872i</v>
      </c>
      <c r="AD389" s="64">
        <f t="shared" si="264"/>
        <v>-18.387169348265143</v>
      </c>
      <c r="AE389" s="61">
        <f t="shared" si="265"/>
        <v>152.34426296177813</v>
      </c>
      <c r="AF389" s="31" t="str">
        <f t="shared" si="250"/>
        <v>-0.332666666666667</v>
      </c>
      <c r="AG389" s="31" t="str">
        <f t="shared" si="266"/>
        <v>322240.311251434i</v>
      </c>
      <c r="AH389" s="31">
        <f t="shared" si="267"/>
        <v>322240.31125143397</v>
      </c>
      <c r="AI389" s="31">
        <f t="shared" si="268"/>
        <v>1.5707963267948966</v>
      </c>
      <c r="AJ389" s="31" t="str">
        <f t="shared" si="251"/>
        <v>-5539.12077428575+2657.34409280468i</v>
      </c>
      <c r="AK389" s="31">
        <f t="shared" si="269"/>
        <v>6143.5605783363035</v>
      </c>
      <c r="AL389" s="31">
        <f t="shared" si="270"/>
        <v>2.6942830897796233</v>
      </c>
      <c r="AM389" s="31" t="str">
        <f t="shared" si="252"/>
        <v>1+9668253.39615149i</v>
      </c>
      <c r="AN389" s="31">
        <f t="shared" si="271"/>
        <v>9668253.3961515427</v>
      </c>
      <c r="AO389" s="31">
        <f t="shared" si="272"/>
        <v>1.5707962233635984</v>
      </c>
      <c r="AP389" s="31" t="str">
        <f t="shared" si="253"/>
        <v>1+1044.05860845465i</v>
      </c>
      <c r="AQ389" s="31">
        <f t="shared" si="273"/>
        <v>1044.0590873548588</v>
      </c>
      <c r="AR389" s="31">
        <f t="shared" si="274"/>
        <v>1.5698385264510191</v>
      </c>
      <c r="AS389" s="58" t="str">
        <f t="shared" si="275"/>
        <v>-0.732220355101428+1.53003863782124i</v>
      </c>
      <c r="AT389" s="49">
        <f t="shared" si="276"/>
        <v>4.5896475071175358</v>
      </c>
      <c r="AU389" s="61">
        <f t="shared" si="277"/>
        <v>115.57406629866338</v>
      </c>
      <c r="AV389" s="58" t="str">
        <f t="shared" si="254"/>
        <v>-0.0074185283925555-0.204097275469394i</v>
      </c>
      <c r="AW389" s="64">
        <f t="shared" si="278"/>
        <v>-13.797521841147603</v>
      </c>
      <c r="AX389" s="61">
        <f t="shared" si="279"/>
        <v>-92.081670739558476</v>
      </c>
    </row>
    <row r="390" spans="14:50" x14ac:dyDescent="0.3">
      <c r="N390" s="10">
        <v>72</v>
      </c>
      <c r="O390" s="50">
        <f t="shared" si="280"/>
        <v>52480.746024977314</v>
      </c>
      <c r="P390" s="48" t="str">
        <f t="shared" si="245"/>
        <v>51201.9230769231</v>
      </c>
      <c r="Q390" s="17" t="str">
        <f t="shared" si="246"/>
        <v>1+15409.2960225293i</v>
      </c>
      <c r="R390" s="17">
        <f t="shared" si="255"/>
        <v>15409.296054977245</v>
      </c>
      <c r="S390" s="17">
        <f t="shared" si="256"/>
        <v>1.5707314309036675</v>
      </c>
      <c r="T390" s="17" t="str">
        <f t="shared" si="247"/>
        <v>1+9.89238757001884E-07i</v>
      </c>
      <c r="U390" s="17">
        <f t="shared" si="257"/>
        <v>1.0000000000004894</v>
      </c>
      <c r="V390" s="17">
        <f t="shared" si="258"/>
        <v>9.8923875700156137E-7</v>
      </c>
      <c r="W390" s="31" t="str">
        <f t="shared" si="248"/>
        <v>1-0.534188928781017i</v>
      </c>
      <c r="X390" s="17">
        <f t="shared" si="259"/>
        <v>1.1337362178356174</v>
      </c>
      <c r="Y390" s="17">
        <f t="shared" si="260"/>
        <v>-0.49062321061345371</v>
      </c>
      <c r="Z390" s="31" t="str">
        <f t="shared" si="249"/>
        <v>-0.10169148133527+32.5981343965876i</v>
      </c>
      <c r="AA390" s="17">
        <f t="shared" si="261"/>
        <v>32.598293011987053</v>
      </c>
      <c r="AB390" s="17">
        <f t="shared" si="262"/>
        <v>1.5739158657914192</v>
      </c>
      <c r="AC390" s="66" t="str">
        <f t="shared" si="263"/>
        <v>-0.10176479816928+0.0547617130791539i</v>
      </c>
      <c r="AD390" s="64">
        <f t="shared" si="264"/>
        <v>-18.74358729813687</v>
      </c>
      <c r="AE390" s="61">
        <f t="shared" si="265"/>
        <v>151.71439922204473</v>
      </c>
      <c r="AF390" s="31" t="str">
        <f t="shared" si="250"/>
        <v>-0.332666666666667</v>
      </c>
      <c r="AG390" s="31" t="str">
        <f t="shared" si="266"/>
        <v>329746.252333961i</v>
      </c>
      <c r="AH390" s="31">
        <f t="shared" si="267"/>
        <v>329746.25233396102</v>
      </c>
      <c r="AI390" s="31">
        <f t="shared" si="268"/>
        <v>1.5707963267948966</v>
      </c>
      <c r="AJ390" s="31" t="str">
        <f t="shared" si="251"/>
        <v>-5800.21862240444+2719.24158824568i</v>
      </c>
      <c r="AK390" s="31">
        <f t="shared" si="269"/>
        <v>6405.9980395666798</v>
      </c>
      <c r="AL390" s="31">
        <f t="shared" si="270"/>
        <v>2.7032010949301939</v>
      </c>
      <c r="AM390" s="31" t="str">
        <f t="shared" si="252"/>
        <v>1+9893455.94787641i</v>
      </c>
      <c r="AN390" s="31">
        <f t="shared" si="271"/>
        <v>9893455.9478764609</v>
      </c>
      <c r="AO390" s="31">
        <f t="shared" si="272"/>
        <v>1.5707962257179822</v>
      </c>
      <c r="AP390" s="31" t="str">
        <f t="shared" si="253"/>
        <v>1+1068.37785756203i</v>
      </c>
      <c r="AQ390" s="31">
        <f t="shared" si="273"/>
        <v>1068.3783255611438</v>
      </c>
      <c r="AR390" s="31">
        <f t="shared" si="274"/>
        <v>1.5698603286357331</v>
      </c>
      <c r="AS390" s="58" t="str">
        <f t="shared" si="275"/>
        <v>-0.705193787681372+1.50786907390553i</v>
      </c>
      <c r="AT390" s="49">
        <f t="shared" si="276"/>
        <v>4.4263141988867991</v>
      </c>
      <c r="AU390" s="61">
        <f t="shared" si="277"/>
        <v>115.06435154992421</v>
      </c>
      <c r="AV390" s="58" t="str">
        <f t="shared" si="254"/>
        <v>-0.0108095901125192-0.192065611837904i</v>
      </c>
      <c r="AW390" s="64">
        <f t="shared" si="278"/>
        <v>-14.317273099250095</v>
      </c>
      <c r="AX390" s="61">
        <f t="shared" si="279"/>
        <v>-93.221249228031027</v>
      </c>
    </row>
    <row r="391" spans="14:50" x14ac:dyDescent="0.3">
      <c r="N391" s="10">
        <v>73</v>
      </c>
      <c r="O391" s="50">
        <f t="shared" si="280"/>
        <v>53703.179637025423</v>
      </c>
      <c r="P391" s="48" t="str">
        <f t="shared" si="245"/>
        <v>51201.9230769231</v>
      </c>
      <c r="Q391" s="17" t="str">
        <f t="shared" si="246"/>
        <v>1+15768.224635834i</v>
      </c>
      <c r="R391" s="17">
        <f t="shared" si="255"/>
        <v>15768.22466754334</v>
      </c>
      <c r="S391" s="17">
        <f t="shared" si="256"/>
        <v>1.5707329081144963</v>
      </c>
      <c r="T391" s="17" t="str">
        <f t="shared" si="247"/>
        <v>1+1.01228108773255E-06i</v>
      </c>
      <c r="U391" s="17">
        <f t="shared" si="257"/>
        <v>1.0000000000005125</v>
      </c>
      <c r="V391" s="17">
        <f t="shared" si="258"/>
        <v>1.0122810877322042E-6</v>
      </c>
      <c r="W391" s="31" t="str">
        <f t="shared" si="248"/>
        <v>1-0.546631787375578i</v>
      </c>
      <c r="X391" s="17">
        <f t="shared" si="259"/>
        <v>1.1396518376106886</v>
      </c>
      <c r="Y391" s="17">
        <f t="shared" si="260"/>
        <v>-0.500253573736408</v>
      </c>
      <c r="Z391" s="31" t="str">
        <f t="shared" si="249"/>
        <v>-0.15361260125065+33.3574424894544i</v>
      </c>
      <c r="AA391" s="17">
        <f t="shared" si="261"/>
        <v>33.357796184228363</v>
      </c>
      <c r="AB391" s="17">
        <f t="shared" si="262"/>
        <v>1.5754013415664323</v>
      </c>
      <c r="AC391" s="66" t="str">
        <f t="shared" si="263"/>
        <v>-0.0971007015500239+0.0536523945780328i</v>
      </c>
      <c r="AD391" s="64">
        <f t="shared" si="264"/>
        <v>-19.098433641848796</v>
      </c>
      <c r="AE391" s="61">
        <f t="shared" si="265"/>
        <v>151.07742524972616</v>
      </c>
      <c r="AF391" s="31" t="str">
        <f t="shared" si="250"/>
        <v>-0.332666666666667</v>
      </c>
      <c r="AG391" s="31" t="str">
        <f t="shared" si="266"/>
        <v>337427.029244184i</v>
      </c>
      <c r="AH391" s="31">
        <f t="shared" si="267"/>
        <v>337427.02924418403</v>
      </c>
      <c r="AI391" s="31">
        <f t="shared" si="268"/>
        <v>1.5707963267948966</v>
      </c>
      <c r="AJ391" s="31" t="str">
        <f t="shared" si="251"/>
        <v>-6073.62163300421+2782.5808615702i</v>
      </c>
      <c r="AK391" s="31">
        <f t="shared" si="269"/>
        <v>6680.6912810032982</v>
      </c>
      <c r="AL391" s="31">
        <f t="shared" si="270"/>
        <v>2.7119885445076002</v>
      </c>
      <c r="AM391" s="31" t="str">
        <f t="shared" si="252"/>
        <v>1+10123904.1409003i</v>
      </c>
      <c r="AN391" s="31">
        <f t="shared" si="271"/>
        <v>10123904.140900351</v>
      </c>
      <c r="AO391" s="31">
        <f t="shared" si="272"/>
        <v>1.5707962280187737</v>
      </c>
      <c r="AP391" s="31" t="str">
        <f t="shared" si="253"/>
        <v>1+1093.26357475116i</v>
      </c>
      <c r="AQ391" s="31">
        <f t="shared" si="273"/>
        <v>1093.2640320973176</v>
      </c>
      <c r="AR391" s="31">
        <f t="shared" si="274"/>
        <v>1.5698816345429936</v>
      </c>
      <c r="AS391" s="58" t="str">
        <f t="shared" si="275"/>
        <v>-0.67895230567899+1.48555667305833i</v>
      </c>
      <c r="AT391" s="49">
        <f t="shared" si="276"/>
        <v>4.261621992189041</v>
      </c>
      <c r="AU391" s="61">
        <f t="shared" si="277"/>
        <v>114.56208864684514</v>
      </c>
      <c r="AV391" s="58" t="str">
        <f t="shared" si="254"/>
        <v>-0.013776927590519-0.180676012150238i</v>
      </c>
      <c r="AW391" s="64">
        <f t="shared" si="278"/>
        <v>-14.836811649659738</v>
      </c>
      <c r="AX391" s="61">
        <f t="shared" si="279"/>
        <v>-94.360486103428684</v>
      </c>
    </row>
    <row r="392" spans="14:50" x14ac:dyDescent="0.3">
      <c r="N392" s="10">
        <v>74</v>
      </c>
      <c r="O392" s="50">
        <f t="shared" si="280"/>
        <v>54954.087385762505</v>
      </c>
      <c r="P392" s="48" t="str">
        <f t="shared" si="245"/>
        <v>51201.9230769231</v>
      </c>
      <c r="Q392" s="17" t="str">
        <f t="shared" si="246"/>
        <v>1+16135.5137705576i</v>
      </c>
      <c r="R392" s="17">
        <f t="shared" si="255"/>
        <v>16135.513801545148</v>
      </c>
      <c r="S392" s="17">
        <f t="shared" si="256"/>
        <v>1.5707343516999019</v>
      </c>
      <c r="T392" s="17" t="str">
        <f t="shared" si="247"/>
        <v>1+1.03586014329506E-06i</v>
      </c>
      <c r="U392" s="17">
        <f t="shared" si="257"/>
        <v>1.0000000000005365</v>
      </c>
      <c r="V392" s="17">
        <f t="shared" si="258"/>
        <v>1.0358601432946894E-6</v>
      </c>
      <c r="W392" s="31" t="str">
        <f t="shared" si="248"/>
        <v>1-0.559364477379331i</v>
      </c>
      <c r="X392" s="17">
        <f t="shared" si="259"/>
        <v>1.1458135182279237</v>
      </c>
      <c r="Y392" s="17">
        <f t="shared" si="260"/>
        <v>-0.51000438860421859</v>
      </c>
      <c r="Z392" s="31" t="str">
        <f t="shared" si="249"/>
        <v>-0.20798068816081+34.1344371398669i</v>
      </c>
      <c r="AA392" s="17">
        <f t="shared" si="261"/>
        <v>34.135070745820535</v>
      </c>
      <c r="AB392" s="17">
        <f t="shared" si="262"/>
        <v>1.5768892385848312</v>
      </c>
      <c r="AC392" s="66" t="str">
        <f t="shared" si="263"/>
        <v>-0.0926461635334687+0.052558905524832i</v>
      </c>
      <c r="AD392" s="64">
        <f t="shared" si="264"/>
        <v>-19.451667837977105</v>
      </c>
      <c r="AE392" s="61">
        <f t="shared" si="265"/>
        <v>150.43341313111208</v>
      </c>
      <c r="AF392" s="31" t="str">
        <f t="shared" si="250"/>
        <v>-0.332666666666667</v>
      </c>
      <c r="AG392" s="31" t="str">
        <f t="shared" si="266"/>
        <v>345286.714431686i</v>
      </c>
      <c r="AH392" s="31">
        <f t="shared" si="267"/>
        <v>345286.71443168598</v>
      </c>
      <c r="AI392" s="31">
        <f t="shared" si="268"/>
        <v>1.5707963267948966</v>
      </c>
      <c r="AJ392" s="31" t="str">
        <f t="shared" si="251"/>
        <v>-6359.9097305263+2847.39549609932i</v>
      </c>
      <c r="AK392" s="31">
        <f t="shared" si="269"/>
        <v>6968.2216448423778</v>
      </c>
      <c r="AL392" s="31">
        <f t="shared" si="270"/>
        <v>2.7206446837386555</v>
      </c>
      <c r="AM392" s="31" t="str">
        <f t="shared" si="252"/>
        <v>1+10359720.1619054i</v>
      </c>
      <c r="AN392" s="31">
        <f t="shared" si="271"/>
        <v>10359720.161905449</v>
      </c>
      <c r="AO392" s="31">
        <f t="shared" si="272"/>
        <v>1.5707962302671927</v>
      </c>
      <c r="AP392" s="31" t="str">
        <f t="shared" si="253"/>
        <v>1+1118.72895475866i</v>
      </c>
      <c r="AQ392" s="31">
        <f t="shared" si="273"/>
        <v>1118.7294016943526</v>
      </c>
      <c r="AR392" s="31">
        <f t="shared" si="274"/>
        <v>1.5699024554693972</v>
      </c>
      <c r="AS392" s="58" t="str">
        <f t="shared" si="275"/>
        <v>-0.653488809430117+1.4631307801364i</v>
      </c>
      <c r="AT392" s="49">
        <f t="shared" si="276"/>
        <v>4.0956107677843043</v>
      </c>
      <c r="AU392" s="61">
        <f t="shared" si="277"/>
        <v>114.06732148206136</v>
      </c>
      <c r="AV392" s="58" t="str">
        <f t="shared" si="254"/>
        <v>-0.0163573213379084-0.169900110123741i</v>
      </c>
      <c r="AW392" s="64">
        <f t="shared" si="278"/>
        <v>-15.356057070192804</v>
      </c>
      <c r="AX392" s="61">
        <f t="shared" si="279"/>
        <v>-95.499265386826551</v>
      </c>
    </row>
    <row r="393" spans="14:50" x14ac:dyDescent="0.3">
      <c r="N393" s="10">
        <v>75</v>
      </c>
      <c r="O393" s="50">
        <f t="shared" si="280"/>
        <v>56234.132519034953</v>
      </c>
      <c r="P393" s="48" t="str">
        <f t="shared" si="245"/>
        <v>51201.9230769231</v>
      </c>
      <c r="Q393" s="17" t="str">
        <f t="shared" si="246"/>
        <v>1+16511.3581682612i</v>
      </c>
      <c r="R393" s="17">
        <f t="shared" si="255"/>
        <v>16511.358198543381</v>
      </c>
      <c r="S393" s="17">
        <f t="shared" si="256"/>
        <v>1.570735762425292</v>
      </c>
      <c r="T393" s="17" t="str">
        <f t="shared" si="247"/>
        <v>1+1.05998842561677E-06i</v>
      </c>
      <c r="U393" s="17">
        <f t="shared" si="257"/>
        <v>1.0000000000005618</v>
      </c>
      <c r="V393" s="17">
        <f t="shared" si="258"/>
        <v>1.059988425616373E-6</v>
      </c>
      <c r="W393" s="31" t="str">
        <f t="shared" si="248"/>
        <v>1-0.572393749833056i</v>
      </c>
      <c r="X393" s="17">
        <f t="shared" si="259"/>
        <v>1.15223027422818</v>
      </c>
      <c r="Y393" s="17">
        <f t="shared" si="260"/>
        <v>-0.519873407760018</v>
      </c>
      <c r="Z393" s="31" t="str">
        <f t="shared" si="249"/>
        <v>-0.26491106406736+34.9295303206737i</v>
      </c>
      <c r="AA393" s="17">
        <f t="shared" si="261"/>
        <v>34.930534869863195</v>
      </c>
      <c r="AB393" s="17">
        <f t="shared" si="262"/>
        <v>1.5783803390226976</v>
      </c>
      <c r="AC393" s="66" t="str">
        <f t="shared" si="263"/>
        <v>-0.0883917854040974+0.0514815069343127i</v>
      </c>
      <c r="AD393" s="64">
        <f t="shared" si="264"/>
        <v>-19.803249603723796</v>
      </c>
      <c r="AE393" s="61">
        <f t="shared" si="265"/>
        <v>149.782446777469</v>
      </c>
      <c r="AF393" s="31" t="str">
        <f t="shared" si="250"/>
        <v>-0.332666666666667</v>
      </c>
      <c r="AG393" s="31" t="str">
        <f t="shared" si="266"/>
        <v>353329.47520559i</v>
      </c>
      <c r="AH393" s="31">
        <f t="shared" si="267"/>
        <v>353329.47520559002</v>
      </c>
      <c r="AI393" s="31">
        <f t="shared" si="268"/>
        <v>1.5707963267948966</v>
      </c>
      <c r="AJ393" s="31" t="str">
        <f t="shared" si="251"/>
        <v>-6659.69017040884+2913.71985741022i</v>
      </c>
      <c r="AK393" s="31">
        <f t="shared" si="269"/>
        <v>7269.1977943447619</v>
      </c>
      <c r="AL393" s="31">
        <f t="shared" si="270"/>
        <v>2.7291689271453721</v>
      </c>
      <c r="AM393" s="31" t="str">
        <f t="shared" si="252"/>
        <v>1+10601029.0436674i</v>
      </c>
      <c r="AN393" s="31">
        <f t="shared" si="271"/>
        <v>10601029.043667447</v>
      </c>
      <c r="AO393" s="31">
        <f t="shared" si="272"/>
        <v>1.5707962324644316</v>
      </c>
      <c r="AP393" s="31" t="str">
        <f t="shared" si="253"/>
        <v>1+1144.78749966611i</v>
      </c>
      <c r="AQ393" s="31">
        <f t="shared" si="273"/>
        <v>1144.7879364283081</v>
      </c>
      <c r="AR393" s="31">
        <f t="shared" si="274"/>
        <v>1.5699228024544025</v>
      </c>
      <c r="AS393" s="58" t="str">
        <f t="shared" si="275"/>
        <v>-0.628795013550019+1.44061966559546i</v>
      </c>
      <c r="AT393" s="49">
        <f t="shared" si="276"/>
        <v>3.9283200135463261</v>
      </c>
      <c r="AU393" s="61">
        <f t="shared" si="277"/>
        <v>113.58008423357352</v>
      </c>
      <c r="AV393" s="58" t="str">
        <f t="shared" si="254"/>
        <v>-0.0185849574031801-0.159710259180573i</v>
      </c>
      <c r="AW393" s="64">
        <f t="shared" si="278"/>
        <v>-15.874929590177471</v>
      </c>
      <c r="AX393" s="61">
        <f t="shared" si="279"/>
        <v>-96.63746898895748</v>
      </c>
    </row>
    <row r="394" spans="14:50" x14ac:dyDescent="0.3">
      <c r="N394" s="10">
        <v>76</v>
      </c>
      <c r="O394" s="50">
        <f t="shared" si="280"/>
        <v>57543.993733715732</v>
      </c>
      <c r="P394" s="48" t="str">
        <f t="shared" si="245"/>
        <v>51201.9230769231</v>
      </c>
      <c r="Q394" s="17" t="str">
        <f t="shared" si="246"/>
        <v>1+16895.9571066193i</v>
      </c>
      <c r="R394" s="17">
        <f t="shared" si="255"/>
        <v>16895.957136212175</v>
      </c>
      <c r="S394" s="17">
        <f t="shared" si="256"/>
        <v>1.5707371410386519</v>
      </c>
      <c r="T394" s="17" t="str">
        <f t="shared" si="247"/>
        <v>1+1.08467872783235E-06i</v>
      </c>
      <c r="U394" s="17">
        <f t="shared" si="257"/>
        <v>1.0000000000005884</v>
      </c>
      <c r="V394" s="17">
        <f t="shared" si="258"/>
        <v>1.0846787278319246E-6</v>
      </c>
      <c r="W394" s="31" t="str">
        <f t="shared" si="248"/>
        <v>1-0.585726513029469i</v>
      </c>
      <c r="X394" s="17">
        <f t="shared" si="259"/>
        <v>1.1589113633344272</v>
      </c>
      <c r="Y394" s="17">
        <f t="shared" si="260"/>
        <v>-0.52985817347140085</v>
      </c>
      <c r="Z394" s="31" t="str">
        <f t="shared" si="249"/>
        <v>-0.32452448593037+35.7431436008035i</v>
      </c>
      <c r="AA394" s="17">
        <f t="shared" si="261"/>
        <v>35.744616806025888</v>
      </c>
      <c r="AB394" s="17">
        <f t="shared" si="262"/>
        <v>1.5798754266258677</v>
      </c>
      <c r="AC394" s="66" t="str">
        <f t="shared" si="263"/>
        <v>-0.084328588623596+0.0504204123919093i</v>
      </c>
      <c r="AD394" s="64">
        <f t="shared" si="264"/>
        <v>-20.153139013949076</v>
      </c>
      <c r="AE394" s="61">
        <f t="shared" si="265"/>
        <v>149.12462205903881</v>
      </c>
      <c r="AF394" s="31" t="str">
        <f t="shared" si="250"/>
        <v>-0.332666666666667</v>
      </c>
      <c r="AG394" s="31" t="str">
        <f t="shared" si="266"/>
        <v>361559.575944117i</v>
      </c>
      <c r="AH394" s="31">
        <f t="shared" si="267"/>
        <v>361559.57594411698</v>
      </c>
      <c r="AI394" s="31">
        <f t="shared" si="268"/>
        <v>1.5707963267948966</v>
      </c>
      <c r="AJ394" s="31" t="str">
        <f t="shared" si="251"/>
        <v>-6973.59882715711+2981.58911155715i</v>
      </c>
      <c r="AK394" s="31">
        <f t="shared" si="269"/>
        <v>7584.2569993561774</v>
      </c>
      <c r="AL394" s="31">
        <f t="shared" si="270"/>
        <v>2.7375608521294641</v>
      </c>
      <c r="AM394" s="31" t="str">
        <f t="shared" si="252"/>
        <v>1+10847958.7313496i</v>
      </c>
      <c r="AN394" s="31">
        <f t="shared" si="271"/>
        <v>10847958.731349647</v>
      </c>
      <c r="AO394" s="31">
        <f t="shared" si="272"/>
        <v>1.5707962346116551</v>
      </c>
      <c r="AP394" s="31" t="str">
        <f t="shared" si="253"/>
        <v>1+1171.45302605894i</v>
      </c>
      <c r="AQ394" s="31">
        <f t="shared" si="273"/>
        <v>1171.4534528792203</v>
      </c>
      <c r="AR394" s="31">
        <f t="shared" si="274"/>
        <v>1.5699426862861827</v>
      </c>
      <c r="AS394" s="58" t="str">
        <f t="shared" si="275"/>
        <v>-0.604861543470497+1.4180504917427i</v>
      </c>
      <c r="AT394" s="49">
        <f t="shared" si="276"/>
        <v>3.7597887664298444</v>
      </c>
      <c r="AU394" s="61">
        <f t="shared" si="277"/>
        <v>113.10040173266309</v>
      </c>
      <c r="AV394" s="58" t="str">
        <f t="shared" si="254"/>
        <v>-0.0204915703126598-0.150079565027447i</v>
      </c>
      <c r="AW394" s="64">
        <f t="shared" si="278"/>
        <v>-16.393350247519258</v>
      </c>
      <c r="AX394" s="61">
        <f t="shared" si="279"/>
        <v>-97.774976208298114</v>
      </c>
    </row>
    <row r="395" spans="14:50" x14ac:dyDescent="0.3">
      <c r="N395" s="10">
        <v>77</v>
      </c>
      <c r="O395" s="50">
        <f t="shared" si="280"/>
        <v>58884.365535558936</v>
      </c>
      <c r="P395" s="48" t="str">
        <f t="shared" si="245"/>
        <v>51201.9230769231</v>
      </c>
      <c r="Q395" s="17" t="str">
        <f t="shared" si="246"/>
        <v>1+17289.5145050798i</v>
      </c>
      <c r="R395" s="17">
        <f t="shared" si="255"/>
        <v>17289.514533999059</v>
      </c>
      <c r="S395" s="17">
        <f t="shared" si="256"/>
        <v>1.570738488270941</v>
      </c>
      <c r="T395" s="17" t="str">
        <f t="shared" si="247"/>
        <v>1+1.10994414106685E-06i</v>
      </c>
      <c r="U395" s="17">
        <f t="shared" si="257"/>
        <v>1.000000000000616</v>
      </c>
      <c r="V395" s="17">
        <f t="shared" si="258"/>
        <v>1.1099441410663943E-6</v>
      </c>
      <c r="W395" s="31" t="str">
        <f t="shared" si="248"/>
        <v>1-0.599369836176098i</v>
      </c>
      <c r="X395" s="17">
        <f t="shared" si="259"/>
        <v>1.1658662875809398</v>
      </c>
      <c r="Y395" s="17">
        <f t="shared" si="260"/>
        <v>-0.53995601569594764</v>
      </c>
      <c r="Z395" s="31" t="str">
        <f t="shared" si="249"/>
        <v>-0.38694740181013+36.5757083687869i</v>
      </c>
      <c r="AA395" s="17">
        <f t="shared" si="261"/>
        <v>36.577755138476114</v>
      </c>
      <c r="AB395" s="17">
        <f t="shared" si="262"/>
        <v>1.5813752870929578</v>
      </c>
      <c r="AC395" s="66" t="str">
        <f t="shared" si="263"/>
        <v>-0.0804479961713694+0.049375791885471i</v>
      </c>
      <c r="AD395" s="64">
        <f t="shared" si="264"/>
        <v>-20.501296603972577</v>
      </c>
      <c r="AE395" s="61">
        <f t="shared" si="265"/>
        <v>148.46004689963792</v>
      </c>
      <c r="AF395" s="31" t="str">
        <f t="shared" si="250"/>
        <v>-0.332666666666667</v>
      </c>
      <c r="AG395" s="31" t="str">
        <f t="shared" si="266"/>
        <v>369981.380355616i</v>
      </c>
      <c r="AH395" s="31">
        <f t="shared" si="267"/>
        <v>369981.38035561598</v>
      </c>
      <c r="AI395" s="31">
        <f t="shared" si="268"/>
        <v>1.5707963267948966</v>
      </c>
      <c r="AJ395" s="31" t="str">
        <f t="shared" si="251"/>
        <v>-7302.30154311851+3051.03924371704i</v>
      </c>
      <c r="AK395" s="31">
        <f t="shared" si="269"/>
        <v>7914.0664827465553</v>
      </c>
      <c r="AL395" s="31">
        <f t="shared" si="270"/>
        <v>2.7458201923816294</v>
      </c>
      <c r="AM395" s="31" t="str">
        <f t="shared" si="252"/>
        <v>1+11100640.1503408i</v>
      </c>
      <c r="AN395" s="31">
        <f t="shared" si="271"/>
        <v>11100640.150340844</v>
      </c>
      <c r="AO395" s="31">
        <f t="shared" si="272"/>
        <v>1.5707962367100019</v>
      </c>
      <c r="AP395" s="31" t="str">
        <f t="shared" si="253"/>
        <v>1+1198.7396723522i</v>
      </c>
      <c r="AQ395" s="31">
        <f t="shared" si="273"/>
        <v>1198.740089456868</v>
      </c>
      <c r="AR395" s="31">
        <f t="shared" si="274"/>
        <v>1.5699621175073459</v>
      </c>
      <c r="AS395" s="58" t="str">
        <f t="shared" si="275"/>
        <v>-0.581678030651903+1.39544928675536i</v>
      </c>
      <c r="AT395" s="49">
        <f t="shared" si="276"/>
        <v>3.5900555593332872</v>
      </c>
      <c r="AU395" s="61">
        <f t="shared" si="277"/>
        <v>112.62828984184119</v>
      </c>
      <c r="AV395" s="58" t="str">
        <f t="shared" si="254"/>
        <v>-0.0221065815867076-0.140981912264054i</v>
      </c>
      <c r="AW395" s="64">
        <f t="shared" si="278"/>
        <v>-16.911241044639315</v>
      </c>
      <c r="AX395" s="61">
        <f t="shared" si="279"/>
        <v>-98.911663258520889</v>
      </c>
    </row>
    <row r="396" spans="14:50" x14ac:dyDescent="0.3">
      <c r="N396" s="10">
        <v>78</v>
      </c>
      <c r="O396" s="50">
        <f t="shared" si="280"/>
        <v>60255.95860743591</v>
      </c>
      <c r="P396" s="48" t="str">
        <f t="shared" si="245"/>
        <v>51201.9230769231</v>
      </c>
      <c r="Q396" s="17" t="str">
        <f t="shared" si="246"/>
        <v>1+17692.2390329846i</v>
      </c>
      <c r="R396" s="17">
        <f t="shared" si="255"/>
        <v>17692.239061245575</v>
      </c>
      <c r="S396" s="17">
        <f t="shared" si="256"/>
        <v>1.5707398048364791</v>
      </c>
      <c r="T396" s="17" t="str">
        <f t="shared" si="247"/>
        <v>1+1.13579806137679E-06i</v>
      </c>
      <c r="U396" s="17">
        <f t="shared" si="257"/>
        <v>1.000000000000645</v>
      </c>
      <c r="V396" s="17">
        <f t="shared" si="258"/>
        <v>1.1357980613763016E-6</v>
      </c>
      <c r="W396" s="31" t="str">
        <f t="shared" si="248"/>
        <v>1-0.613330953143466i</v>
      </c>
      <c r="X396" s="17">
        <f t="shared" si="259"/>
        <v>1.1731047941611492</v>
      </c>
      <c r="Y396" s="17">
        <f t="shared" si="260"/>
        <v>-0.55016405078565556</v>
      </c>
      <c r="Z396" s="31" t="str">
        <f t="shared" si="249"/>
        <v>-0.45231221908042+37.4276660614843i</v>
      </c>
      <c r="AA396" s="17">
        <f t="shared" si="261"/>
        <v>37.43039905148639</v>
      </c>
      <c r="AB396" s="17">
        <f t="shared" si="262"/>
        <v>1.582880708458668</v>
      </c>
      <c r="AC396" s="66" t="str">
        <f t="shared" si="263"/>
        <v>-0.0767418147029553+0.0483477753675436i</v>
      </c>
      <c r="AD396" s="64">
        <f t="shared" si="264"/>
        <v>-20.847683475759268</v>
      </c>
      <c r="AE396" s="61">
        <f t="shared" si="265"/>
        <v>147.78884132890389</v>
      </c>
      <c r="AF396" s="31" t="str">
        <f t="shared" si="250"/>
        <v>-0.332666666666667</v>
      </c>
      <c r="AG396" s="31" t="str">
        <f t="shared" si="266"/>
        <v>378599.353792263i</v>
      </c>
      <c r="AH396" s="31">
        <f t="shared" si="267"/>
        <v>378599.35379226302</v>
      </c>
      <c r="AI396" s="31">
        <f t="shared" si="268"/>
        <v>1.5707963267948966</v>
      </c>
      <c r="AJ396" s="31" t="str">
        <f t="shared" si="251"/>
        <v>-7646.49554082361+3122.10707726922i</v>
      </c>
      <c r="AK396" s="31">
        <f t="shared" si="269"/>
        <v>8259.3248306244677</v>
      </c>
      <c r="AL396" s="31">
        <f t="shared" si="270"/>
        <v>2.7539468311599986</v>
      </c>
      <c r="AM396" s="31" t="str">
        <f t="shared" si="252"/>
        <v>1+11359207.2756742i</v>
      </c>
      <c r="AN396" s="31">
        <f t="shared" si="271"/>
        <v>11359207.275674244</v>
      </c>
      <c r="AO396" s="31">
        <f t="shared" si="272"/>
        <v>1.5707962387605845</v>
      </c>
      <c r="AP396" s="31" t="str">
        <f t="shared" si="253"/>
        <v>1+1226.66190628693i</v>
      </c>
      <c r="AQ396" s="31">
        <f t="shared" si="273"/>
        <v>1226.6623138971395</v>
      </c>
      <c r="AR396" s="31">
        <f t="shared" si="274"/>
        <v>1.569981106420524</v>
      </c>
      <c r="AS396" s="58" t="str">
        <f t="shared" si="275"/>
        <v>-0.559233205927877+1.37284092601876i</v>
      </c>
      <c r="AT396" s="49">
        <f t="shared" si="276"/>
        <v>3.4191583727729151</v>
      </c>
      <c r="AU396" s="61">
        <f t="shared" si="277"/>
        <v>112.1637558402858</v>
      </c>
      <c r="AV396" s="58" t="str">
        <f t="shared" si="254"/>
        <v>-0.0234572336414688-0.132391985379437i</v>
      </c>
      <c r="AW396" s="64">
        <f t="shared" si="278"/>
        <v>-17.428525102986381</v>
      </c>
      <c r="AX396" s="61">
        <f t="shared" si="279"/>
        <v>-100.04740283081033</v>
      </c>
    </row>
    <row r="397" spans="14:50" x14ac:dyDescent="0.3">
      <c r="N397" s="10">
        <v>79</v>
      </c>
      <c r="O397" s="50">
        <f t="shared" si="280"/>
        <v>61659.500186148245</v>
      </c>
      <c r="P397" s="48" t="str">
        <f t="shared" si="245"/>
        <v>51201.9230769231</v>
      </c>
      <c r="Q397" s="17" t="str">
        <f t="shared" si="246"/>
        <v>1+18104.3442202091i</v>
      </c>
      <c r="R397" s="17">
        <f t="shared" si="255"/>
        <v>18104.344247826783</v>
      </c>
      <c r="S397" s="17">
        <f t="shared" si="256"/>
        <v>1.5707410914333271</v>
      </c>
      <c r="T397" s="17" t="str">
        <f t="shared" si="247"/>
        <v>1+1.16225419685293E-06i</v>
      </c>
      <c r="U397" s="17">
        <f t="shared" si="257"/>
        <v>1.0000000000006755</v>
      </c>
      <c r="V397" s="17">
        <f t="shared" si="258"/>
        <v>1.1622541968524067E-6</v>
      </c>
      <c r="W397" s="31" t="str">
        <f t="shared" si="248"/>
        <v>1-0.627617266300583i</v>
      </c>
      <c r="X397" s="17">
        <f t="shared" si="259"/>
        <v>1.180636875994739</v>
      </c>
      <c r="Y397" s="17">
        <f t="shared" si="260"/>
        <v>-0.56047918097910288</v>
      </c>
      <c r="Z397" s="31" t="str">
        <f t="shared" si="249"/>
        <v>-0.52075758528225+38.299468398141i</v>
      </c>
      <c r="AA397" s="17">
        <f t="shared" si="261"/>
        <v>38.303008603017474</v>
      </c>
      <c r="AB397" s="17">
        <f t="shared" si="262"/>
        <v>1.5843924814774069</v>
      </c>
      <c r="AC397" s="66" t="str">
        <f t="shared" si="263"/>
        <v>-0.0732022174914482+0.0473364560663228i</v>
      </c>
      <c r="AD397" s="64">
        <f t="shared" si="264"/>
        <v>-21.192261407054282</v>
      </c>
      <c r="AE397" s="61">
        <f t="shared" si="265"/>
        <v>147.1111374893915</v>
      </c>
      <c r="AF397" s="31" t="str">
        <f t="shared" si="250"/>
        <v>-0.332666666666667</v>
      </c>
      <c r="AG397" s="31" t="str">
        <f t="shared" si="266"/>
        <v>387418.065617644i</v>
      </c>
      <c r="AH397" s="31">
        <f t="shared" si="267"/>
        <v>387418.065617644</v>
      </c>
      <c r="AI397" s="31">
        <f t="shared" si="268"/>
        <v>1.5707963267948966</v>
      </c>
      <c r="AJ397" s="31" t="str">
        <f t="shared" si="251"/>
        <v>-8006.91090188833+3194.83029331973i</v>
      </c>
      <c r="AK397" s="31">
        <f t="shared" si="269"/>
        <v>8620.7634693159052</v>
      </c>
      <c r="AL397" s="31">
        <f t="shared" si="270"/>
        <v>2.7619407944792971</v>
      </c>
      <c r="AM397" s="31" t="str">
        <f t="shared" si="252"/>
        <v>1+11623797.2030619i</v>
      </c>
      <c r="AN397" s="31">
        <f t="shared" si="271"/>
        <v>11623797.20306194</v>
      </c>
      <c r="AO397" s="31">
        <f t="shared" si="272"/>
        <v>1.57079624076449</v>
      </c>
      <c r="AP397" s="31" t="str">
        <f t="shared" si="253"/>
        <v>1+1255.23453260117i</v>
      </c>
      <c r="AQ397" s="31">
        <f t="shared" si="273"/>
        <v>1255.2349309330418</v>
      </c>
      <c r="AR397" s="31">
        <f t="shared" si="274"/>
        <v>1.5699996630938351</v>
      </c>
      <c r="AS397" s="58" t="str">
        <f t="shared" si="275"/>
        <v>-0.537514990507799+1.35024912031332i</v>
      </c>
      <c r="AT397" s="49">
        <f t="shared" si="276"/>
        <v>3.247134591263126</v>
      </c>
      <c r="AU397" s="61">
        <f t="shared" si="277"/>
        <v>111.70679881438539</v>
      </c>
      <c r="AV397" s="58" t="str">
        <f t="shared" si="254"/>
        <v>-0.0245687189222369-0.124285284505975i</v>
      </c>
      <c r="AW397" s="64">
        <f t="shared" si="278"/>
        <v>-17.945126815791131</v>
      </c>
      <c r="AX397" s="61">
        <f t="shared" si="279"/>
        <v>-101.18206369622308</v>
      </c>
    </row>
    <row r="398" spans="14:50" x14ac:dyDescent="0.3">
      <c r="N398" s="10">
        <v>80</v>
      </c>
      <c r="O398" s="50">
        <f t="shared" si="280"/>
        <v>63095.734448019342</v>
      </c>
      <c r="P398" s="48" t="str">
        <f t="shared" si="245"/>
        <v>51201.9230769231</v>
      </c>
      <c r="Q398" s="17" t="str">
        <f t="shared" si="246"/>
        <v>1+18526.0485703786i</v>
      </c>
      <c r="R398" s="17">
        <f t="shared" si="255"/>
        <v>18526.048597367622</v>
      </c>
      <c r="S398" s="17">
        <f t="shared" si="256"/>
        <v>1.5707423487436554</v>
      </c>
      <c r="T398" s="17" t="str">
        <f t="shared" si="247"/>
        <v>1+0.0000011893265748885i</v>
      </c>
      <c r="U398" s="17">
        <f t="shared" si="257"/>
        <v>1.0000000000007072</v>
      </c>
      <c r="V398" s="17">
        <f t="shared" si="258"/>
        <v>1.1893265748879392E-6</v>
      </c>
      <c r="W398" s="31" t="str">
        <f t="shared" si="248"/>
        <v>1-0.64223635043979i</v>
      </c>
      <c r="X398" s="17">
        <f t="shared" si="259"/>
        <v>1.1884727720171888</v>
      </c>
      <c r="Y398" s="17">
        <f t="shared" si="260"/>
        <v>-0.5708980947267468</v>
      </c>
      <c r="Z398" s="31" t="str">
        <f t="shared" si="249"/>
        <v>-0.59242868221399+39.1915776198958i</v>
      </c>
      <c r="AA398" s="17">
        <f t="shared" si="261"/>
        <v>39.19605500659253</v>
      </c>
      <c r="AB398" s="17">
        <f t="shared" si="262"/>
        <v>1.5859114000072911</v>
      </c>
      <c r="AC398" s="66" t="str">
        <f t="shared" si="263"/>
        <v>-0.0698217281184417+0.0463418935622184i</v>
      </c>
      <c r="AD398" s="64">
        <f t="shared" si="264"/>
        <v>-21.534992962979477</v>
      </c>
      <c r="AE398" s="61">
        <f t="shared" si="265"/>
        <v>146.42707959591183</v>
      </c>
      <c r="AF398" s="31" t="str">
        <f t="shared" si="250"/>
        <v>-0.332666666666667</v>
      </c>
      <c r="AG398" s="31" t="str">
        <f t="shared" si="266"/>
        <v>396442.1916295i</v>
      </c>
      <c r="AH398" s="31">
        <f t="shared" si="267"/>
        <v>396442.19162950001</v>
      </c>
      <c r="AI398" s="31">
        <f t="shared" si="268"/>
        <v>1.5707963267948966</v>
      </c>
      <c r="AJ398" s="31" t="str">
        <f t="shared" si="251"/>
        <v>-8384.31211561527+3269.24745068035i</v>
      </c>
      <c r="AK398" s="31">
        <f t="shared" si="269"/>
        <v>8999.1482122383659</v>
      </c>
      <c r="AL398" s="31">
        <f t="shared" si="270"/>
        <v>2.7698022442496057</v>
      </c>
      <c r="AM398" s="31" t="str">
        <f t="shared" si="252"/>
        <v>1+11894550.2215859i</v>
      </c>
      <c r="AN398" s="31">
        <f t="shared" si="271"/>
        <v>11894550.221585942</v>
      </c>
      <c r="AO398" s="31">
        <f t="shared" si="272"/>
        <v>1.5707962427227811</v>
      </c>
      <c r="AP398" s="31" t="str">
        <f t="shared" si="253"/>
        <v>1+1284.47270087958i</v>
      </c>
      <c r="AQ398" s="31">
        <f t="shared" si="273"/>
        <v>1284.4730901443143</v>
      </c>
      <c r="AR398" s="31">
        <f t="shared" si="274"/>
        <v>1.5700177973662219</v>
      </c>
      <c r="AS398" s="58" t="str">
        <f t="shared" si="275"/>
        <v>-0.516510584226709+1.32769641036265i</v>
      </c>
      <c r="AT398" s="49">
        <f t="shared" si="276"/>
        <v>3.0740209642698075</v>
      </c>
      <c r="AU398" s="61">
        <f t="shared" si="277"/>
        <v>111.25741005116667</v>
      </c>
      <c r="AV398" s="58" t="str">
        <f t="shared" si="254"/>
        <v>-0.0254643041497906-0.116638136306165i</v>
      </c>
      <c r="AW398" s="64">
        <f t="shared" si="278"/>
        <v>-18.460971998709695</v>
      </c>
      <c r="AX398" s="61">
        <f t="shared" si="279"/>
        <v>-102.31551035292151</v>
      </c>
    </row>
    <row r="399" spans="14:50" x14ac:dyDescent="0.3">
      <c r="N399" s="10">
        <v>81</v>
      </c>
      <c r="O399" s="50">
        <f t="shared" si="280"/>
        <v>64565.422903465682</v>
      </c>
      <c r="P399" s="48" t="str">
        <f t="shared" si="245"/>
        <v>51201.9230769231</v>
      </c>
      <c r="Q399" s="17" t="str">
        <f t="shared" si="246"/>
        <v>1+18957.5756767213i</v>
      </c>
      <c r="R399" s="17">
        <f t="shared" si="255"/>
        <v>18957.575703095979</v>
      </c>
      <c r="S399" s="17">
        <f t="shared" si="256"/>
        <v>1.5707435774341068</v>
      </c>
      <c r="T399" s="17" t="str">
        <f t="shared" si="247"/>
        <v>1+1.21702954961668E-06i</v>
      </c>
      <c r="U399" s="17">
        <f t="shared" si="257"/>
        <v>1.0000000000007407</v>
      </c>
      <c r="V399" s="17">
        <f t="shared" si="258"/>
        <v>1.2170295496160791E-6</v>
      </c>
      <c r="W399" s="31" t="str">
        <f t="shared" si="248"/>
        <v>1-0.657195956793005i</v>
      </c>
      <c r="X399" s="17">
        <f t="shared" si="259"/>
        <v>1.1966229671977191</v>
      </c>
      <c r="Y399" s="17">
        <f t="shared" si="260"/>
        <v>-0.58141726789055193</v>
      </c>
      <c r="Z399" s="31" t="str">
        <f t="shared" si="249"/>
        <v>-0.66747753388135+40.1044667348667i</v>
      </c>
      <c r="AA399" s="17">
        <f t="shared" si="261"/>
        <v>40.110020921787935</v>
      </c>
      <c r="AB399" s="17">
        <f t="shared" si="262"/>
        <v>1.5874382613945457</v>
      </c>
      <c r="AC399" s="66" t="str">
        <f t="shared" si="263"/>
        <v>-0.066593204882369+0.0453641166458511i</v>
      </c>
      <c r="AD399" s="64">
        <f t="shared" si="264"/>
        <v>-21.875841609552566</v>
      </c>
      <c r="AE399" s="61">
        <f t="shared" si="265"/>
        <v>145.73682384475362</v>
      </c>
      <c r="AF399" s="31" t="str">
        <f t="shared" si="250"/>
        <v>-0.332666666666667</v>
      </c>
      <c r="AG399" s="31" t="str">
        <f t="shared" si="266"/>
        <v>405676.516538892i</v>
      </c>
      <c r="AH399" s="31">
        <f t="shared" si="267"/>
        <v>405676.516538892</v>
      </c>
      <c r="AI399" s="31">
        <f t="shared" si="268"/>
        <v>1.5707963267948966</v>
      </c>
      <c r="AJ399" s="31" t="str">
        <f t="shared" si="251"/>
        <v>-8779.49970057788+3345.39800631293i</v>
      </c>
      <c r="AK399" s="31">
        <f t="shared" si="269"/>
        <v>9395.2808799465711</v>
      </c>
      <c r="AL399" s="31">
        <f t="shared" si="270"/>
        <v>2.7775314714005748</v>
      </c>
      <c r="AM399" s="31" t="str">
        <f t="shared" si="252"/>
        <v>1+12171609.8880804i</v>
      </c>
      <c r="AN399" s="31">
        <f t="shared" si="271"/>
        <v>12171609.88808044</v>
      </c>
      <c r="AO399" s="31">
        <f t="shared" si="272"/>
        <v>1.570796244636496</v>
      </c>
      <c r="AP399" s="31" t="str">
        <f t="shared" si="253"/>
        <v>1+1314.39191358601i</v>
      </c>
      <c r="AQ399" s="31">
        <f t="shared" si="273"/>
        <v>1314.3922939899994</v>
      </c>
      <c r="AR399" s="31">
        <f t="shared" si="274"/>
        <v>1.5700355188526682</v>
      </c>
      <c r="AS399" s="58" t="str">
        <f t="shared" si="275"/>
        <v>-0.496206550695636+1.30520416724631i</v>
      </c>
      <c r="AT399" s="49">
        <f t="shared" si="276"/>
        <v>2.8998535715899583</v>
      </c>
      <c r="AU399" s="61">
        <f t="shared" si="277"/>
        <v>110.81557343254616</v>
      </c>
      <c r="AV399" s="58" t="str">
        <f t="shared" si="254"/>
        <v>-0.0261654495951644-0.109427700368948i</v>
      </c>
      <c r="AW399" s="64">
        <f t="shared" si="278"/>
        <v>-18.975988037962573</v>
      </c>
      <c r="AX399" s="61">
        <f t="shared" si="279"/>
        <v>-103.44760272270014</v>
      </c>
    </row>
    <row r="400" spans="14:50" x14ac:dyDescent="0.3">
      <c r="N400" s="10">
        <v>82</v>
      </c>
      <c r="O400" s="50">
        <f t="shared" si="280"/>
        <v>66069.344800759733</v>
      </c>
      <c r="P400" s="48" t="str">
        <f t="shared" si="245"/>
        <v>51201.9230769231</v>
      </c>
      <c r="Q400" s="17" t="str">
        <f t="shared" si="246"/>
        <v>1+19399.154340621i</v>
      </c>
      <c r="R400" s="17">
        <f t="shared" si="255"/>
        <v>19399.154366395316</v>
      </c>
      <c r="S400" s="17">
        <f t="shared" si="256"/>
        <v>1.570744778156149</v>
      </c>
      <c r="T400" s="17" t="str">
        <f t="shared" si="247"/>
        <v>1+1.24537780952135E-06i</v>
      </c>
      <c r="U400" s="17">
        <f t="shared" si="257"/>
        <v>1.0000000000007754</v>
      </c>
      <c r="V400" s="17">
        <f t="shared" si="258"/>
        <v>1.2453778095207063E-6</v>
      </c>
      <c r="W400" s="31" t="str">
        <f t="shared" si="248"/>
        <v>1-0.672504017141528i</v>
      </c>
      <c r="X400" s="17">
        <f t="shared" si="259"/>
        <v>1.2050981922945085</v>
      </c>
      <c r="Y400" s="17">
        <f t="shared" si="260"/>
        <v>-0.59203296585425047</v>
      </c>
      <c r="Z400" s="31" t="str">
        <f t="shared" si="249"/>
        <v>-0.74606332896068+41.0386197689458i</v>
      </c>
      <c r="AA400" s="17">
        <f t="shared" si="261"/>
        <v>41.045400753688945</v>
      </c>
      <c r="AB400" s="17">
        <f t="shared" si="262"/>
        <v>1.5889738668583455</v>
      </c>
      <c r="AC400" s="66" t="str">
        <f t="shared" si="263"/>
        <v>-0.063509825893404+0.0444031259722484i</v>
      </c>
      <c r="AD400" s="64">
        <f t="shared" si="264"/>
        <v>-22.21477182854477</v>
      </c>
      <c r="AE400" s="61">
        <f t="shared" si="265"/>
        <v>145.0405382707053</v>
      </c>
      <c r="AF400" s="31" t="str">
        <f t="shared" si="250"/>
        <v>-0.332666666666667</v>
      </c>
      <c r="AG400" s="31" t="str">
        <f t="shared" si="266"/>
        <v>415125.936507116i</v>
      </c>
      <c r="AH400" s="31">
        <f t="shared" si="267"/>
        <v>415125.93650711601</v>
      </c>
      <c r="AI400" s="31">
        <f t="shared" si="268"/>
        <v>1.5707963267948966</v>
      </c>
      <c r="AJ400" s="31" t="str">
        <f t="shared" si="251"/>
        <v>-9193.31190262748+3423.32233625002i</v>
      </c>
      <c r="AK400" s="31">
        <f t="shared" si="269"/>
        <v>9810.000996781826</v>
      </c>
      <c r="AL400" s="31">
        <f t="shared" si="270"/>
        <v>2.7851288890240782</v>
      </c>
      <c r="AM400" s="31" t="str">
        <f t="shared" si="252"/>
        <v>1+12455123.1032478i</v>
      </c>
      <c r="AN400" s="31">
        <f t="shared" si="271"/>
        <v>12455123.10324784</v>
      </c>
      <c r="AO400" s="31">
        <f t="shared" si="272"/>
        <v>1.5707962465066496</v>
      </c>
      <c r="AP400" s="31" t="str">
        <f t="shared" si="253"/>
        <v>1+1345.00803428306i</v>
      </c>
      <c r="AQ400" s="31">
        <f t="shared" si="273"/>
        <v>1345.0084060279999</v>
      </c>
      <c r="AR400" s="31">
        <f t="shared" si="274"/>
        <v>1.5700528369492959</v>
      </c>
      <c r="AS400" s="58" t="str">
        <f t="shared" si="275"/>
        <v>-0.476588899065188+1.28279259817717i</v>
      </c>
      <c r="AT400" s="49">
        <f t="shared" si="276"/>
        <v>2.7246677929900947</v>
      </c>
      <c r="AU400" s="61">
        <f t="shared" si="277"/>
        <v>110.3812658285191</v>
      </c>
      <c r="AV400" s="58" t="str">
        <f t="shared" si="254"/>
        <v>-0.0266919233307695-0.102631971489746i</v>
      </c>
      <c r="AW400" s="64">
        <f t="shared" si="278"/>
        <v>-19.49010403555469</v>
      </c>
      <c r="AX400" s="61">
        <f t="shared" si="279"/>
        <v>-104.57819590077558</v>
      </c>
    </row>
    <row r="401" spans="14:50" x14ac:dyDescent="0.3">
      <c r="N401" s="10">
        <v>83</v>
      </c>
      <c r="O401" s="50">
        <f t="shared" si="280"/>
        <v>67608.297539198305</v>
      </c>
      <c r="P401" s="48" t="str">
        <f t="shared" si="245"/>
        <v>51201.9230769231</v>
      </c>
      <c r="Q401" s="17" t="str">
        <f t="shared" si="246"/>
        <v>1+19851.0186929302i</v>
      </c>
      <c r="R401" s="17">
        <f t="shared" si="255"/>
        <v>19851.018718117823</v>
      </c>
      <c r="S401" s="17">
        <f t="shared" si="256"/>
        <v>1.5707459515464208</v>
      </c>
      <c r="T401" s="17" t="str">
        <f t="shared" si="247"/>
        <v>1+1.27438638522515E-06i</v>
      </c>
      <c r="U401" s="17">
        <f t="shared" si="257"/>
        <v>1.000000000000812</v>
      </c>
      <c r="V401" s="17">
        <f t="shared" si="258"/>
        <v>1.27438638522446E-6</v>
      </c>
      <c r="W401" s="31" t="str">
        <f t="shared" si="248"/>
        <v>1-0.688168648021581i</v>
      </c>
      <c r="X401" s="17">
        <f t="shared" si="259"/>
        <v>1.2139094233590291</v>
      </c>
      <c r="Y401" s="17">
        <f t="shared" si="260"/>
        <v>-0.60274124657484285</v>
      </c>
      <c r="Z401" s="31" t="str">
        <f t="shared" si="249"/>
        <v>-0.82835275845952+41.9945320224366i</v>
      </c>
      <c r="AA401" s="17">
        <f t="shared" si="261"/>
        <v>42.002700961675082</v>
      </c>
      <c r="AB401" s="17">
        <f t="shared" si="262"/>
        <v>1.5905190218761245</v>
      </c>
      <c r="AC401" s="66" t="str">
        <f t="shared" si="263"/>
        <v>-0.0605650748253682+0.0434588965250462i</v>
      </c>
      <c r="AD401" s="64">
        <f t="shared" si="264"/>
        <v>-22.551749233045758</v>
      </c>
      <c r="AE401" s="61">
        <f t="shared" si="265"/>
        <v>144.33840255012055</v>
      </c>
      <c r="AF401" s="31" t="str">
        <f t="shared" si="250"/>
        <v>-0.332666666666667</v>
      </c>
      <c r="AG401" s="31" t="str">
        <f t="shared" si="266"/>
        <v>424795.461741717i</v>
      </c>
      <c r="AH401" s="31">
        <f t="shared" si="267"/>
        <v>424795.46174171701</v>
      </c>
      <c r="AI401" s="31">
        <f t="shared" si="268"/>
        <v>1.5707963267948966</v>
      </c>
      <c r="AJ401" s="31" t="str">
        <f t="shared" si="251"/>
        <v>-9626.62647292545+3503.06175700283i</v>
      </c>
      <c r="AK401" s="31">
        <f t="shared" si="269"/>
        <v>10244.18756771882</v>
      </c>
      <c r="AL401" s="31">
        <f t="shared" si="270"/>
        <v>2.7925950255653893</v>
      </c>
      <c r="AM401" s="31" t="str">
        <f t="shared" si="252"/>
        <v>1+12745240.1895476i</v>
      </c>
      <c r="AN401" s="31">
        <f t="shared" si="271"/>
        <v>12745240.189547639</v>
      </c>
      <c r="AO401" s="31">
        <f t="shared" si="272"/>
        <v>1.5707962483342333</v>
      </c>
      <c r="AP401" s="31" t="str">
        <f t="shared" si="253"/>
        <v>1+1376.33729604316i</v>
      </c>
      <c r="AQ401" s="31">
        <f t="shared" si="273"/>
        <v>1376.3376593261544</v>
      </c>
      <c r="AR401" s="31">
        <f t="shared" si="274"/>
        <v>1.5700697608383474</v>
      </c>
      <c r="AS401" s="58" t="str">
        <f t="shared" si="275"/>
        <v>-0.457643162171985+1.26048075714658i</v>
      </c>
      <c r="AT401" s="49">
        <f t="shared" si="276"/>
        <v>2.5484982819250357</v>
      </c>
      <c r="AU401" s="61">
        <f t="shared" si="277"/>
        <v>109.95445748756191</v>
      </c>
      <c r="AV401" s="58" t="str">
        <f t="shared" si="254"/>
        <v>-0.0270619104363807-0.0962297782027466i</v>
      </c>
      <c r="AW401" s="64">
        <f t="shared" si="278"/>
        <v>-20.003250951120719</v>
      </c>
      <c r="AX401" s="61">
        <f t="shared" si="279"/>
        <v>-105.70713996231754</v>
      </c>
    </row>
    <row r="402" spans="14:50" x14ac:dyDescent="0.3">
      <c r="N402" s="10">
        <v>84</v>
      </c>
      <c r="O402" s="50">
        <f t="shared" si="280"/>
        <v>69183.097091893651</v>
      </c>
      <c r="P402" s="48" t="str">
        <f t="shared" si="245"/>
        <v>51201.9230769231</v>
      </c>
      <c r="Q402" s="17" t="str">
        <f t="shared" si="246"/>
        <v>1+20313.4083181097i</v>
      </c>
      <c r="R402" s="17">
        <f t="shared" si="255"/>
        <v>20313.408342723982</v>
      </c>
      <c r="S402" s="17">
        <f t="shared" si="256"/>
        <v>1.5707470982270693</v>
      </c>
      <c r="T402" s="17" t="str">
        <f t="shared" si="247"/>
        <v>1+0.0000013040706574589i</v>
      </c>
      <c r="U402" s="17">
        <f t="shared" si="257"/>
        <v>1.0000000000008504</v>
      </c>
      <c r="V402" s="17">
        <f t="shared" si="258"/>
        <v>1.3040706574581607E-6</v>
      </c>
      <c r="W402" s="31" t="str">
        <f t="shared" si="248"/>
        <v>1-0.704198155027803i</v>
      </c>
      <c r="X402" s="17">
        <f t="shared" si="259"/>
        <v>1.2230678810043871</v>
      </c>
      <c r="Y402" s="17">
        <f t="shared" si="260"/>
        <v>-0.61353796459954557</v>
      </c>
      <c r="Z402" s="31" t="str">
        <f t="shared" si="249"/>
        <v>-0.91452036929056+42.972710332669i</v>
      </c>
      <c r="AA402" s="17">
        <f t="shared" si="261"/>
        <v>42.982440377918564</v>
      </c>
      <c r="AB402" s="17">
        <f t="shared" si="262"/>
        <v>1.5920745365693687</v>
      </c>
      <c r="AC402" s="66" t="str">
        <f t="shared" si="263"/>
        <v>-0.0577527272962842+0.0425313799035687i</v>
      </c>
      <c r="AD402" s="64">
        <f t="shared" si="264"/>
        <v>-22.886740683067309</v>
      </c>
      <c r="AE402" s="61">
        <f t="shared" si="265"/>
        <v>143.63060774864073</v>
      </c>
      <c r="AF402" s="31" t="str">
        <f t="shared" si="250"/>
        <v>-0.332666666666667</v>
      </c>
      <c r="AG402" s="31" t="str">
        <f t="shared" si="266"/>
        <v>434690.219152965i</v>
      </c>
      <c r="AH402" s="31">
        <f t="shared" si="267"/>
        <v>434690.219152965</v>
      </c>
      <c r="AI402" s="31">
        <f t="shared" si="268"/>
        <v>1.5707963267948966</v>
      </c>
      <c r="AJ402" s="31" t="str">
        <f t="shared" si="251"/>
        <v>-10080.3625297708+3584.65854746769i</v>
      </c>
      <c r="AK402" s="31">
        <f t="shared" si="269"/>
        <v>10698.760939171429</v>
      </c>
      <c r="AL402" s="31">
        <f t="shared" si="270"/>
        <v>2.7999305180899987</v>
      </c>
      <c r="AM402" s="31" t="str">
        <f t="shared" si="252"/>
        <v>1+13042114.970899i</v>
      </c>
      <c r="AN402" s="31">
        <f t="shared" si="271"/>
        <v>13042114.970899038</v>
      </c>
      <c r="AO402" s="31">
        <f t="shared" si="272"/>
        <v>1.570796250120216</v>
      </c>
      <c r="AP402" s="31" t="str">
        <f t="shared" si="253"/>
        <v>1+1408.39631005561i</v>
      </c>
      <c r="AQ402" s="31">
        <f t="shared" si="273"/>
        <v>1408.3966650692757</v>
      </c>
      <c r="AR402" s="31">
        <f t="shared" si="274"/>
        <v>1.570086299493054</v>
      </c>
      <c r="AS402" s="58" t="str">
        <f t="shared" si="275"/>
        <v>-0.439354470890637+1.23828655994836i</v>
      </c>
      <c r="AT402" s="49">
        <f t="shared" si="276"/>
        <v>2.3713789431478878</v>
      </c>
      <c r="AU402" s="61">
        <f t="shared" si="277"/>
        <v>109.53511242269484</v>
      </c>
      <c r="AV402" s="58" t="str">
        <f t="shared" si="254"/>
        <v>-0.0272921171668967-0.0902007779251326i</v>
      </c>
      <c r="AW402" s="64">
        <f t="shared" si="278"/>
        <v>-20.51536173991942</v>
      </c>
      <c r="AX402" s="61">
        <f t="shared" si="279"/>
        <v>-106.83427982866444</v>
      </c>
    </row>
    <row r="403" spans="14:50" x14ac:dyDescent="0.3">
      <c r="N403" s="10">
        <v>85</v>
      </c>
      <c r="O403" s="50">
        <f t="shared" si="280"/>
        <v>70794.578438413781</v>
      </c>
      <c r="P403" s="48" t="str">
        <f t="shared" ref="P403:P466" si="281">COMPLEX(Adc,0)</f>
        <v>51201.9230769231</v>
      </c>
      <c r="Q403" s="17" t="str">
        <f t="shared" ref="Q403:Q466" si="282">IMSUM(COMPLEX(1,0),IMDIV(COMPLEX(0,2*PI()*O403),COMPLEX(wp_lf,0)))</f>
        <v>1+20786.5683812592i</v>
      </c>
      <c r="R403" s="17">
        <f t="shared" si="255"/>
        <v>20786.568405313192</v>
      </c>
      <c r="S403" s="17">
        <f t="shared" si="256"/>
        <v>1.5707482188060797</v>
      </c>
      <c r="T403" s="17" t="str">
        <f t="shared" ref="T403:T466" si="283">IMSUM(COMPLEX(1,0),IMDIV(COMPLEX(0,2*PI()*O403),COMPLEX(wz_esr,0)))</f>
        <v>1+1.33444636521664E-06i</v>
      </c>
      <c r="U403" s="17">
        <f t="shared" si="257"/>
        <v>1.0000000000008904</v>
      </c>
      <c r="V403" s="17">
        <f t="shared" si="258"/>
        <v>1.3344463652158477E-6</v>
      </c>
      <c r="W403" s="31" t="str">
        <f t="shared" ref="W403:W466" si="284">IMSUB(COMPLEX(1,0),IMDIV(COMPLEX(0,2*PI()*O403),COMPLEX(wz_rhp,0)))</f>
        <v>1-0.720601037216987i</v>
      </c>
      <c r="X403" s="17">
        <f t="shared" si="259"/>
        <v>1.2325850294556548</v>
      </c>
      <c r="Y403" s="17">
        <f t="shared" si="260"/>
        <v>-0.62441877606534657</v>
      </c>
      <c r="Z403" s="31" t="str">
        <f t="shared" ref="Z403:Z466" si="285">IMSUM(COMPLEX(1,0),IMDIV(COMPLEX(0,2*PI()*O403),COMPLEX(Q*(wsl/2),0)),IMDIV(IMPOWER(COMPLEX(0,2*PI()*O403),2),IMPOWER(COMPLEX(wsl/2,0),2)))</f>
        <v>-1.00474893450909+43.9736733427309i</v>
      </c>
      <c r="AA403" s="17">
        <f t="shared" si="261"/>
        <v>43.985150536000205</v>
      </c>
      <c r="AB403" s="17">
        <f t="shared" si="262"/>
        <v>1.5936412260899115</v>
      </c>
      <c r="AC403" s="66" t="str">
        <f t="shared" si="263"/>
        <v>-0.0550668378504041+0.0416205064448222i</v>
      </c>
      <c r="AD403" s="64">
        <f t="shared" si="264"/>
        <v>-23.219714400480306</v>
      </c>
      <c r="AE403" s="61">
        <f t="shared" si="265"/>
        <v>142.9173560125902</v>
      </c>
      <c r="AF403" s="31" t="str">
        <f t="shared" ref="AF403:AF466" si="286">COMPLEX(Adc_ea_iso,0)</f>
        <v>-0.332666666666667</v>
      </c>
      <c r="AG403" s="31" t="str">
        <f t="shared" si="266"/>
        <v>444815.455072214i</v>
      </c>
      <c r="AH403" s="31">
        <f t="shared" si="267"/>
        <v>444815.45507221401</v>
      </c>
      <c r="AI403" s="31">
        <f t="shared" si="268"/>
        <v>1.5707963267948966</v>
      </c>
      <c r="AJ403" s="31" t="str">
        <f t="shared" ref="AJ403:AJ466" si="287">IMSUM(IMPRODUCT(COMPLEX(wpA_ea_iso,0),IMPOWER(COMPLEX(0,2*PI()*O403),2)),COMPLEX(0,wpB_ea_iso*2*PI()*O403),COMPLEX(1,0))</f>
        <v>-10555.4825081736+3668.155971343i</v>
      </c>
      <c r="AK403" s="31">
        <f t="shared" si="269"/>
        <v>11174.684747699066</v>
      </c>
      <c r="AL403" s="31">
        <f t="shared" si="270"/>
        <v>2.8071361056504025</v>
      </c>
      <c r="AM403" s="31" t="str">
        <f t="shared" ref="AM403:AM466" si="288">IMSUM(COMPLEX(1,0),IMDIV(COMPLEX(0,2*PI()*O403),COMPLEX(wz1_ea_iso,0)))</f>
        <v>1+13345904.8542409i</v>
      </c>
      <c r="AN403" s="31">
        <f t="shared" si="271"/>
        <v>13345904.854240935</v>
      </c>
      <c r="AO403" s="31">
        <f t="shared" si="272"/>
        <v>1.5707962518655447</v>
      </c>
      <c r="AP403" s="31" t="str">
        <f t="shared" ref="AP403:AP466" si="289">IMSUM(COMPLEX(1,0),IMDIV(COMPLEX(0,2*PI()*O403),COMPLEX(wz2_ea_iso,0)))</f>
        <v>1+1441.20207443397i</v>
      </c>
      <c r="AQ403" s="31">
        <f t="shared" si="273"/>
        <v>1441.2024213665402</v>
      </c>
      <c r="AR403" s="31">
        <f t="shared" si="274"/>
        <v>1.5701024616823933</v>
      </c>
      <c r="AS403" s="58" t="str">
        <f t="shared" si="275"/>
        <v>-0.421707624562866+1.21622680310493i</v>
      </c>
      <c r="AT403" s="49">
        <f t="shared" si="276"/>
        <v>2.19334291401423</v>
      </c>
      <c r="AU403" s="61">
        <f t="shared" si="277"/>
        <v>109.1231887918086</v>
      </c>
      <c r="AV403" s="58" t="str">
        <f t="shared" ref="AV403:AV466" si="290">IMPRODUCT(AC403,AS403)</f>
        <v>-0.0273978701149118-0.084525449061844i</v>
      </c>
      <c r="AW403" s="64">
        <f t="shared" si="278"/>
        <v>-21.026371486466072</v>
      </c>
      <c r="AX403" s="61">
        <f t="shared" si="279"/>
        <v>-107.95945519560115</v>
      </c>
    </row>
    <row r="404" spans="14:50" x14ac:dyDescent="0.3">
      <c r="N404" s="10">
        <v>86</v>
      </c>
      <c r="O404" s="50">
        <f t="shared" si="280"/>
        <v>72443.596007499116</v>
      </c>
      <c r="P404" s="48" t="str">
        <f t="shared" si="281"/>
        <v>51201.9230769231</v>
      </c>
      <c r="Q404" s="17" t="str">
        <f t="shared" si="282"/>
        <v>1+21270.7497581073i</v>
      </c>
      <c r="R404" s="17">
        <f t="shared" ref="R404:R467" si="291">IMABS(Q404)</f>
        <v>21270.749781613758</v>
      </c>
      <c r="S404" s="17">
        <f t="shared" ref="S404:S467" si="292">IMARGUMENT(Q404)</f>
        <v>1.5707493138775976</v>
      </c>
      <c r="T404" s="17" t="str">
        <f t="shared" si="283"/>
        <v>1+1.36552961410072E-06i</v>
      </c>
      <c r="U404" s="17">
        <f t="shared" ref="U404:U467" si="293">IMABS(T404)</f>
        <v>1.0000000000009324</v>
      </c>
      <c r="V404" s="17">
        <f t="shared" ref="V404:V467" si="294">IMARGUMENT(T404)</f>
        <v>1.3655296140998713E-6</v>
      </c>
      <c r="W404" s="31" t="str">
        <f t="shared" si="284"/>
        <v>1-0.737385991614387i</v>
      </c>
      <c r="X404" s="17">
        <f t="shared" ref="X404:X467" si="295">IMABS(W404)</f>
        <v>1.2424725754032291</v>
      </c>
      <c r="Y404" s="17">
        <f t="shared" ref="Y404:Y467" si="296">IMARGUMENT(W404)</f>
        <v>-0.63537914469064372</v>
      </c>
      <c r="Z404" s="31" t="str">
        <f t="shared" si="285"/>
        <v>-1.0992298409991+44.9979517764596i</v>
      </c>
      <c r="AA404" s="17">
        <f t="shared" ref="AA404:AA467" si="297">IMABS(Z404)</f>
        <v>45.011376010070244</v>
      </c>
      <c r="AB404" s="17">
        <f t="shared" ref="AB404:AB467" si="298">IMARGUMENT(Z404)</f>
        <v>1.5952199110067253</v>
      </c>
      <c r="AC404" s="66" t="str">
        <f t="shared" ref="AC404:AC467" si="299">(IMDIV(IMPRODUCT(P404,T404,W404),IMPRODUCT(Q404,Z404)))</f>
        <v>-0.05250172751565+0.0407261871916259i</v>
      </c>
      <c r="AD404" s="64">
        <f t="shared" ref="AD404:AD467" si="300">20*LOG(IMABS(AC404))</f>
        <v>-23.550640082553222</v>
      </c>
      <c r="AE404" s="61">
        <f t="shared" ref="AE404:AE467" si="301">(180/PI())*IMARGUMENT(AC404)</f>
        <v>142.19886020350143</v>
      </c>
      <c r="AF404" s="31" t="str">
        <f t="shared" si="286"/>
        <v>-0.332666666666667</v>
      </c>
      <c r="AG404" s="31" t="str">
        <f t="shared" ref="AG404:AG467" si="302">COMPLEX(0,1*2*PI()*O404)</f>
        <v>455176.538033572i</v>
      </c>
      <c r="AH404" s="31">
        <f t="shared" ref="AH404:AH467" si="303">IMABS(AG404)</f>
        <v>455176.53803357203</v>
      </c>
      <c r="AI404" s="31">
        <f t="shared" ref="AI404:AI467" si="304">IMARGUMENT(AG404)</f>
        <v>1.5707963267948966</v>
      </c>
      <c r="AJ404" s="31" t="str">
        <f t="shared" si="287"/>
        <v>-11052.9942013086+3753.5983000681i</v>
      </c>
      <c r="AK404" s="31">
        <f t="shared" ref="AK404:AK467" si="305">IMABS(AJ404)</f>
        <v>11672.967960738848</v>
      </c>
      <c r="AL404" s="31">
        <f t="shared" ref="AL404:AL467" si="306">IMARGUMENT(AJ404)</f>
        <v>2.8142126227744231</v>
      </c>
      <c r="AM404" s="31" t="str">
        <f t="shared" si="288"/>
        <v>1+13656770.9129904i</v>
      </c>
      <c r="AN404" s="31">
        <f t="shared" ref="AN404:AN467" si="307">IMABS(AM404)</f>
        <v>13656770.912990438</v>
      </c>
      <c r="AO404" s="31">
        <f t="shared" ref="AO404:AO467" si="308">IMARGUMENT(AM404)</f>
        <v>1.5707962535711451</v>
      </c>
      <c r="AP404" s="31" t="str">
        <f t="shared" si="289"/>
        <v>1+1474.77198322877i</v>
      </c>
      <c r="AQ404" s="31">
        <f t="shared" ref="AQ404:AQ467" si="309">IMABS(AP404)</f>
        <v>1474.7723222641926</v>
      </c>
      <c r="AR404" s="31">
        <f t="shared" ref="AR404:AR467" si="310">IMARGUMENT(AP404)</f>
        <v>1.5701182559757381</v>
      </c>
      <c r="AS404" s="58" t="str">
        <f t="shared" ref="AS404:AS467" si="311">IMDIV(IMPRODUCT(AF404,AM404,AP404),IMPRODUCT(AG404,AJ404))</f>
        <v>-0.404687157420443+1.19431718623457i</v>
      </c>
      <c r="AT404" s="49">
        <f t="shared" ref="AT404:AT467" si="312">20*LOG(IMABS(AS404))</f>
        <v>2.0144225492771217</v>
      </c>
      <c r="AU404" s="61">
        <f t="shared" ref="AU404:AU467" si="313">(180/PI())*IMARGUMENT(AS404)</f>
        <v>108.71863927102292</v>
      </c>
      <c r="AV404" s="58" t="str">
        <f t="shared" si="290"/>
        <v>-0.027393210424794-0.0791850804060971i</v>
      </c>
      <c r="AW404" s="64">
        <f t="shared" ref="AW404:AW467" si="314">20*LOG(IMABS(AV404))</f>
        <v>-21.536217533276101</v>
      </c>
      <c r="AX404" s="61">
        <f t="shared" ref="AX404:AX467" si="315">(180/PI())*IMARGUMENT(AV404)</f>
        <v>-109.08250052547567</v>
      </c>
    </row>
    <row r="405" spans="14:50" x14ac:dyDescent="0.3">
      <c r="N405" s="10">
        <v>87</v>
      </c>
      <c r="O405" s="50">
        <f t="shared" si="280"/>
        <v>74131.024130091857</v>
      </c>
      <c r="P405" s="48" t="str">
        <f t="shared" si="281"/>
        <v>51201.9230769231</v>
      </c>
      <c r="Q405" s="17" t="str">
        <f t="shared" si="282"/>
        <v>1+21766.2091680288i</v>
      </c>
      <c r="R405" s="17">
        <f t="shared" si="291"/>
        <v>21766.209191000184</v>
      </c>
      <c r="S405" s="17">
        <f t="shared" si="292"/>
        <v>1.570750384022245</v>
      </c>
      <c r="T405" s="17" t="str">
        <f t="shared" si="283"/>
        <v>1+1.39733688486111E-06i</v>
      </c>
      <c r="U405" s="17">
        <f t="shared" si="293"/>
        <v>1.0000000000009763</v>
      </c>
      <c r="V405" s="17">
        <f t="shared" si="294"/>
        <v>1.3973368848602004E-6</v>
      </c>
      <c r="W405" s="31" t="str">
        <f t="shared" si="284"/>
        <v>1-0.754561917824998i</v>
      </c>
      <c r="X405" s="17">
        <f t="shared" si="295"/>
        <v>1.252742466683292</v>
      </c>
      <c r="Y405" s="17">
        <f t="shared" si="296"/>
        <v>-0.64641434876024428</v>
      </c>
      <c r="Z405" s="31" t="str">
        <f t="shared" si="285"/>
        <v>-1.19816349543051+46.0460887198385i</v>
      </c>
      <c r="AA405" s="17">
        <f t="shared" si="297"/>
        <v>46.061674765004156</v>
      </c>
      <c r="AB405" s="17">
        <f t="shared" si="298"/>
        <v>1.5968114176932124</v>
      </c>
      <c r="AC405" s="66" t="str">
        <f t="shared" si="299"/>
        <v>-0.050051971911502+0.0398483157173693i</v>
      </c>
      <c r="AD405" s="64">
        <f t="shared" si="300"/>
        <v>-23.879489013336929</v>
      </c>
      <c r="AE405" s="61">
        <f t="shared" si="301"/>
        <v>141.47534347569578</v>
      </c>
      <c r="AF405" s="31" t="str">
        <f t="shared" si="286"/>
        <v>-0.332666666666667</v>
      </c>
      <c r="AG405" s="31" t="str">
        <f t="shared" si="302"/>
        <v>465778.961620369i</v>
      </c>
      <c r="AH405" s="31">
        <f t="shared" si="303"/>
        <v>465778.96162036899</v>
      </c>
      <c r="AI405" s="31">
        <f t="shared" si="304"/>
        <v>1.5707963267948966</v>
      </c>
      <c r="AJ405" s="31" t="str">
        <f t="shared" si="287"/>
        <v>-11573.9528981793+3841.03083629664i</v>
      </c>
      <c r="AK405" s="31">
        <f t="shared" si="305"/>
        <v>12194.667013684902</v>
      </c>
      <c r="AL405" s="31">
        <f t="shared" si="306"/>
        <v>2.8211609930939434</v>
      </c>
      <c r="AM405" s="31" t="str">
        <f t="shared" si="288"/>
        <v>1+13974877.9724467i</v>
      </c>
      <c r="AN405" s="31">
        <f t="shared" si="307"/>
        <v>13974877.972446738</v>
      </c>
      <c r="AO405" s="31">
        <f t="shared" si="308"/>
        <v>1.5707962552379211</v>
      </c>
      <c r="AP405" s="31" t="str">
        <f t="shared" si="289"/>
        <v>1+1509.12383565i</v>
      </c>
      <c r="AQ405" s="31">
        <f t="shared" si="309"/>
        <v>1509.1241669680358</v>
      </c>
      <c r="AR405" s="31">
        <f t="shared" si="310"/>
        <v>1.5701336907474002</v>
      </c>
      <c r="AS405" s="58" t="str">
        <f t="shared" si="311"/>
        <v>-0.388277400959398+1.17257233741815i</v>
      </c>
      <c r="AT405" s="49">
        <f t="shared" si="312"/>
        <v>1.8346494091694423</v>
      </c>
      <c r="AU405" s="61">
        <f t="shared" si="313"/>
        <v>108.32141141999362</v>
      </c>
      <c r="AV405" s="58" t="str">
        <f t="shared" si="290"/>
        <v>-0.0272909831362013-0.0741617581560072i</v>
      </c>
      <c r="AW405" s="64">
        <f t="shared" si="314"/>
        <v>-22.044839604167482</v>
      </c>
      <c r="AX405" s="61">
        <f t="shared" si="315"/>
        <v>-110.20324510431055</v>
      </c>
    </row>
    <row r="406" spans="14:50" x14ac:dyDescent="0.3">
      <c r="N406" s="10">
        <v>88</v>
      </c>
      <c r="O406" s="50">
        <f t="shared" si="280"/>
        <v>75857.757502918481</v>
      </c>
      <c r="P406" s="48" t="str">
        <f t="shared" si="281"/>
        <v>51201.9230769231</v>
      </c>
      <c r="Q406" s="17" t="str">
        <f t="shared" si="282"/>
        <v>1+22273.2093101609i</v>
      </c>
      <c r="R406" s="17">
        <f t="shared" si="291"/>
        <v>22273.209332609393</v>
      </c>
      <c r="S406" s="17">
        <f t="shared" si="292"/>
        <v>1.5707514298074261</v>
      </c>
      <c r="T406" s="17" t="str">
        <f t="shared" si="283"/>
        <v>1+1.42988504213379E-06i</v>
      </c>
      <c r="U406" s="17">
        <f t="shared" si="293"/>
        <v>1.0000000000010223</v>
      </c>
      <c r="V406" s="17">
        <f t="shared" si="294"/>
        <v>1.4298850421328154E-6</v>
      </c>
      <c r="W406" s="31" t="str">
        <f t="shared" si="284"/>
        <v>1-0.772137922752245i</v>
      </c>
      <c r="X406" s="17">
        <f t="shared" si="295"/>
        <v>1.263406890812359</v>
      </c>
      <c r="Y406" s="17">
        <f t="shared" si="296"/>
        <v>-0.65751948909633839</v>
      </c>
      <c r="Z406" s="31" t="str">
        <f t="shared" si="285"/>
        <v>-1.30175974934864+47.1186399089485i</v>
      </c>
      <c r="AA406" s="17">
        <f t="shared" si="297"/>
        <v>47.13661851802884</v>
      </c>
      <c r="AB406" s="17">
        <f t="shared" si="298"/>
        <v>1.5984165787149747</v>
      </c>
      <c r="AC406" s="66" t="str">
        <f t="shared" si="299"/>
        <v>-0.0477123898834013+0.0389867698171763i</v>
      </c>
      <c r="AD406" s="64">
        <f t="shared" si="300"/>
        <v>-24.206234172128429</v>
      </c>
      <c r="AE406" s="61">
        <f t="shared" si="301"/>
        <v>140.74703879734611</v>
      </c>
      <c r="AF406" s="31" t="str">
        <f t="shared" si="286"/>
        <v>-0.332666666666667</v>
      </c>
      <c r="AG406" s="31" t="str">
        <f t="shared" si="302"/>
        <v>476628.347377929i</v>
      </c>
      <c r="AH406" s="31">
        <f t="shared" si="303"/>
        <v>476628.34737792902</v>
      </c>
      <c r="AI406" s="31">
        <f t="shared" si="304"/>
        <v>1.5707963267948966</v>
      </c>
      <c r="AJ406" s="31" t="str">
        <f t="shared" si="287"/>
        <v>-12119.463622028+3930.49993791663i</v>
      </c>
      <c r="AK406" s="31">
        <f t="shared" si="305"/>
        <v>12740.888047841197</v>
      </c>
      <c r="AL406" s="31">
        <f t="shared" si="306"/>
        <v>2.8279822231304768</v>
      </c>
      <c r="AM406" s="31" t="str">
        <f t="shared" si="288"/>
        <v>1+14300394.6971834i</v>
      </c>
      <c r="AN406" s="31">
        <f t="shared" si="307"/>
        <v>14300394.697183436</v>
      </c>
      <c r="AO406" s="31">
        <f t="shared" si="308"/>
        <v>1.5707962568667568</v>
      </c>
      <c r="AP406" s="31" t="str">
        <f t="shared" si="289"/>
        <v>1+1544.27584550449i</v>
      </c>
      <c r="AQ406" s="31">
        <f t="shared" si="309"/>
        <v>1544.2761692808083</v>
      </c>
      <c r="AR406" s="31">
        <f t="shared" si="310"/>
        <v>1.5701487741810705</v>
      </c>
      <c r="AS406" s="58" t="str">
        <f t="shared" si="311"/>
        <v>-0.372462542259221+1.15100584114413i</v>
      </c>
      <c r="AT406" s="49">
        <f t="shared" si="312"/>
        <v>1.6540542505631903</v>
      </c>
      <c r="AU406" s="61">
        <f t="shared" si="313"/>
        <v>107.93144803822769</v>
      </c>
      <c r="AV406" s="58" t="str">
        <f t="shared" si="290"/>
        <v>-0.0271029217536768-0.0694383508513215i</v>
      </c>
      <c r="AW406" s="64">
        <f t="shared" si="314"/>
        <v>-22.552179921565244</v>
      </c>
      <c r="AX406" s="61">
        <f t="shared" si="315"/>
        <v>-111.32151316442619</v>
      </c>
    </row>
    <row r="407" spans="14:50" x14ac:dyDescent="0.3">
      <c r="N407" s="10">
        <v>89</v>
      </c>
      <c r="O407" s="50">
        <f t="shared" si="280"/>
        <v>77624.711662869129</v>
      </c>
      <c r="P407" s="48" t="str">
        <f t="shared" si="281"/>
        <v>51201.9230769231</v>
      </c>
      <c r="Q407" s="17" t="str">
        <f t="shared" si="282"/>
        <v>1+22792.0190026901i</v>
      </c>
      <c r="R407" s="17">
        <f t="shared" si="291"/>
        <v>22792.019024627603</v>
      </c>
      <c r="S407" s="17">
        <f t="shared" si="292"/>
        <v>1.5707524517876303</v>
      </c>
      <c r="T407" s="17" t="str">
        <f t="shared" si="283"/>
        <v>1+1.46319134338257E-06i</v>
      </c>
      <c r="U407" s="17">
        <f t="shared" si="293"/>
        <v>1.0000000000010705</v>
      </c>
      <c r="V407" s="17">
        <f t="shared" si="294"/>
        <v>1.4631913433815257E-6</v>
      </c>
      <c r="W407" s="31" t="str">
        <f t="shared" si="284"/>
        <v>1-0.790123325426589i</v>
      </c>
      <c r="X407" s="17">
        <f t="shared" si="295"/>
        <v>1.274478273405699</v>
      </c>
      <c r="Y407" s="17">
        <f t="shared" si="296"/>
        <v>-0.6686894979990643</v>
      </c>
      <c r="Z407" s="31" t="str">
        <f t="shared" si="285"/>
        <v>-1.41023834429743+48.2161740246272i</v>
      </c>
      <c r="AA407" s="17">
        <f t="shared" si="297"/>
        <v>48.236793112321031</v>
      </c>
      <c r="AB407" s="17">
        <f t="shared" si="298"/>
        <v>1.6000362332180345</v>
      </c>
      <c r="AC407" s="66" t="str">
        <f t="shared" si="299"/>
        <v>-0.045478032640747+0.0381414130746138i</v>
      </c>
      <c r="AD407" s="64">
        <f t="shared" si="300"/>
        <v>-24.530850338239528</v>
      </c>
      <c r="AE407" s="61">
        <f t="shared" si="301"/>
        <v>140.01418841595964</v>
      </c>
      <c r="AF407" s="31" t="str">
        <f t="shared" si="286"/>
        <v>-0.332666666666667</v>
      </c>
      <c r="AG407" s="31" t="str">
        <f t="shared" si="302"/>
        <v>487730.447794191i</v>
      </c>
      <c r="AH407" s="31">
        <f t="shared" si="303"/>
        <v>487730.44779419102</v>
      </c>
      <c r="AI407" s="31">
        <f t="shared" si="304"/>
        <v>1.5707963267948966</v>
      </c>
      <c r="AJ407" s="31" t="str">
        <f t="shared" si="287"/>
        <v>-12690.6834742379+4022.05304263002i</v>
      </c>
      <c r="AK407" s="31">
        <f t="shared" si="305"/>
        <v>13312.78925398522</v>
      </c>
      <c r="AL407" s="31">
        <f t="shared" si="306"/>
        <v>2.8346773962514802</v>
      </c>
      <c r="AM407" s="31" t="str">
        <f t="shared" si="288"/>
        <v>1+14633493.6804766i</v>
      </c>
      <c r="AN407" s="31">
        <f t="shared" si="307"/>
        <v>14633493.680476632</v>
      </c>
      <c r="AO407" s="31">
        <f t="shared" si="308"/>
        <v>1.5707962584585156</v>
      </c>
      <c r="AP407" s="31" t="str">
        <f t="shared" si="289"/>
        <v>1+1580.24665085318i</v>
      </c>
      <c r="AQ407" s="31">
        <f t="shared" si="309"/>
        <v>1580.2469672594507</v>
      </c>
      <c r="AR407" s="31">
        <f t="shared" si="310"/>
        <v>1.5701635142741575</v>
      </c>
      <c r="AS407" s="58" t="str">
        <f t="shared" si="311"/>
        <v>-0.357226678273694+1.12963026843473i</v>
      </c>
      <c r="AT407" s="49">
        <f t="shared" si="312"/>
        <v>1.472667021003786</v>
      </c>
      <c r="AU407" s="61">
        <f t="shared" si="313"/>
        <v>107.54868751160929</v>
      </c>
      <c r="AV407" s="58" t="str">
        <f t="shared" si="290"/>
        <v>-0.0268397281552792-0.0649984925171596i</v>
      </c>
      <c r="AW407" s="64">
        <f t="shared" si="314"/>
        <v>-23.058183317235745</v>
      </c>
      <c r="AX407" s="61">
        <f t="shared" si="315"/>
        <v>-112.43712407243105</v>
      </c>
    </row>
    <row r="408" spans="14:50" x14ac:dyDescent="0.3">
      <c r="N408" s="10">
        <v>90</v>
      </c>
      <c r="O408" s="50">
        <f t="shared" si="280"/>
        <v>79432.823472428237</v>
      </c>
      <c r="P408" s="48" t="str">
        <f t="shared" si="281"/>
        <v>51201.9230769231</v>
      </c>
      <c r="Q408" s="17" t="str">
        <f t="shared" si="282"/>
        <v>1+23322.9133253826i</v>
      </c>
      <c r="R408" s="17">
        <f t="shared" si="291"/>
        <v>23322.913346820744</v>
      </c>
      <c r="S408" s="17">
        <f t="shared" si="292"/>
        <v>1.5707534505047249</v>
      </c>
      <c r="T408" s="17" t="str">
        <f t="shared" si="283"/>
        <v>1+1.49727344804925E-06i</v>
      </c>
      <c r="U408" s="17">
        <f t="shared" si="293"/>
        <v>1.0000000000011209</v>
      </c>
      <c r="V408" s="17">
        <f t="shared" si="294"/>
        <v>1.497273448048131E-6</v>
      </c>
      <c r="W408" s="31" t="str">
        <f t="shared" si="284"/>
        <v>1-0.808527661946597i</v>
      </c>
      <c r="X408" s="17">
        <f t="shared" si="295"/>
        <v>1.2859692765120132</v>
      </c>
      <c r="Y408" s="17">
        <f t="shared" si="296"/>
        <v>-0.67991914913106077</v>
      </c>
      <c r="Z408" s="31" t="str">
        <f t="shared" si="285"/>
        <v>-1.52382937792078+49.3392729939905i</v>
      </c>
      <c r="AA408" s="17">
        <f t="shared" si="297"/>
        <v>49.362798903106523</v>
      </c>
      <c r="AB408" s="17">
        <f t="shared" si="298"/>
        <v>1.6016712273174665</v>
      </c>
      <c r="AC408" s="66" t="str">
        <f t="shared" si="299"/>
        <v>-0.0433441733765288+0.0373120963124697i</v>
      </c>
      <c r="AD408" s="64">
        <f t="shared" si="300"/>
        <v>-24.853314191299795</v>
      </c>
      <c r="AE408" s="61">
        <f t="shared" si="301"/>
        <v>139.27704326975214</v>
      </c>
      <c r="AF408" s="31" t="str">
        <f t="shared" si="286"/>
        <v>-0.332666666666667</v>
      </c>
      <c r="AG408" s="31" t="str">
        <f t="shared" si="302"/>
        <v>499091.149349751i</v>
      </c>
      <c r="AH408" s="31">
        <f t="shared" si="303"/>
        <v>499091.14934975101</v>
      </c>
      <c r="AI408" s="31">
        <f t="shared" si="304"/>
        <v>1.5707963267948966</v>
      </c>
      <c r="AJ408" s="31" t="str">
        <f t="shared" si="287"/>
        <v>-13288.8240887004+4115.73869310479i</v>
      </c>
      <c r="AK408" s="31">
        <f t="shared" si="305"/>
        <v>13911.583326506867</v>
      </c>
      <c r="AL408" s="31">
        <f t="shared" si="306"/>
        <v>2.8412476668091537</v>
      </c>
      <c r="AM408" s="31" t="str">
        <f t="shared" si="288"/>
        <v>1+14974351.5358164i</v>
      </c>
      <c r="AN408" s="31">
        <f t="shared" si="307"/>
        <v>14974351.535816433</v>
      </c>
      <c r="AO408" s="31">
        <f t="shared" si="308"/>
        <v>1.5707962600140415</v>
      </c>
      <c r="AP408" s="31" t="str">
        <f t="shared" si="289"/>
        <v>1+1617.05532389319i</v>
      </c>
      <c r="AQ408" s="31">
        <f t="shared" si="309"/>
        <v>1617.0556330971765</v>
      </c>
      <c r="AR408" s="31">
        <f t="shared" si="310"/>
        <v>1.5701779188420282</v>
      </c>
      <c r="AS408" s="58" t="str">
        <f t="shared" si="311"/>
        <v>-0.342553866147922+1.10845720877931i</v>
      </c>
      <c r="AT408" s="49">
        <f t="shared" si="312"/>
        <v>1.2905168554106021</v>
      </c>
      <c r="AU408" s="61">
        <f t="shared" si="313"/>
        <v>107.17306414846537</v>
      </c>
      <c r="AV408" s="58" t="str">
        <f t="shared" si="290"/>
        <v>-0.0265111479671092-0.0608265642837137i</v>
      </c>
      <c r="AW408" s="64">
        <f t="shared" si="314"/>
        <v>-23.562797335889201</v>
      </c>
      <c r="AX408" s="61">
        <f t="shared" si="315"/>
        <v>-113.54989258178253</v>
      </c>
    </row>
    <row r="409" spans="14:50" x14ac:dyDescent="0.3">
      <c r="N409" s="10">
        <v>91</v>
      </c>
      <c r="O409" s="50">
        <f t="shared" si="280"/>
        <v>81283.051616410012</v>
      </c>
      <c r="P409" s="48" t="str">
        <f t="shared" si="281"/>
        <v>51201.9230769231</v>
      </c>
      <c r="Q409" s="17" t="str">
        <f t="shared" si="282"/>
        <v>1+23866.1737654354i</v>
      </c>
      <c r="R409" s="17">
        <f t="shared" si="291"/>
        <v>23866.173786385552</v>
      </c>
      <c r="S409" s="17">
        <f t="shared" si="292"/>
        <v>1.5707544264882431</v>
      </c>
      <c r="T409" s="17" t="str">
        <f t="shared" si="283"/>
        <v>1+1.53214942691684E-06i</v>
      </c>
      <c r="U409" s="17">
        <f t="shared" si="293"/>
        <v>1.0000000000011737</v>
      </c>
      <c r="V409" s="17">
        <f t="shared" si="294"/>
        <v>1.532149426915641E-6</v>
      </c>
      <c r="W409" s="31" t="str">
        <f t="shared" si="284"/>
        <v>1-0.827360690535094i</v>
      </c>
      <c r="X409" s="17">
        <f t="shared" si="295"/>
        <v>1.2978927968991536</v>
      </c>
      <c r="Y409" s="17">
        <f t="shared" si="296"/>
        <v>-0.69120306831109313</v>
      </c>
      <c r="Z409" s="31" t="str">
        <f t="shared" si="285"/>
        <v>-1.64277379203039+50.4885322989775i</v>
      </c>
      <c r="AA409" s="17">
        <f t="shared" si="297"/>
        <v>50.51525115682071</v>
      </c>
      <c r="AB409" s="17">
        <f t="shared" si="298"/>
        <v>1.6033224144863842</v>
      </c>
      <c r="AC409" s="66" t="str">
        <f t="shared" si="299"/>
        <v>-0.0413062973475588+0.0364986589355575i</v>
      </c>
      <c r="AD409" s="64">
        <f t="shared" si="300"/>
        <v>-25.173604406336839</v>
      </c>
      <c r="AE409" s="61">
        <f t="shared" si="301"/>
        <v>138.5358623469142</v>
      </c>
      <c r="AF409" s="31" t="str">
        <f t="shared" si="286"/>
        <v>-0.332666666666667</v>
      </c>
      <c r="AG409" s="31" t="str">
        <f t="shared" si="302"/>
        <v>510716.475638947i</v>
      </c>
      <c r="AH409" s="31">
        <f t="shared" si="303"/>
        <v>510716.47563894698</v>
      </c>
      <c r="AI409" s="31">
        <f t="shared" si="304"/>
        <v>1.5707963267948966</v>
      </c>
      <c r="AJ409" s="31" t="str">
        <f t="shared" si="287"/>
        <v>-13915.1542018527+4211.60656271288i</v>
      </c>
      <c r="AK409" s="31">
        <f t="shared" si="305"/>
        <v>14538.540033319199</v>
      </c>
      <c r="AL409" s="31">
        <f t="shared" si="306"/>
        <v>2.8476942544712873</v>
      </c>
      <c r="AM409" s="31" t="str">
        <f t="shared" si="288"/>
        <v>1+15323148.9905495i</v>
      </c>
      <c r="AN409" s="31">
        <f t="shared" si="307"/>
        <v>15323148.990549533</v>
      </c>
      <c r="AO409" s="31">
        <f t="shared" si="308"/>
        <v>1.5707962615341593</v>
      </c>
      <c r="AP409" s="31" t="str">
        <f t="shared" si="289"/>
        <v>1+1654.72138107019i</v>
      </c>
      <c r="AQ409" s="31">
        <f t="shared" si="309"/>
        <v>1654.7216832358354</v>
      </c>
      <c r="AR409" s="31">
        <f t="shared" si="310"/>
        <v>1.5701919955221513</v>
      </c>
      <c r="AS409" s="58" t="str">
        <f t="shared" si="311"/>
        <v>-0.328428169641118+1.08749730352736i</v>
      </c>
      <c r="AT409" s="49">
        <f t="shared" si="312"/>
        <v>1.1076320752471112</v>
      </c>
      <c r="AU409" s="61">
        <f t="shared" si="313"/>
        <v>106.8045085046209</v>
      </c>
      <c r="AV409" s="58" t="str">
        <f t="shared" si="290"/>
        <v>-0.0261260415422731-0.0569076747327301i</v>
      </c>
      <c r="AW409" s="64">
        <f t="shared" si="314"/>
        <v>-24.065972331089725</v>
      </c>
      <c r="AX409" s="61">
        <f t="shared" si="315"/>
        <v>-114.65962914846493</v>
      </c>
    </row>
    <row r="410" spans="14:50" x14ac:dyDescent="0.3">
      <c r="N410" s="10">
        <v>92</v>
      </c>
      <c r="O410" s="50">
        <f t="shared" si="280"/>
        <v>83176.377110267174</v>
      </c>
      <c r="P410" s="48" t="str">
        <f t="shared" si="281"/>
        <v>51201.9230769231</v>
      </c>
      <c r="Q410" s="17" t="str">
        <f t="shared" si="282"/>
        <v>1+24422.0883667248i</v>
      </c>
      <c r="R410" s="17">
        <f t="shared" si="291"/>
        <v>24422.08838719807</v>
      </c>
      <c r="S410" s="17">
        <f t="shared" si="292"/>
        <v>1.5707553802556644</v>
      </c>
      <c r="T410" s="17" t="str">
        <f t="shared" si="283"/>
        <v>1+1.56783777169098E-06i</v>
      </c>
      <c r="U410" s="17">
        <f t="shared" si="293"/>
        <v>1.000000000001229</v>
      </c>
      <c r="V410" s="17">
        <f t="shared" si="294"/>
        <v>1.5678377716896953E-6</v>
      </c>
      <c r="W410" s="31" t="str">
        <f t="shared" si="284"/>
        <v>1-0.846632396713127i</v>
      </c>
      <c r="X410" s="17">
        <f t="shared" si="295"/>
        <v>1.3102619643278262</v>
      </c>
      <c r="Y410" s="17">
        <f t="shared" si="296"/>
        <v>-0.70253574517260242</v>
      </c>
      <c r="Z410" s="31" t="str">
        <f t="shared" si="285"/>
        <v>-1.76732388367576+51.6645612920842i</v>
      </c>
      <c r="AA410" s="17">
        <f t="shared" si="297"/>
        <v>51.694780463924367</v>
      </c>
      <c r="AB410" s="17">
        <f t="shared" si="298"/>
        <v>1.6049906559452198</v>
      </c>
      <c r="AC410" s="66" t="str">
        <f t="shared" si="299"/>
        <v>-0.0393600923951616+0.0357009301729698i</v>
      </c>
      <c r="AD410" s="64">
        <f t="shared" si="300"/>
        <v>-25.491701742898591</v>
      </c>
      <c r="AE410" s="61">
        <f t="shared" si="301"/>
        <v>137.79091199530785</v>
      </c>
      <c r="AF410" s="31" t="str">
        <f t="shared" si="286"/>
        <v>-0.332666666666667</v>
      </c>
      <c r="AG410" s="31" t="str">
        <f t="shared" si="302"/>
        <v>522612.590563659i</v>
      </c>
      <c r="AH410" s="31">
        <f t="shared" si="303"/>
        <v>522612.59056365897</v>
      </c>
      <c r="AI410" s="31">
        <f t="shared" si="304"/>
        <v>1.5707963267948966</v>
      </c>
      <c r="AJ410" s="31" t="str">
        <f t="shared" si="287"/>
        <v>-14571.0023438384+4309.70748186773i</v>
      </c>
      <c r="AK410" s="31">
        <f t="shared" si="305"/>
        <v>15194.988906985449</v>
      </c>
      <c r="AL410" s="31">
        <f t="shared" si="306"/>
        <v>2.8540184387517833</v>
      </c>
      <c r="AM410" s="31" t="str">
        <f t="shared" si="288"/>
        <v>1+15680070.9817032i</v>
      </c>
      <c r="AN410" s="31">
        <f t="shared" si="307"/>
        <v>15680070.981703231</v>
      </c>
      <c r="AO410" s="31">
        <f t="shared" si="308"/>
        <v>1.570796263019675</v>
      </c>
      <c r="AP410" s="31" t="str">
        <f t="shared" si="289"/>
        <v>1+1693.26479342625i</v>
      </c>
      <c r="AQ410" s="31">
        <f t="shared" si="309"/>
        <v>1693.2650887137672</v>
      </c>
      <c r="AR410" s="31">
        <f t="shared" si="310"/>
        <v>1.5702057517781463</v>
      </c>
      <c r="AS410" s="58" t="str">
        <f t="shared" si="311"/>
        <v>-0.314833701755345+1.06676028041792i</v>
      </c>
      <c r="AT410" s="49">
        <f t="shared" si="312"/>
        <v>0.92404018996017823</v>
      </c>
      <c r="AU410" s="61">
        <f t="shared" si="313"/>
        <v>106.44294769700976</v>
      </c>
      <c r="AV410" s="58" t="str">
        <f t="shared" si="290"/>
        <v>-0.0256924506922967-0.053227639203203i</v>
      </c>
      <c r="AW410" s="64">
        <f t="shared" si="314"/>
        <v>-24.567661552938414</v>
      </c>
      <c r="AX410" s="61">
        <f t="shared" si="315"/>
        <v>-115.76614030768236</v>
      </c>
    </row>
    <row r="411" spans="14:50" x14ac:dyDescent="0.3">
      <c r="N411" s="10">
        <v>93</v>
      </c>
      <c r="O411" s="50">
        <f t="shared" si="280"/>
        <v>85113.803820237721</v>
      </c>
      <c r="P411" s="48" t="str">
        <f t="shared" si="281"/>
        <v>51201.9230769231</v>
      </c>
      <c r="Q411" s="17" t="str">
        <f t="shared" si="282"/>
        <v>1+24990.9518825309i</v>
      </c>
      <c r="R411" s="17">
        <f t="shared" si="291"/>
        <v>24990.951902538138</v>
      </c>
      <c r="S411" s="17">
        <f t="shared" si="292"/>
        <v>1.5707563123126886</v>
      </c>
      <c r="T411" s="17" t="str">
        <f t="shared" si="283"/>
        <v>1+1.60435740480445E-06i</v>
      </c>
      <c r="U411" s="17">
        <f t="shared" si="293"/>
        <v>1.000000000001287</v>
      </c>
      <c r="V411" s="17">
        <f t="shared" si="294"/>
        <v>1.6043574048030735E-6</v>
      </c>
      <c r="W411" s="31" t="str">
        <f t="shared" si="284"/>
        <v>1-0.866352998594402i</v>
      </c>
      <c r="X411" s="17">
        <f t="shared" si="295"/>
        <v>1.3230901398519723</v>
      </c>
      <c r="Y411" s="17">
        <f t="shared" si="296"/>
        <v>-0.71391154563386983</v>
      </c>
      <c r="Z411" s="31" t="str">
        <f t="shared" si="285"/>
        <v>-1.89774384029997+52.8679835194492i</v>
      </c>
      <c r="AA411" s="17">
        <f t="shared" si="297"/>
        <v>52.902033165996073</v>
      </c>
      <c r="AB411" s="17">
        <f t="shared" si="298"/>
        <v>1.606676821051201</v>
      </c>
      <c r="AC411" s="66" t="str">
        <f t="shared" si="299"/>
        <v>-0.0375014398870356+0.0349187302267136i</v>
      </c>
      <c r="AD411" s="64">
        <f t="shared" si="300"/>
        <v>-25.807589127513921</v>
      </c>
      <c r="AE411" s="61">
        <f t="shared" si="301"/>
        <v>137.04246518564642</v>
      </c>
      <c r="AF411" s="31" t="str">
        <f t="shared" si="286"/>
        <v>-0.332666666666667</v>
      </c>
      <c r="AG411" s="31" t="str">
        <f t="shared" si="302"/>
        <v>534785.801601483i</v>
      </c>
      <c r="AH411" s="31">
        <f t="shared" si="303"/>
        <v>534785.80160148302</v>
      </c>
      <c r="AI411" s="31">
        <f t="shared" si="304"/>
        <v>1.5707963267948966</v>
      </c>
      <c r="AJ411" s="31" t="str">
        <f t="shared" si="287"/>
        <v>-15257.7596564978+4410.09346497518i</v>
      </c>
      <c r="AK411" s="31">
        <f t="shared" si="305"/>
        <v>15882.322062761119</v>
      </c>
      <c r="AL411" s="31">
        <f t="shared" si="306"/>
        <v>2.8602215537466322</v>
      </c>
      <c r="AM411" s="31" t="str">
        <f t="shared" si="288"/>
        <v>1+16045306.7540417i</v>
      </c>
      <c r="AN411" s="31">
        <f t="shared" si="307"/>
        <v>16045306.754041728</v>
      </c>
      <c r="AO411" s="31">
        <f t="shared" si="308"/>
        <v>1.5707962644713764</v>
      </c>
      <c r="AP411" s="31" t="str">
        <f t="shared" si="289"/>
        <v>1+1732.7059971888i</v>
      </c>
      <c r="AQ411" s="31">
        <f t="shared" si="309"/>
        <v>1732.7062857547537</v>
      </c>
      <c r="AR411" s="31">
        <f t="shared" si="310"/>
        <v>1.5702191949037418</v>
      </c>
      <c r="AS411" s="58" t="str">
        <f t="shared" si="311"/>
        <v>-0.301754663688213+1.0462549889491i</v>
      </c>
      <c r="AT411" s="49">
        <f t="shared" si="312"/>
        <v>0.73976790050248131</v>
      </c>
      <c r="AU411" s="61">
        <f t="shared" si="313"/>
        <v>106.08830570550688</v>
      </c>
      <c r="AV411" s="58" t="str">
        <f t="shared" si="290"/>
        <v>-0.0252176613265307-0.0497729582705672i</v>
      </c>
      <c r="AW411" s="64">
        <f t="shared" si="314"/>
        <v>-25.067821227011432</v>
      </c>
      <c r="AX411" s="61">
        <f t="shared" si="315"/>
        <v>-116.86922910884668</v>
      </c>
    </row>
    <row r="412" spans="14:50" x14ac:dyDescent="0.3">
      <c r="N412" s="10">
        <v>94</v>
      </c>
      <c r="O412" s="50">
        <f t="shared" si="280"/>
        <v>87096.358995608127</v>
      </c>
      <c r="P412" s="48" t="str">
        <f t="shared" si="281"/>
        <v>51201.9230769231</v>
      </c>
      <c r="Q412" s="17" t="str">
        <f t="shared" si="282"/>
        <v>1+25573.0659318194i</v>
      </c>
      <c r="R412" s="17">
        <f t="shared" si="291"/>
        <v>25573.06595137122</v>
      </c>
      <c r="S412" s="17">
        <f t="shared" si="292"/>
        <v>1.5707572231535047</v>
      </c>
      <c r="T412" s="17" t="str">
        <f t="shared" si="283"/>
        <v>1+1.64172768945013E-06i</v>
      </c>
      <c r="U412" s="17">
        <f t="shared" si="293"/>
        <v>1.0000000000013476</v>
      </c>
      <c r="V412" s="17">
        <f t="shared" si="294"/>
        <v>1.6417276894486552E-6</v>
      </c>
      <c r="W412" s="31" t="str">
        <f t="shared" si="284"/>
        <v>1-0.886532952303071i</v>
      </c>
      <c r="X412" s="17">
        <f t="shared" si="295"/>
        <v>1.3363909141861148</v>
      </c>
      <c r="Y412" s="17">
        <f t="shared" si="296"/>
        <v>-0.72532472511783552</v>
      </c>
      <c r="Z412" s="31" t="str">
        <f t="shared" si="285"/>
        <v>-2.03431030011675+54.0994370514668i</v>
      </c>
      <c r="AA412" s="17">
        <f t="shared" si="297"/>
        <v>54.13767179776741</v>
      </c>
      <c r="AB412" s="17">
        <f t="shared" si="298"/>
        <v>1.6083817876879358</v>
      </c>
      <c r="AC412" s="66" t="str">
        <f t="shared" si="299"/>
        <v>-0.0357264060618245+0.0341518713331925i</v>
      </c>
      <c r="AD412" s="64">
        <f t="shared" si="300"/>
        <v>-26.121251728828746</v>
      </c>
      <c r="AE412" s="61">
        <f t="shared" si="301"/>
        <v>136.29080073171937</v>
      </c>
      <c r="AF412" s="31" t="str">
        <f t="shared" si="286"/>
        <v>-0.332666666666667</v>
      </c>
      <c r="AG412" s="31" t="str">
        <f t="shared" si="302"/>
        <v>547242.563150044i</v>
      </c>
      <c r="AH412" s="31">
        <f t="shared" si="303"/>
        <v>547242.56315004395</v>
      </c>
      <c r="AI412" s="31">
        <f t="shared" si="304"/>
        <v>1.5707963267948966</v>
      </c>
      <c r="AJ412" s="31" t="str">
        <f t="shared" si="287"/>
        <v>-15976.8828441663+4512.81773801225i</v>
      </c>
      <c r="AK412" s="31">
        <f t="shared" si="305"/>
        <v>16601.997149521907</v>
      </c>
      <c r="AL412" s="31">
        <f t="shared" si="306"/>
        <v>2.8663049830794631</v>
      </c>
      <c r="AM412" s="31" t="str">
        <f t="shared" si="288"/>
        <v>1+16419049.9604059i</v>
      </c>
      <c r="AN412" s="31">
        <f t="shared" si="307"/>
        <v>16419049.960405929</v>
      </c>
      <c r="AO412" s="31">
        <f t="shared" si="308"/>
        <v>1.570796265890033</v>
      </c>
      <c r="AP412" s="31" t="str">
        <f t="shared" si="289"/>
        <v>1+1773.06590460614i</v>
      </c>
      <c r="AQ412" s="31">
        <f t="shared" si="309"/>
        <v>1773.0661866035318</v>
      </c>
      <c r="AR412" s="31">
        <f t="shared" si="310"/>
        <v>1.5702323320266411</v>
      </c>
      <c r="AS412" s="58" t="str">
        <f t="shared" si="311"/>
        <v>-0.289175380241634+1.02598943631551i</v>
      </c>
      <c r="AT412" s="49">
        <f t="shared" si="312"/>
        <v>0.55484110474908932</v>
      </c>
      <c r="AU412" s="61">
        <f t="shared" si="313"/>
        <v>105.7405036627498</v>
      </c>
      <c r="AV412" s="58" t="str">
        <f t="shared" si="290"/>
        <v>-0.0247082621606669-0.0465307955956896i</v>
      </c>
      <c r="AW412" s="64">
        <f t="shared" si="314"/>
        <v>-25.566410624079658</v>
      </c>
      <c r="AX412" s="61">
        <f t="shared" si="315"/>
        <v>-117.96869560553084</v>
      </c>
    </row>
    <row r="413" spans="14:50" x14ac:dyDescent="0.3">
      <c r="N413" s="10">
        <v>95</v>
      </c>
      <c r="O413" s="50">
        <f t="shared" si="280"/>
        <v>89125.093813374609</v>
      </c>
      <c r="P413" s="48" t="str">
        <f t="shared" si="281"/>
        <v>51201.9230769231</v>
      </c>
      <c r="Q413" s="17" t="str">
        <f t="shared" si="282"/>
        <v>1+26168.7391591645i</v>
      </c>
      <c r="R413" s="17">
        <f t="shared" si="291"/>
        <v>26168.739178271266</v>
      </c>
      <c r="S413" s="17">
        <f t="shared" si="292"/>
        <v>1.5707581132610526</v>
      </c>
      <c r="T413" s="17" t="str">
        <f t="shared" si="283"/>
        <v>1+0.0000016799684398476i</v>
      </c>
      <c r="U413" s="17">
        <f t="shared" si="293"/>
        <v>1.0000000000014111</v>
      </c>
      <c r="V413" s="17">
        <f t="shared" si="294"/>
        <v>1.6799684398460197E-6</v>
      </c>
      <c r="W413" s="31" t="str">
        <f t="shared" si="284"/>
        <v>1-0.907182957517701i</v>
      </c>
      <c r="X413" s="17">
        <f t="shared" si="295"/>
        <v>1.350178106181019</v>
      </c>
      <c r="Y413" s="17">
        <f t="shared" si="296"/>
        <v>-0.73676944245128151</v>
      </c>
      <c r="Z413" s="31" t="str">
        <f t="shared" si="285"/>
        <v>-2.17731293889714+55.3595748210998i</v>
      </c>
      <c r="AA413" s="17">
        <f t="shared" si="297"/>
        <v>55.402375544798034</v>
      </c>
      <c r="AB413" s="17">
        <f t="shared" si="298"/>
        <v>1.6101064426549734</v>
      </c>
      <c r="AC413" s="66" t="str">
        <f t="shared" si="299"/>
        <v>-0.034031233758713+0.0334001587435629i</v>
      </c>
      <c r="AD413" s="64">
        <f t="shared" si="300"/>
        <v>-26.432677024807777</v>
      </c>
      <c r="AE413" s="61">
        <f t="shared" si="301"/>
        <v>135.53620247169295</v>
      </c>
      <c r="AF413" s="31" t="str">
        <f t="shared" si="286"/>
        <v>-0.332666666666667</v>
      </c>
      <c r="AG413" s="31" t="str">
        <f t="shared" si="302"/>
        <v>559989.479949198i</v>
      </c>
      <c r="AH413" s="31">
        <f t="shared" si="303"/>
        <v>559989.47994919796</v>
      </c>
      <c r="AI413" s="31">
        <f t="shared" si="304"/>
        <v>1.5707963267948966</v>
      </c>
      <c r="AJ413" s="31" t="str">
        <f t="shared" si="287"/>
        <v>-16729.8972635392+4617.93476674822i</v>
      </c>
      <c r="AK413" s="31">
        <f t="shared" si="305"/>
        <v>17355.540439828379</v>
      </c>
      <c r="AL413" s="31">
        <f t="shared" si="306"/>
        <v>2.8722701550592813</v>
      </c>
      <c r="AM413" s="31" t="str">
        <f t="shared" si="288"/>
        <v>1+16801498.764391i</v>
      </c>
      <c r="AN413" s="31">
        <f t="shared" si="307"/>
        <v>16801498.764391031</v>
      </c>
      <c r="AO413" s="31">
        <f t="shared" si="308"/>
        <v>1.5707962672763969</v>
      </c>
      <c r="AP413" s="31" t="str">
        <f t="shared" si="289"/>
        <v>1+1814.3659150354i</v>
      </c>
      <c r="AQ413" s="31">
        <f t="shared" si="309"/>
        <v>1814.3661906137484</v>
      </c>
      <c r="AR413" s="31">
        <f t="shared" si="310"/>
        <v>1.5702451701123028</v>
      </c>
      <c r="AS413" s="58" t="str">
        <f t="shared" si="311"/>
        <v>-0.277080331830324+1.00597082366754i</v>
      </c>
      <c r="AT413" s="49">
        <f t="shared" si="312"/>
        <v>0.36928490463566782</v>
      </c>
      <c r="AU413" s="61">
        <f t="shared" si="313"/>
        <v>105.39946013179473</v>
      </c>
      <c r="AV413" s="58" t="str">
        <f t="shared" si="290"/>
        <v>-0.024170199659429-0.043488955322527i</v>
      </c>
      <c r="AW413" s="64">
        <f t="shared" si="314"/>
        <v>-26.063392120172118</v>
      </c>
      <c r="AX413" s="61">
        <f t="shared" si="315"/>
        <v>-119.06433739651231</v>
      </c>
    </row>
    <row r="414" spans="14:50" x14ac:dyDescent="0.3">
      <c r="N414" s="10">
        <v>96</v>
      </c>
      <c r="O414" s="50">
        <f t="shared" si="280"/>
        <v>91201.083935591028</v>
      </c>
      <c r="P414" s="48" t="str">
        <f t="shared" si="281"/>
        <v>51201.9230769231</v>
      </c>
      <c r="Q414" s="17" t="str">
        <f t="shared" si="282"/>
        <v>1+26778.2873983959i</v>
      </c>
      <c r="R414" s="17">
        <f t="shared" si="291"/>
        <v>26778.287417067739</v>
      </c>
      <c r="S414" s="17">
        <f t="shared" si="292"/>
        <v>1.5707589831072792</v>
      </c>
      <c r="T414" s="17" t="str">
        <f t="shared" si="283"/>
        <v>1+1.71909993174888E-06i</v>
      </c>
      <c r="U414" s="17">
        <f t="shared" si="293"/>
        <v>1.0000000000014777</v>
      </c>
      <c r="V414" s="17">
        <f t="shared" si="294"/>
        <v>1.7190999317471867E-6</v>
      </c>
      <c r="W414" s="31" t="str">
        <f t="shared" si="284"/>
        <v>1-0.928313963144392i</v>
      </c>
      <c r="X414" s="17">
        <f t="shared" si="295"/>
        <v>1.3644657614498239</v>
      </c>
      <c r="Y414" s="17">
        <f t="shared" si="296"/>
        <v>-0.74823977436549349</v>
      </c>
      <c r="Z414" s="31" t="str">
        <f t="shared" si="285"/>
        <v>-2.3270550844107+56.6490649700735i</v>
      </c>
      <c r="AA414" s="17">
        <f t="shared" si="297"/>
        <v>56.69684071753462</v>
      </c>
      <c r="AB414" s="17">
        <f t="shared" si="298"/>
        <v>1.6118516820572082</v>
      </c>
      <c r="AC414" s="66" t="str">
        <f t="shared" si="299"/>
        <v>-0.0324123345151363+0.0326633916286001i</v>
      </c>
      <c r="AD414" s="64">
        <f t="shared" si="300"/>
        <v>-26.741854861447436</v>
      </c>
      <c r="AE414" s="61">
        <f t="shared" si="301"/>
        <v>134.77895841495811</v>
      </c>
      <c r="AF414" s="31" t="str">
        <f t="shared" si="286"/>
        <v>-0.332666666666667</v>
      </c>
      <c r="AG414" s="31" t="str">
        <f t="shared" si="302"/>
        <v>573033.310582958i</v>
      </c>
      <c r="AH414" s="31">
        <f t="shared" si="303"/>
        <v>573033.31058295805</v>
      </c>
      <c r="AI414" s="31">
        <f t="shared" si="304"/>
        <v>1.5707963267948966</v>
      </c>
      <c r="AJ414" s="31" t="str">
        <f t="shared" si="287"/>
        <v>-17518.4001591585+4725.50028562311i</v>
      </c>
      <c r="AK414" s="31">
        <f t="shared" si="305"/>
        <v>18144.550065676158</v>
      </c>
      <c r="AL414" s="31">
        <f t="shared" si="306"/>
        <v>2.8781185380516234</v>
      </c>
      <c r="AM414" s="31" t="str">
        <f t="shared" si="288"/>
        <v>1+17192855.9454151i</v>
      </c>
      <c r="AN414" s="31">
        <f t="shared" si="307"/>
        <v>17192855.945415128</v>
      </c>
      <c r="AO414" s="31">
        <f t="shared" si="308"/>
        <v>1.5707962686312034</v>
      </c>
      <c r="AP414" s="31" t="str">
        <f t="shared" si="289"/>
        <v>1+1856.62792628878i</v>
      </c>
      <c r="AQ414" s="31">
        <f t="shared" si="309"/>
        <v>1856.6281955942</v>
      </c>
      <c r="AR414" s="31">
        <f t="shared" si="310"/>
        <v>1.5702577159676328</v>
      </c>
      <c r="AS414" s="58" t="str">
        <f t="shared" si="311"/>
        <v>-0.265454183242347+0.986205582469351i</v>
      </c>
      <c r="AT414" s="49">
        <f t="shared" si="312"/>
        <v>0.18312361484381187</v>
      </c>
      <c r="AU414" s="61">
        <f t="shared" si="313"/>
        <v>105.06509137154293</v>
      </c>
      <c r="AV414" s="58" t="str">
        <f t="shared" si="290"/>
        <v>-0.0236088293808148-0.0406358591863864i</v>
      </c>
      <c r="AW414" s="64">
        <f t="shared" si="314"/>
        <v>-26.558731246603632</v>
      </c>
      <c r="AX414" s="61">
        <f t="shared" si="315"/>
        <v>-120.1559502134989</v>
      </c>
    </row>
    <row r="415" spans="14:50" x14ac:dyDescent="0.3">
      <c r="N415" s="10">
        <v>97</v>
      </c>
      <c r="O415" s="50">
        <f t="shared" si="280"/>
        <v>93325.430079699145</v>
      </c>
      <c r="P415" s="48" t="str">
        <f t="shared" si="281"/>
        <v>51201.9230769231</v>
      </c>
      <c r="Q415" s="17" t="str">
        <f t="shared" si="282"/>
        <v>1+27402.0338400586i</v>
      </c>
      <c r="R415" s="17">
        <f t="shared" si="291"/>
        <v>27402.033858305422</v>
      </c>
      <c r="S415" s="17">
        <f t="shared" si="292"/>
        <v>1.5707598331533883</v>
      </c>
      <c r="T415" s="17" t="str">
        <f t="shared" si="283"/>
        <v>1+1.75914291318895E-06i</v>
      </c>
      <c r="U415" s="17">
        <f t="shared" si="293"/>
        <v>1.0000000000015472</v>
      </c>
      <c r="V415" s="17">
        <f t="shared" si="294"/>
        <v>1.7591429131871354E-6</v>
      </c>
      <c r="W415" s="31" t="str">
        <f t="shared" si="284"/>
        <v>1-0.949937173122031i</v>
      </c>
      <c r="X415" s="17">
        <f t="shared" si="295"/>
        <v>1.3792681511870979</v>
      </c>
      <c r="Y415" s="17">
        <f t="shared" si="296"/>
        <v>-0.75972973051360371</v>
      </c>
      <c r="Z415" s="31" t="str">
        <f t="shared" si="285"/>
        <v>-2.48385435982434+57.9685912031334i</v>
      </c>
      <c r="AA415" s="17">
        <f t="shared" si="297"/>
        <v>58.021781242536967</v>
      </c>
      <c r="AB415" s="17">
        <f t="shared" si="298"/>
        <v>1.6136184116939618</v>
      </c>
      <c r="AC415" s="66" t="str">
        <f t="shared" si="299"/>
        <v>-0.0308662810164013+0.0319413639133169i</v>
      </c>
      <c r="AD415" s="64">
        <f t="shared" si="300"/>
        <v>-27.04877750251665</v>
      </c>
      <c r="AE415" s="61">
        <f t="shared" si="301"/>
        <v>134.01935985939377</v>
      </c>
      <c r="AF415" s="31" t="str">
        <f t="shared" si="286"/>
        <v>-0.332666666666667</v>
      </c>
      <c r="AG415" s="31" t="str">
        <f t="shared" si="302"/>
        <v>586380.971062982i</v>
      </c>
      <c r="AH415" s="31">
        <f t="shared" si="303"/>
        <v>586380.97106298199</v>
      </c>
      <c r="AI415" s="31">
        <f t="shared" si="304"/>
        <v>1.5707963267948966</v>
      </c>
      <c r="AJ415" s="31" t="str">
        <f t="shared" si="287"/>
        <v>-18344.0640513824+4835.57132729883i</v>
      </c>
      <c r="AK415" s="31">
        <f t="shared" si="305"/>
        <v>18970.699406785578</v>
      </c>
      <c r="AL415" s="31">
        <f t="shared" si="306"/>
        <v>2.8838516360630826</v>
      </c>
      <c r="AM415" s="31" t="str">
        <f t="shared" si="288"/>
        <v>1+17593329.0062357i</v>
      </c>
      <c r="AN415" s="31">
        <f t="shared" si="307"/>
        <v>17593329.00623573</v>
      </c>
      <c r="AO415" s="31">
        <f t="shared" si="308"/>
        <v>1.5707962699551705</v>
      </c>
      <c r="AP415" s="31" t="str">
        <f t="shared" si="289"/>
        <v>1+1899.87434624406i</v>
      </c>
      <c r="AQ415" s="31">
        <f t="shared" si="309"/>
        <v>1899.8746094193411</v>
      </c>
      <c r="AR415" s="31">
        <f t="shared" si="310"/>
        <v>1.5702699762445937</v>
      </c>
      <c r="AS415" s="58" t="str">
        <f t="shared" si="311"/>
        <v>-0.254281809310474+0.966699410756905i</v>
      </c>
      <c r="AT415" s="49">
        <f t="shared" si="312"/>
        <v>-3.6192271234080247E-3</v>
      </c>
      <c r="AU415" s="61">
        <f t="shared" si="313"/>
        <v>104.73731158993468</v>
      </c>
      <c r="AV415" s="58" t="str">
        <f t="shared" si="290"/>
        <v>-0.0230289638902393-0.0379605234785347i</v>
      </c>
      <c r="AW415" s="64">
        <f t="shared" si="314"/>
        <v>-27.052396729640051</v>
      </c>
      <c r="AX415" s="61">
        <f t="shared" si="315"/>
        <v>-121.24332855067156</v>
      </c>
    </row>
    <row r="416" spans="14:50" x14ac:dyDescent="0.3">
      <c r="N416" s="10">
        <v>98</v>
      </c>
      <c r="O416" s="50">
        <f t="shared" si="280"/>
        <v>95499.258602143804</v>
      </c>
      <c r="P416" s="48" t="str">
        <f t="shared" si="281"/>
        <v>51201.9230769231</v>
      </c>
      <c r="Q416" s="17" t="str">
        <f t="shared" si="282"/>
        <v>1+28040.309202772i</v>
      </c>
      <c r="R416" s="17">
        <f t="shared" si="291"/>
        <v>28040.309220603474</v>
      </c>
      <c r="S416" s="17">
        <f t="shared" si="292"/>
        <v>1.5707606638500857</v>
      </c>
      <c r="T416" s="17" t="str">
        <f t="shared" si="283"/>
        <v>1+0.0000018001186154866i</v>
      </c>
      <c r="U416" s="17">
        <f t="shared" si="293"/>
        <v>1.0000000000016203</v>
      </c>
      <c r="V416" s="17">
        <f t="shared" si="294"/>
        <v>1.8001186154846555E-6</v>
      </c>
      <c r="W416" s="31" t="str">
        <f t="shared" si="284"/>
        <v>1-0.972064052362765i</v>
      </c>
      <c r="X416" s="17">
        <f t="shared" si="295"/>
        <v>1.3945997712232425</v>
      </c>
      <c r="Y416" s="17">
        <f t="shared" si="296"/>
        <v>-0.77123326891384725</v>
      </c>
      <c r="Z416" s="31" t="str">
        <f t="shared" si="285"/>
        <v>-2.64804335742366+59.3188531505542i</v>
      </c>
      <c r="AA416" s="17">
        <f t="shared" si="297"/>
        <v>59.377929171703265</v>
      </c>
      <c r="AB416" s="17">
        <f t="shared" si="298"/>
        <v>1.6154075474475571</v>
      </c>
      <c r="AC416" s="66" t="str">
        <f t="shared" si="299"/>
        <v>-0.0293897998817295+0.0312338650462395i</v>
      </c>
      <c r="AD416" s="64">
        <f t="shared" si="300"/>
        <v>-27.353439669913143</v>
      </c>
      <c r="AE416" s="61">
        <f t="shared" si="301"/>
        <v>133.25770048425605</v>
      </c>
      <c r="AF416" s="31" t="str">
        <f t="shared" si="286"/>
        <v>-0.332666666666667</v>
      </c>
      <c r="AG416" s="31" t="str">
        <f t="shared" si="302"/>
        <v>600039.538495534i</v>
      </c>
      <c r="AH416" s="31">
        <f t="shared" si="303"/>
        <v>600039.53849553398</v>
      </c>
      <c r="AI416" s="31">
        <f t="shared" si="304"/>
        <v>1.5707963267948966</v>
      </c>
      <c r="AJ416" s="31" t="str">
        <f t="shared" si="287"/>
        <v>-19208.6402840248+4948.20625289865i</v>
      </c>
      <c r="AK416" s="31">
        <f t="shared" si="305"/>
        <v>19835.740638612053</v>
      </c>
      <c r="AL416" s="31">
        <f t="shared" si="306"/>
        <v>2.8894709845381099</v>
      </c>
      <c r="AM416" s="31" t="str">
        <f t="shared" si="288"/>
        <v>1+18003130.2829708i</v>
      </c>
      <c r="AN416" s="31">
        <f t="shared" si="307"/>
        <v>18003130.282970831</v>
      </c>
      <c r="AO416" s="31">
        <f t="shared" si="308"/>
        <v>1.5707962712490007</v>
      </c>
      <c r="AP416" s="31" t="str">
        <f t="shared" si="289"/>
        <v>1+1944.12810472553i</v>
      </c>
      <c r="AQ416" s="31">
        <f t="shared" si="309"/>
        <v>1944.1283619102112</v>
      </c>
      <c r="AR416" s="31">
        <f t="shared" si="310"/>
        <v>1.5702819574437323</v>
      </c>
      <c r="AS416" s="58" t="str">
        <f t="shared" si="311"/>
        <v>-0.243548317657121+0.947457309118576i</v>
      </c>
      <c r="AT416" s="49">
        <f t="shared" si="312"/>
        <v>-0.19092084963256359</v>
      </c>
      <c r="AU416" s="61">
        <f t="shared" si="313"/>
        <v>104.41603318497746</v>
      </c>
      <c r="AV416" s="58" t="str">
        <f t="shared" si="290"/>
        <v>-0.0224349174126081-0.0354525359974181i</v>
      </c>
      <c r="AW416" s="64">
        <f t="shared" si="314"/>
        <v>-27.544360519545705</v>
      </c>
      <c r="AX416" s="61">
        <f t="shared" si="315"/>
        <v>-122.32626633076636</v>
      </c>
    </row>
    <row r="417" spans="14:50" x14ac:dyDescent="0.3">
      <c r="N417" s="10">
        <v>99</v>
      </c>
      <c r="O417" s="50">
        <f t="shared" si="280"/>
        <v>97723.722095581266</v>
      </c>
      <c r="P417" s="48" t="str">
        <f t="shared" si="281"/>
        <v>51201.9230769231</v>
      </c>
      <c r="Q417" s="17" t="str">
        <f t="shared" si="282"/>
        <v>1+28693.4519085822i</v>
      </c>
      <c r="R417" s="17">
        <f t="shared" si="291"/>
        <v>28693.451926007776</v>
      </c>
      <c r="S417" s="17">
        <f t="shared" si="292"/>
        <v>1.5707614756378179</v>
      </c>
      <c r="T417" s="17" t="str">
        <f t="shared" si="283"/>
        <v>1+1.84204876450157E-06i</v>
      </c>
      <c r="U417" s="17">
        <f t="shared" si="293"/>
        <v>1.0000000000016964</v>
      </c>
      <c r="V417" s="17">
        <f t="shared" si="294"/>
        <v>1.8420487644994864E-6</v>
      </c>
      <c r="W417" s="31" t="str">
        <f t="shared" si="284"/>
        <v>1-0.994706332830848i</v>
      </c>
      <c r="X417" s="17">
        <f t="shared" si="295"/>
        <v>1.4104753413561661</v>
      </c>
      <c r="Y417" s="17">
        <f t="shared" si="296"/>
        <v>-0.78274431172295478</v>
      </c>
      <c r="Z417" s="31" t="str">
        <f t="shared" si="285"/>
        <v>-2.81997034408576+60.7005667390932i</v>
      </c>
      <c r="AA417" s="17">
        <f t="shared" si="297"/>
        <v>60.766035210375797</v>
      </c>
      <c r="AB417" s="17">
        <f t="shared" si="298"/>
        <v>1.6172200156711749</v>
      </c>
      <c r="AC417" s="66" t="str">
        <f t="shared" si="299"/>
        <v>-0.0279797647718853+0.0305406807079011i</v>
      </c>
      <c r="AD417" s="64">
        <f t="shared" si="300"/>
        <v>-27.655838574307182</v>
      </c>
      <c r="AE417" s="61">
        <f t="shared" si="301"/>
        <v>132.49427542419468</v>
      </c>
      <c r="AF417" s="31" t="str">
        <f t="shared" si="286"/>
        <v>-0.332666666666667</v>
      </c>
      <c r="AG417" s="31" t="str">
        <f t="shared" si="302"/>
        <v>614016.254833857i</v>
      </c>
      <c r="AH417" s="31">
        <f t="shared" si="303"/>
        <v>614016.25483385695</v>
      </c>
      <c r="AI417" s="31">
        <f t="shared" si="304"/>
        <v>1.5707963267948966</v>
      </c>
      <c r="AJ417" s="31" t="str">
        <f t="shared" si="287"/>
        <v>-20113.962739191+5063.46478295099i</v>
      </c>
      <c r="AK417" s="31">
        <f t="shared" si="305"/>
        <v>20741.508447597265</v>
      </c>
      <c r="AL417" s="31">
        <f t="shared" si="306"/>
        <v>2.8949781463660025</v>
      </c>
      <c r="AM417" s="31" t="str">
        <f t="shared" si="288"/>
        <v>1+18422477.0576814i</v>
      </c>
      <c r="AN417" s="31">
        <f t="shared" si="307"/>
        <v>18422477.057681426</v>
      </c>
      <c r="AO417" s="31">
        <f t="shared" si="308"/>
        <v>1.5707962725133797</v>
      </c>
      <c r="AP417" s="31" t="str">
        <f t="shared" si="289"/>
        <v>1+1989.4126656617i</v>
      </c>
      <c r="AQ417" s="31">
        <f t="shared" si="309"/>
        <v>1989.4129169921441</v>
      </c>
      <c r="AR417" s="31">
        <f t="shared" si="310"/>
        <v>1.5702936659176248</v>
      </c>
      <c r="AS417" s="58" t="str">
        <f t="shared" si="311"/>
        <v>-0.233239068677898+0.928483616242491i</v>
      </c>
      <c r="AT417" s="49">
        <f t="shared" si="312"/>
        <v>-0.37875923452184462</v>
      </c>
      <c r="AU417" s="61">
        <f t="shared" si="313"/>
        <v>104.10116697372595</v>
      </c>
      <c r="AV417" s="58" t="str">
        <f t="shared" si="290"/>
        <v>-0.0218305473889581-0.0331020331021142i</v>
      </c>
      <c r="AW417" s="64">
        <f t="shared" si="314"/>
        <v>-28.034597808829034</v>
      </c>
      <c r="AX417" s="61">
        <f t="shared" si="315"/>
        <v>-123.40455760207935</v>
      </c>
    </row>
    <row r="418" spans="14:50" x14ac:dyDescent="0.3">
      <c r="N418" s="10">
        <v>100</v>
      </c>
      <c r="O418" s="50">
        <f t="shared" si="280"/>
        <v>100000</v>
      </c>
      <c r="P418" s="48" t="str">
        <f t="shared" si="281"/>
        <v>51201.9230769231</v>
      </c>
      <c r="Q418" s="17" t="str">
        <f t="shared" si="282"/>
        <v>1+29361.8082623969i</v>
      </c>
      <c r="R418" s="17">
        <f t="shared" si="291"/>
        <v>29361.808279425823</v>
      </c>
      <c r="S418" s="17">
        <f t="shared" si="292"/>
        <v>1.5707622689470053</v>
      </c>
      <c r="T418" s="17" t="str">
        <f t="shared" si="283"/>
        <v>1+1.88495559215388E-06i</v>
      </c>
      <c r="U418" s="17">
        <f t="shared" si="293"/>
        <v>1.0000000000017766</v>
      </c>
      <c r="V418" s="17">
        <f t="shared" si="294"/>
        <v>1.8849555921516477E-6</v>
      </c>
      <c r="W418" s="31" t="str">
        <f t="shared" si="284"/>
        <v>1-1.01787601976309i</v>
      </c>
      <c r="X418" s="17">
        <f t="shared" si="295"/>
        <v>1.4269098050012659</v>
      </c>
      <c r="Y418" s="17">
        <f t="shared" si="296"/>
        <v>-0.79425676124000266</v>
      </c>
      <c r="Z418" s="31" t="str">
        <f t="shared" si="285"/>
        <v>-3.00000000000001+62.1144645715843i</v>
      </c>
      <c r="AA418" s="17">
        <f t="shared" si="297"/>
        <v>62.186869265260505</v>
      </c>
      <c r="AB418" s="17">
        <f t="shared" si="298"/>
        <v>1.6190567535757565</v>
      </c>
      <c r="AC418" s="66" t="str">
        <f t="shared" si="299"/>
        <v>-0.0266331898042054+0.0298615934628229i</v>
      </c>
      <c r="AD418" s="64">
        <f t="shared" si="300"/>
        <v>-27.955973935826712</v>
      </c>
      <c r="AE418" s="61">
        <f t="shared" si="301"/>
        <v>131.729380330118</v>
      </c>
      <c r="AF418" s="31" t="str">
        <f t="shared" si="286"/>
        <v>-0.332666666666667</v>
      </c>
      <c r="AG418" s="31" t="str">
        <f t="shared" si="302"/>
        <v>628318.530717959i</v>
      </c>
      <c r="AH418" s="31">
        <f t="shared" si="303"/>
        <v>628318.53071795905</v>
      </c>
      <c r="AI418" s="31">
        <f t="shared" si="304"/>
        <v>1.5707963267948966</v>
      </c>
      <c r="AJ418" s="31" t="str">
        <f t="shared" si="287"/>
        <v>-21061.9517271869+5181.40802905413i</v>
      </c>
      <c r="AK418" s="31">
        <f t="shared" si="305"/>
        <v>21689.923921533195</v>
      </c>
      <c r="AL418" s="31">
        <f t="shared" si="306"/>
        <v>2.900374708095085</v>
      </c>
      <c r="AM418" s="31" t="str">
        <f t="shared" si="288"/>
        <v>1+18851591.6735783i</v>
      </c>
      <c r="AN418" s="31">
        <f t="shared" si="307"/>
        <v>18851591.673578326</v>
      </c>
      <c r="AO418" s="31">
        <f t="shared" si="308"/>
        <v>1.5707962737489778</v>
      </c>
      <c r="AP418" s="31" t="str">
        <f t="shared" si="289"/>
        <v>1+2035.75203952619i</v>
      </c>
      <c r="AQ418" s="31">
        <f t="shared" si="309"/>
        <v>2035.7522851356555</v>
      </c>
      <c r="AR418" s="31">
        <f t="shared" si="310"/>
        <v>1.5703051078742463</v>
      </c>
      <c r="AS418" s="58" t="str">
        <f t="shared" si="311"/>
        <v>-0.223339692929441+0.909782043894579i</v>
      </c>
      <c r="AT418" s="49">
        <f t="shared" si="312"/>
        <v>-0.56711310374964785</v>
      </c>
      <c r="AU418" s="61">
        <f t="shared" si="313"/>
        <v>103.79262240938596</v>
      </c>
      <c r="AV418" s="58" t="str">
        <f t="shared" si="290"/>
        <v>-0.0212192931019533-0.0308996769698729i</v>
      </c>
      <c r="AW418" s="64">
        <f t="shared" si="314"/>
        <v>-28.52308703957636</v>
      </c>
      <c r="AX418" s="61">
        <f t="shared" si="315"/>
        <v>-124.4779972604961</v>
      </c>
    </row>
    <row r="419" spans="14:50" x14ac:dyDescent="0.3">
      <c r="N419" s="10">
        <v>1</v>
      </c>
      <c r="O419" s="50">
        <f>10^(5+(N419/100))</f>
        <v>102329.29922807543</v>
      </c>
      <c r="P419" s="48" t="str">
        <f t="shared" si="281"/>
        <v>51201.9230769231</v>
      </c>
      <c r="Q419" s="17" t="str">
        <f t="shared" si="282"/>
        <v>1+30045.7326356019i</v>
      </c>
      <c r="R419" s="17">
        <f t="shared" si="291"/>
        <v>30045.732652243198</v>
      </c>
      <c r="S419" s="17">
        <f t="shared" si="292"/>
        <v>1.570763044198271</v>
      </c>
      <c r="T419" s="17" t="str">
        <f t="shared" si="283"/>
        <v>1+1.92886184821148E-06i</v>
      </c>
      <c r="U419" s="17">
        <f t="shared" si="293"/>
        <v>1.0000000000018603</v>
      </c>
      <c r="V419" s="17">
        <f t="shared" si="294"/>
        <v>1.9288618482090879E-6</v>
      </c>
      <c r="W419" s="31" t="str">
        <f t="shared" si="284"/>
        <v>1-1.0415853980342i</v>
      </c>
      <c r="X419" s="17">
        <f t="shared" si="295"/>
        <v>1.4439183291994264</v>
      </c>
      <c r="Y419" s="17">
        <f t="shared" si="296"/>
        <v>-0.8057645160382807</v>
      </c>
      <c r="Z419" s="31" t="str">
        <f t="shared" si="285"/>
        <v>-3.18851419220361+63.5612963153733i</v>
      </c>
      <c r="AA419" s="17">
        <f t="shared" si="297"/>
        <v>63.641221013149732</v>
      </c>
      <c r="AB419" s="17">
        <f t="shared" si="298"/>
        <v>1.6209187096156856</v>
      </c>
      <c r="AC419" s="66" t="str">
        <f t="shared" si="299"/>
        <v>-0.0253472232614514+0.0291963833589469i</v>
      </c>
      <c r="AD419" s="64">
        <f t="shared" si="300"/>
        <v>-28.253847994631073</v>
      </c>
      <c r="AE419" s="61">
        <f t="shared" si="301"/>
        <v>130.96331042279601</v>
      </c>
      <c r="AF419" s="31" t="str">
        <f t="shared" si="286"/>
        <v>-0.332666666666667</v>
      </c>
      <c r="AG419" s="31" t="str">
        <f t="shared" si="302"/>
        <v>642953.949403827i</v>
      </c>
      <c r="AH419" s="31">
        <f t="shared" si="303"/>
        <v>642953.94940382696</v>
      </c>
      <c r="AI419" s="31">
        <f t="shared" si="304"/>
        <v>1.5707963267948966</v>
      </c>
      <c r="AJ419" s="31" t="str">
        <f t="shared" si="287"/>
        <v>-22054.6180597554+5302.09852627833i</v>
      </c>
      <c r="AK419" s="31">
        <f t="shared" si="305"/>
        <v>22682.998623287265</v>
      </c>
      <c r="AL419" s="31">
        <f t="shared" si="306"/>
        <v>2.9056622763504389</v>
      </c>
      <c r="AM419" s="31" t="str">
        <f t="shared" si="288"/>
        <v>1+19290701.6529109i</v>
      </c>
      <c r="AN419" s="31">
        <f t="shared" si="307"/>
        <v>19290701.652910925</v>
      </c>
      <c r="AO419" s="31">
        <f t="shared" si="308"/>
        <v>1.5707962749564504</v>
      </c>
      <c r="AP419" s="31" t="str">
        <f t="shared" si="289"/>
        <v>1+2083.1707960684i</v>
      </c>
      <c r="AQ419" s="31">
        <f t="shared" si="309"/>
        <v>2083.1710360871116</v>
      </c>
      <c r="AR419" s="31">
        <f t="shared" si="310"/>
        <v>1.5703162893802616</v>
      </c>
      <c r="AS419" s="58" t="str">
        <f t="shared" si="311"/>
        <v>-0.213836106086123+0.891355711209709i</v>
      </c>
      <c r="AT419" s="49">
        <f t="shared" si="312"/>
        <v>-0.75596190521881201</v>
      </c>
      <c r="AU419" s="61">
        <f t="shared" si="313"/>
        <v>103.49030778675325</v>
      </c>
      <c r="AV419" s="58" t="str">
        <f t="shared" si="290"/>
        <v>-0.0206042115313411-0.0288366331466772i</v>
      </c>
      <c r="AW419" s="64">
        <f t="shared" si="314"/>
        <v>-29.009809899849877</v>
      </c>
      <c r="AX419" s="61">
        <f t="shared" si="315"/>
        <v>-125.54638179045078</v>
      </c>
    </row>
    <row r="420" spans="14:50" x14ac:dyDescent="0.3">
      <c r="N420" s="10">
        <v>2</v>
      </c>
      <c r="O420" s="50">
        <f t="shared" ref="O420:O483" si="316">10^(5+(N420/100))</f>
        <v>104712.85480508996</v>
      </c>
      <c r="P420" s="48" t="str">
        <f t="shared" si="281"/>
        <v>51201.9230769231</v>
      </c>
      <c r="Q420" s="17" t="str">
        <f t="shared" si="282"/>
        <v>1+30745.5876539526i</v>
      </c>
      <c r="R420" s="17">
        <f t="shared" si="291"/>
        <v>30745.587670215096</v>
      </c>
      <c r="S420" s="17">
        <f t="shared" si="292"/>
        <v>1.5707638018026635</v>
      </c>
      <c r="T420" s="17" t="str">
        <f t="shared" si="283"/>
        <v>1+1.97379081235251E-06i</v>
      </c>
      <c r="U420" s="17">
        <f t="shared" si="293"/>
        <v>1.0000000000019478</v>
      </c>
      <c r="V420" s="17">
        <f t="shared" si="294"/>
        <v>1.9737908123499468E-6</v>
      </c>
      <c r="W420" s="31" t="str">
        <f t="shared" si="284"/>
        <v>1-1.06584703867036i</v>
      </c>
      <c r="X420" s="17">
        <f t="shared" si="295"/>
        <v>1.4615163050210476</v>
      </c>
      <c r="Y420" s="17">
        <f t="shared" si="296"/>
        <v>-0.81726148712119417</v>
      </c>
      <c r="Z420" s="31" t="str">
        <f t="shared" si="285"/>
        <v>-3.38591278457276+65.0418290998021i</v>
      </c>
      <c r="AA420" s="17">
        <f t="shared" si="297"/>
        <v>65.129900491499271</v>
      </c>
      <c r="AB420" s="17">
        <f t="shared" si="298"/>
        <v>1.6228068438729513</v>
      </c>
      <c r="AC420" s="66" t="str">
        <f t="shared" si="299"/>
        <v>-0.0241191415815033+0.0285448284782353i</v>
      </c>
      <c r="AD420" s="64">
        <f t="shared" si="300"/>
        <v>-28.549465511308675</v>
      </c>
      <c r="AE420" s="61">
        <f t="shared" si="301"/>
        <v>130.19635954517142</v>
      </c>
      <c r="AF420" s="31" t="str">
        <f t="shared" si="286"/>
        <v>-0.332666666666667</v>
      </c>
      <c r="AG420" s="31" t="str">
        <f t="shared" si="302"/>
        <v>657930.270784171i</v>
      </c>
      <c r="AH420" s="31">
        <f t="shared" si="303"/>
        <v>657930.27078417095</v>
      </c>
      <c r="AI420" s="31">
        <f t="shared" si="304"/>
        <v>1.5707963267948966</v>
      </c>
      <c r="AJ420" s="31" t="str">
        <f t="shared" si="287"/>
        <v>-23094.0673152769+5425.60026632273i</v>
      </c>
      <c r="AK420" s="31">
        <f t="shared" si="305"/>
        <v>23722.83885652099</v>
      </c>
      <c r="AL420" s="31">
        <f t="shared" si="306"/>
        <v>2.9108424744507899</v>
      </c>
      <c r="AM420" s="31" t="str">
        <f t="shared" si="288"/>
        <v>1+19740039.8176025i</v>
      </c>
      <c r="AN420" s="31">
        <f t="shared" si="307"/>
        <v>19740039.817602526</v>
      </c>
      <c r="AO420" s="31">
        <f t="shared" si="308"/>
        <v>1.5707962761364376</v>
      </c>
      <c r="AP420" s="31" t="str">
        <f t="shared" si="289"/>
        <v>1+2131.69407734071i</v>
      </c>
      <c r="AQ420" s="31">
        <f t="shared" si="309"/>
        <v>2131.6943118959298</v>
      </c>
      <c r="AR420" s="31">
        <f t="shared" si="310"/>
        <v>1.5703272163642421</v>
      </c>
      <c r="AS420" s="58" t="str">
        <f t="shared" si="311"/>
        <v>-0.204714521628068+0.873207178195663i</v>
      </c>
      <c r="AT420" s="49">
        <f t="shared" si="312"/>
        <v>-0.94528579789684497</v>
      </c>
      <c r="AU420" s="61">
        <f t="shared" si="313"/>
        <v>103.1941304362346</v>
      </c>
      <c r="AV420" s="58" t="str">
        <f t="shared" si="290"/>
        <v>-0.019988010596622-0.0269045484677634i</v>
      </c>
      <c r="AW420" s="64">
        <f t="shared" si="314"/>
        <v>-29.494751309205505</v>
      </c>
      <c r="AX420" s="61">
        <f t="shared" si="315"/>
        <v>-126.60951001859399</v>
      </c>
    </row>
    <row r="421" spans="14:50" x14ac:dyDescent="0.3">
      <c r="N421" s="10">
        <v>3</v>
      </c>
      <c r="O421" s="50">
        <f t="shared" si="316"/>
        <v>107151.93052376082</v>
      </c>
      <c r="P421" s="48" t="str">
        <f t="shared" si="281"/>
        <v>51201.9230769231</v>
      </c>
      <c r="Q421" s="17" t="str">
        <f t="shared" si="282"/>
        <v>1+31461.7443898434i</v>
      </c>
      <c r="R421" s="17">
        <f t="shared" si="291"/>
        <v>31461.744405735717</v>
      </c>
      <c r="S421" s="17">
        <f t="shared" si="292"/>
        <v>1.5707645421618746</v>
      </c>
      <c r="T421" s="17" t="str">
        <f t="shared" si="283"/>
        <v>1+2.01976630650847E-06i</v>
      </c>
      <c r="U421" s="17">
        <f t="shared" si="293"/>
        <v>1.0000000000020397</v>
      </c>
      <c r="V421" s="17">
        <f t="shared" si="294"/>
        <v>2.0197663065057236E-6</v>
      </c>
      <c r="W421" s="31" t="str">
        <f t="shared" si="284"/>
        <v>1-1.09067380551457i</v>
      </c>
      <c r="X421" s="17">
        <f t="shared" si="295"/>
        <v>1.4797193484021331</v>
      </c>
      <c r="Y421" s="17">
        <f t="shared" si="296"/>
        <v>-0.82874161399798829</v>
      </c>
      <c r="Z421" s="31" t="str">
        <f t="shared" si="285"/>
        <v>-3.59261448598756+66.55684792295i</v>
      </c>
      <c r="AA421" s="17">
        <f t="shared" si="297"/>
        <v>66.653738711970405</v>
      </c>
      <c r="AB421" s="17">
        <f t="shared" si="298"/>
        <v>1.6247221284394662</v>
      </c>
      <c r="AC421" s="66" t="str">
        <f t="shared" si="299"/>
        <v>-0.0229463436154662+0.0279067054418847i</v>
      </c>
      <c r="AD421" s="64">
        <f t="shared" si="300"/>
        <v>-28.842833757130983</v>
      </c>
      <c r="AE421" s="61">
        <f t="shared" si="301"/>
        <v>129.42881921937226</v>
      </c>
      <c r="AF421" s="31" t="str">
        <f t="shared" si="286"/>
        <v>-0.332666666666667</v>
      </c>
      <c r="AG421" s="31" t="str">
        <f t="shared" si="302"/>
        <v>673255.435502822i</v>
      </c>
      <c r="AH421" s="31">
        <f t="shared" si="303"/>
        <v>673255.43550282205</v>
      </c>
      <c r="AI421" s="31">
        <f t="shared" si="304"/>
        <v>1.5707963267948966</v>
      </c>
      <c r="AJ421" s="31" t="str">
        <f t="shared" si="287"/>
        <v>-24182.5043049838+5551.97873144465i</v>
      </c>
      <c r="AK421" s="31">
        <f t="shared" si="305"/>
        <v>24811.650132447332</v>
      </c>
      <c r="AL421" s="31">
        <f t="shared" si="306"/>
        <v>2.9159169392197097</v>
      </c>
      <c r="AM421" s="31" t="str">
        <f t="shared" si="288"/>
        <v>1+20199844.4126957i</v>
      </c>
      <c r="AN421" s="31">
        <f t="shared" si="307"/>
        <v>20199844.412695725</v>
      </c>
      <c r="AO421" s="31">
        <f t="shared" si="308"/>
        <v>1.5707962772895647</v>
      </c>
      <c r="AP421" s="31" t="str">
        <f t="shared" si="289"/>
        <v>1+2181.34761102914i</v>
      </c>
      <c r="AQ421" s="31">
        <f t="shared" si="309"/>
        <v>2181.3478402452315</v>
      </c>
      <c r="AR421" s="31">
        <f t="shared" si="310"/>
        <v>1.5703378946198088</v>
      </c>
      <c r="AS421" s="58" t="str">
        <f t="shared" si="311"/>
        <v>-0.195961461419728+0.855338478365858i</v>
      </c>
      <c r="AT421" s="49">
        <f t="shared" si="312"/>
        <v>-1.1350656363424656</v>
      </c>
      <c r="AU421" s="61">
        <f t="shared" si="313"/>
        <v>102.90399690673357</v>
      </c>
      <c r="AV421" s="58" t="str">
        <f t="shared" si="290"/>
        <v>-0.0193730799397399-0.0250955294139146i</v>
      </c>
      <c r="AW421" s="64">
        <f t="shared" si="314"/>
        <v>-29.977899393473439</v>
      </c>
      <c r="AX421" s="61">
        <f t="shared" si="315"/>
        <v>-127.66718387389419</v>
      </c>
    </row>
    <row r="422" spans="14:50" x14ac:dyDescent="0.3">
      <c r="N422" s="10">
        <v>4</v>
      </c>
      <c r="O422" s="50">
        <f t="shared" si="316"/>
        <v>109647.81961431868</v>
      </c>
      <c r="P422" s="48" t="str">
        <f t="shared" si="281"/>
        <v>51201.9230769231</v>
      </c>
      <c r="Q422" s="17" t="str">
        <f t="shared" si="282"/>
        <v>1+32194.5825590551i</v>
      </c>
      <c r="R422" s="17">
        <f t="shared" si="291"/>
        <v>32194.582574585664</v>
      </c>
      <c r="S422" s="17">
        <f t="shared" si="292"/>
        <v>1.5707652656684525</v>
      </c>
      <c r="T422" s="17" t="str">
        <f t="shared" si="283"/>
        <v>1+0.0000020668127074949i</v>
      </c>
      <c r="U422" s="17">
        <f t="shared" si="293"/>
        <v>1.0000000000021358</v>
      </c>
      <c r="V422" s="17">
        <f t="shared" si="294"/>
        <v>2.066812707491957E-6</v>
      </c>
      <c r="W422" s="31" t="str">
        <f t="shared" si="284"/>
        <v>1-1.11607886204724i</v>
      </c>
      <c r="X422" s="17">
        <f t="shared" si="295"/>
        <v>1.498543301445995</v>
      </c>
      <c r="Y422" s="17">
        <f t="shared" si="296"/>
        <v>-0.84019888057597003</v>
      </c>
      <c r="Z422" s="31" t="str">
        <f t="shared" si="285"/>
        <v>-3.80905773846968+68.1071560678506i</v>
      </c>
      <c r="AA422" s="17">
        <f t="shared" si="297"/>
        <v>68.213588298121039</v>
      </c>
      <c r="AB422" s="17">
        <f t="shared" si="298"/>
        <v>1.6266655477971725</v>
      </c>
      <c r="AC422" s="66" t="str">
        <f t="shared" si="299"/>
        <v>-0.0218263451423139+0.0272817898733843i</v>
      </c>
      <c r="AD422" s="64">
        <f t="shared" si="300"/>
        <v>-29.133962494283864</v>
      </c>
      <c r="AE422" s="61">
        <f t="shared" si="301"/>
        <v>128.66097771436392</v>
      </c>
      <c r="AF422" s="31" t="str">
        <f t="shared" si="286"/>
        <v>-0.332666666666667</v>
      </c>
      <c r="AG422" s="31" t="str">
        <f t="shared" si="302"/>
        <v>688937.569164965i</v>
      </c>
      <c r="AH422" s="31">
        <f t="shared" si="303"/>
        <v>688937.56916496495</v>
      </c>
      <c r="AI422" s="31">
        <f t="shared" si="304"/>
        <v>1.5707963267948966</v>
      </c>
      <c r="AJ422" s="31" t="str">
        <f t="shared" si="287"/>
        <v>-25322.2377496603+5681.3009291791i</v>
      </c>
      <c r="AK422" s="31">
        <f t="shared" si="305"/>
        <v>25951.741847094054</v>
      </c>
      <c r="AL422" s="31">
        <f t="shared" si="306"/>
        <v>2.9208873179857875</v>
      </c>
      <c r="AM422" s="31" t="str">
        <f t="shared" si="288"/>
        <v>1+20670359.2326731i</v>
      </c>
      <c r="AN422" s="31">
        <f t="shared" si="307"/>
        <v>20670359.232673127</v>
      </c>
      <c r="AO422" s="31">
        <f t="shared" si="308"/>
        <v>1.5707962784164438</v>
      </c>
      <c r="AP422" s="31" t="str">
        <f t="shared" si="289"/>
        <v>1+2232.15772409449i</v>
      </c>
      <c r="AQ422" s="31">
        <f t="shared" si="309"/>
        <v>2232.1579480929868</v>
      </c>
      <c r="AR422" s="31">
        <f t="shared" si="310"/>
        <v>1.5703483298087046</v>
      </c>
      <c r="AS422" s="58" t="str">
        <f t="shared" si="311"/>
        <v>-0.187563764333958+0.837751150431216i</v>
      </c>
      <c r="AT422" s="49">
        <f t="shared" si="312"/>
        <v>-1.3252829547434388</v>
      </c>
      <c r="AU422" s="61">
        <f t="shared" si="313"/>
        <v>102.61981313770342</v>
      </c>
      <c r="AV422" s="58" t="str">
        <f t="shared" si="290"/>
        <v>-0.0187615193957058-0.0234021209591023i</v>
      </c>
      <c r="AW422" s="64">
        <f t="shared" si="314"/>
        <v>-30.459245449027293</v>
      </c>
      <c r="AX422" s="61">
        <f t="shared" si="315"/>
        <v>-128.71920914793259</v>
      </c>
    </row>
    <row r="423" spans="14:50" x14ac:dyDescent="0.3">
      <c r="N423" s="10">
        <v>5</v>
      </c>
      <c r="O423" s="50">
        <f t="shared" si="316"/>
        <v>112201.84543019651</v>
      </c>
      <c r="P423" s="48" t="str">
        <f t="shared" si="281"/>
        <v>51201.9230769231</v>
      </c>
      <c r="Q423" s="17" t="str">
        <f t="shared" si="282"/>
        <v>1+32944.4907220853i</v>
      </c>
      <c r="R423" s="17">
        <f t="shared" si="291"/>
        <v>32944.490737262342</v>
      </c>
      <c r="S423" s="17">
        <f t="shared" si="292"/>
        <v>1.5707659727060104</v>
      </c>
      <c r="T423" s="17" t="str">
        <f t="shared" si="283"/>
        <v>1+2.11495495993634E-06i</v>
      </c>
      <c r="U423" s="17">
        <f t="shared" si="293"/>
        <v>1.0000000000022364</v>
      </c>
      <c r="V423" s="17">
        <f t="shared" si="294"/>
        <v>2.1149549599331866E-6</v>
      </c>
      <c r="W423" s="31" t="str">
        <f t="shared" si="284"/>
        <v>1-1.14207567836562i</v>
      </c>
      <c r="X423" s="17">
        <f t="shared" si="295"/>
        <v>1.5180042342214635</v>
      </c>
      <c r="Y423" s="17">
        <f t="shared" si="296"/>
        <v>-0.85162733076811814</v>
      </c>
      <c r="Z423" s="31" t="str">
        <f t="shared" si="285"/>
        <v>-4.0357016471767+69.6935755284031i</v>
      </c>
      <c r="AA423" s="17">
        <f t="shared" si="297"/>
        <v>69.810324148497202</v>
      </c>
      <c r="AB423" s="17">
        <f t="shared" si="298"/>
        <v>1.6286380991955336</v>
      </c>
      <c r="AC423" s="66" t="str">
        <f t="shared" si="299"/>
        <v>-0.0207567736287013+0.0266698568224152i</v>
      </c>
      <c r="AD423" s="64">
        <f t="shared" si="300"/>
        <v>-29.422863946291983</v>
      </c>
      <c r="AE423" s="61">
        <f t="shared" si="301"/>
        <v>127.89311913005952</v>
      </c>
      <c r="AF423" s="31" t="str">
        <f t="shared" si="286"/>
        <v>-0.332666666666667</v>
      </c>
      <c r="AG423" s="31" t="str">
        <f t="shared" si="302"/>
        <v>704984.986645446i</v>
      </c>
      <c r="AH423" s="31">
        <f t="shared" si="303"/>
        <v>704984.98664544604</v>
      </c>
      <c r="AI423" s="31">
        <f t="shared" si="304"/>
        <v>1.5707963267948966</v>
      </c>
      <c r="AJ423" s="31" t="str">
        <f t="shared" si="287"/>
        <v>-26515.6851767496+5813.63542786711i</v>
      </c>
      <c r="AK423" s="31">
        <f t="shared" si="305"/>
        <v>27145.532178991263</v>
      </c>
      <c r="AL423" s="31">
        <f t="shared" si="306"/>
        <v>2.9257552657660844</v>
      </c>
      <c r="AM423" s="31" t="str">
        <f t="shared" si="288"/>
        <v>1+21151833.7507201i</v>
      </c>
      <c r="AN423" s="31">
        <f t="shared" si="307"/>
        <v>21151833.750720121</v>
      </c>
      <c r="AO423" s="31">
        <f t="shared" si="308"/>
        <v>1.5707962795176718</v>
      </c>
      <c r="AP423" s="31" t="str">
        <f t="shared" si="289"/>
        <v>1+2284.15135673124i</v>
      </c>
      <c r="AQ423" s="31">
        <f t="shared" si="309"/>
        <v>2284.1515756309091</v>
      </c>
      <c r="AR423" s="31">
        <f t="shared" si="310"/>
        <v>1.5703585274637955</v>
      </c>
      <c r="AS423" s="58" t="str">
        <f t="shared" si="311"/>
        <v>-0.179508593071755+0.820446268995204i</v>
      </c>
      <c r="AT423" s="49">
        <f t="shared" si="312"/>
        <v>-1.5159199505612038</v>
      </c>
      <c r="AU423" s="61">
        <f t="shared" si="313"/>
        <v>102.34148462069568</v>
      </c>
      <c r="AV423" s="58" t="str">
        <f t="shared" si="290"/>
        <v>-0.0181551652937898-0.0218172859556629i</v>
      </c>
      <c r="AW423" s="64">
        <f t="shared" si="314"/>
        <v>-30.938783896853188</v>
      </c>
      <c r="AX423" s="61">
        <f t="shared" si="315"/>
        <v>-129.7653962492449</v>
      </c>
    </row>
    <row r="424" spans="14:50" x14ac:dyDescent="0.3">
      <c r="N424" s="10">
        <v>6</v>
      </c>
      <c r="O424" s="50">
        <f t="shared" si="316"/>
        <v>114815.36214968823</v>
      </c>
      <c r="P424" s="48" t="str">
        <f t="shared" si="281"/>
        <v>51201.9230769231</v>
      </c>
      <c r="Q424" s="17" t="str">
        <f t="shared" si="282"/>
        <v>1+33711.8664901681i</v>
      </c>
      <c r="R424" s="17">
        <f t="shared" si="291"/>
        <v>33711.866504999663</v>
      </c>
      <c r="S424" s="17">
        <f t="shared" si="292"/>
        <v>1.5707666636494282</v>
      </c>
      <c r="T424" s="17" t="str">
        <f t="shared" si="283"/>
        <v>1+2.16421858949227E-06i</v>
      </c>
      <c r="U424" s="17">
        <f t="shared" si="293"/>
        <v>1.0000000000023419</v>
      </c>
      <c r="V424" s="17">
        <f t="shared" si="294"/>
        <v>2.1642185894888913E-6</v>
      </c>
      <c r="W424" s="31" t="str">
        <f t="shared" si="284"/>
        <v>1-1.16867803832583i</v>
      </c>
      <c r="X424" s="17">
        <f t="shared" si="295"/>
        <v>1.5381184470856299</v>
      </c>
      <c r="Y424" s="17">
        <f t="shared" si="296"/>
        <v>-0.86302108371839126</v>
      </c>
      <c r="Z424" s="31" t="str">
        <f t="shared" si="285"/>
        <v>-4.27302695422563+71.3169474452042i</v>
      </c>
      <c r="AA424" s="17">
        <f t="shared" si="297"/>
        <v>71.444844126455735</v>
      </c>
      <c r="AB424" s="17">
        <f t="shared" si="298"/>
        <v>1.6306407930259674</v>
      </c>
      <c r="AC424" s="66" t="str">
        <f t="shared" si="299"/>
        <v>-0.01973536322308+0.0260706811523967i</v>
      </c>
      <c r="AD424" s="64">
        <f t="shared" si="300"/>
        <v>-29.709552758936574</v>
      </c>
      <c r="AE424" s="61">
        <f t="shared" si="301"/>
        <v>127.12552250350966</v>
      </c>
      <c r="AF424" s="31" t="str">
        <f t="shared" si="286"/>
        <v>-0.332666666666667</v>
      </c>
      <c r="AG424" s="31" t="str">
        <f t="shared" si="302"/>
        <v>721406.196497424i</v>
      </c>
      <c r="AH424" s="31">
        <f t="shared" si="303"/>
        <v>721406.19649742404</v>
      </c>
      <c r="AI424" s="31">
        <f t="shared" si="304"/>
        <v>1.5707963267948966</v>
      </c>
      <c r="AJ424" s="31" t="str">
        <f t="shared" si="287"/>
        <v>-27765.3780482524+5949.05239301153i</v>
      </c>
      <c r="AK424" s="31">
        <f t="shared" si="305"/>
        <v>28395.553217663721</v>
      </c>
      <c r="AL424" s="31">
        <f t="shared" si="306"/>
        <v>2.9305224426268555</v>
      </c>
      <c r="AM424" s="31" t="str">
        <f t="shared" si="288"/>
        <v>1+21644523.2509994i</v>
      </c>
      <c r="AN424" s="31">
        <f t="shared" si="307"/>
        <v>21644523.250999421</v>
      </c>
      <c r="AO424" s="31">
        <f t="shared" si="308"/>
        <v>1.5707962805938327</v>
      </c>
      <c r="AP424" s="31" t="str">
        <f t="shared" si="289"/>
        <v>1+2337.35607665165i</v>
      </c>
      <c r="AQ424" s="31">
        <f t="shared" si="309"/>
        <v>2337.3562905685544</v>
      </c>
      <c r="AR424" s="31">
        <f t="shared" si="310"/>
        <v>1.5703684929920048</v>
      </c>
      <c r="AS424" s="58" t="str">
        <f t="shared" si="311"/>
        <v>-0.171783439322339+0.803424474208442i</v>
      </c>
      <c r="AT424" s="49">
        <f t="shared" si="312"/>
        <v>-1.7069594678692463</v>
      </c>
      <c r="AU424" s="61">
        <f t="shared" si="313"/>
        <v>102.06891655074756</v>
      </c>
      <c r="AV424" s="58" t="str">
        <f t="shared" si="290"/>
        <v>-0.017555614726384-0.0203343850946505i</v>
      </c>
      <c r="AW424" s="64">
        <f t="shared" si="314"/>
        <v>-31.4165122268058</v>
      </c>
      <c r="AX424" s="61">
        <f t="shared" si="315"/>
        <v>-130.80556094574274</v>
      </c>
    </row>
    <row r="425" spans="14:50" x14ac:dyDescent="0.3">
      <c r="N425" s="10">
        <v>7</v>
      </c>
      <c r="O425" s="50">
        <f t="shared" si="316"/>
        <v>117489.75549395311</v>
      </c>
      <c r="P425" s="48" t="str">
        <f t="shared" si="281"/>
        <v>51201.9230769231</v>
      </c>
      <c r="Q425" s="17" t="str">
        <f t="shared" si="282"/>
        <v>1+34497.1167360935i</v>
      </c>
      <c r="R425" s="17">
        <f t="shared" si="291"/>
        <v>34497.116750587462</v>
      </c>
      <c r="S425" s="17">
        <f t="shared" si="292"/>
        <v>1.570767338865054</v>
      </c>
      <c r="T425" s="17" t="str">
        <f t="shared" si="283"/>
        <v>1+2.21462971639119E-06i</v>
      </c>
      <c r="U425" s="17">
        <f t="shared" si="293"/>
        <v>1.0000000000024523</v>
      </c>
      <c r="V425" s="17">
        <f t="shared" si="294"/>
        <v>2.2146297163875694E-6</v>
      </c>
      <c r="W425" s="31" t="str">
        <f t="shared" si="284"/>
        <v>1-1.19590004685124i</v>
      </c>
      <c r="X425" s="17">
        <f t="shared" si="295"/>
        <v>1.5589024735559303</v>
      </c>
      <c r="Y425" s="17">
        <f t="shared" si="296"/>
        <v>-0.8743743485515072</v>
      </c>
      <c r="Z425" s="31" t="str">
        <f t="shared" si="285"/>
        <v>-4.52153705841156+72.9781325515324i</v>
      </c>
      <c r="AA425" s="17">
        <f t="shared" si="297"/>
        <v>73.118069778130916</v>
      </c>
      <c r="AB425" s="17">
        <f t="shared" si="298"/>
        <v>1.6326746531927423</v>
      </c>
      <c r="AC425" s="66" t="str">
        <f t="shared" si="299"/>
        <v>-0.0187599499737234+0.0254840378942897i</v>
      </c>
      <c r="AD425" s="64">
        <f t="shared" si="300"/>
        <v>-29.994045952051454</v>
      </c>
      <c r="AE425" s="61">
        <f t="shared" si="301"/>
        <v>126.35846094254094</v>
      </c>
      <c r="AF425" s="31" t="str">
        <f t="shared" si="286"/>
        <v>-0.332666666666667</v>
      </c>
      <c r="AG425" s="31" t="str">
        <f t="shared" si="302"/>
        <v>738209.905463728i</v>
      </c>
      <c r="AH425" s="31">
        <f t="shared" si="303"/>
        <v>738209.90546372801</v>
      </c>
      <c r="AI425" s="31">
        <f t="shared" si="304"/>
        <v>1.5707963267948966</v>
      </c>
      <c r="AJ425" s="31" t="str">
        <f t="shared" si="287"/>
        <v>-29073.967130299+6087.62362447976i</v>
      </c>
      <c r="AK425" s="31">
        <f t="shared" si="305"/>
        <v>29704.456333806727</v>
      </c>
      <c r="AL425" s="31">
        <f t="shared" si="306"/>
        <v>2.9351905112153704</v>
      </c>
      <c r="AM425" s="31" t="str">
        <f t="shared" si="288"/>
        <v>1+22148688.9640056i</v>
      </c>
      <c r="AN425" s="31">
        <f t="shared" si="307"/>
        <v>22148688.964005619</v>
      </c>
      <c r="AO425" s="31">
        <f t="shared" si="308"/>
        <v>1.5707962816454974</v>
      </c>
      <c r="AP425" s="31" t="str">
        <f t="shared" si="289"/>
        <v>1+2391.80009370248i</v>
      </c>
      <c r="AQ425" s="31">
        <f t="shared" si="309"/>
        <v>2391.8003027500417</v>
      </c>
      <c r="AR425" s="31">
        <f t="shared" si="310"/>
        <v>1.5703782316771795</v>
      </c>
      <c r="AS425" s="58" t="str">
        <f t="shared" si="311"/>
        <v>-0.164376127402201+0.786686000349885i</v>
      </c>
      <c r="AT425" s="49">
        <f t="shared" si="312"/>
        <v>-1.8983849804698112</v>
      </c>
      <c r="AU425" s="61">
        <f t="shared" si="313"/>
        <v>101.80201396796245</v>
      </c>
      <c r="AV425" s="58" t="str">
        <f t="shared" si="290"/>
        <v>-0.016964247916884-0.0189471574712267i</v>
      </c>
      <c r="AW425" s="64">
        <f t="shared" si="314"/>
        <v>-31.892430932521254</v>
      </c>
      <c r="AX425" s="61">
        <f t="shared" si="315"/>
        <v>-131.83952508949656</v>
      </c>
    </row>
    <row r="426" spans="14:50" x14ac:dyDescent="0.3">
      <c r="N426" s="10">
        <v>8</v>
      </c>
      <c r="O426" s="50">
        <f t="shared" si="316"/>
        <v>120226.44346174144</v>
      </c>
      <c r="P426" s="48" t="str">
        <f t="shared" si="281"/>
        <v>51201.9230769231</v>
      </c>
      <c r="Q426" s="17" t="str">
        <f t="shared" si="282"/>
        <v>1+35300.6578099356i</v>
      </c>
      <c r="R426" s="17">
        <f t="shared" si="291"/>
        <v>35300.657824099639</v>
      </c>
      <c r="S426" s="17">
        <f t="shared" si="292"/>
        <v>1.5707679987108956</v>
      </c>
      <c r="T426" s="17" t="str">
        <f t="shared" si="283"/>
        <v>1+2.26621506927982E-06i</v>
      </c>
      <c r="U426" s="17">
        <f t="shared" si="293"/>
        <v>1.0000000000025677</v>
      </c>
      <c r="V426" s="17">
        <f t="shared" si="294"/>
        <v>2.2662150692759404E-6</v>
      </c>
      <c r="W426" s="31" t="str">
        <f t="shared" si="284"/>
        <v>1-1.2237561374111i</v>
      </c>
      <c r="X426" s="17">
        <f t="shared" si="295"/>
        <v>1.5803730837531165</v>
      </c>
      <c r="Y426" s="17">
        <f t="shared" si="296"/>
        <v>-0.8856814385595404</v>
      </c>
      <c r="Z426" s="31" t="str">
        <f t="shared" si="285"/>
        <v>-4.78175908298373+74.6780116297191i</v>
      </c>
      <c r="AA426" s="17">
        <f t="shared" si="297"/>
        <v>74.830947080042748</v>
      </c>
      <c r="AB426" s="17">
        <f t="shared" si="298"/>
        <v>1.6347407174797912</v>
      </c>
      <c r="AC426" s="66" t="str">
        <f t="shared" si="299"/>
        <v>-0.017828467260724+0.0249097025690916i</v>
      </c>
      <c r="AD426" s="64">
        <f t="shared" si="300"/>
        <v>-30.276362862659276</v>
      </c>
      <c r="AE426" s="61">
        <f t="shared" si="301"/>
        <v>125.59220079189684</v>
      </c>
      <c r="AF426" s="31" t="str">
        <f t="shared" si="286"/>
        <v>-0.332666666666667</v>
      </c>
      <c r="AG426" s="31" t="str">
        <f t="shared" si="302"/>
        <v>755405.023093271i</v>
      </c>
      <c r="AH426" s="31">
        <f t="shared" si="303"/>
        <v>755405.02309327095</v>
      </c>
      <c r="AI426" s="31">
        <f t="shared" si="304"/>
        <v>1.5707963267948966</v>
      </c>
      <c r="AJ426" s="31" t="str">
        <f t="shared" si="287"/>
        <v>-30444.2281157776+6229.4225945729i</v>
      </c>
      <c r="AK426" s="31">
        <f t="shared" si="305"/>
        <v>31075.017802525534</v>
      </c>
      <c r="AL426" s="31">
        <f t="shared" si="306"/>
        <v>2.939761134456401</v>
      </c>
      <c r="AM426" s="31" t="str">
        <f t="shared" si="288"/>
        <v>1+22664598.205073i</v>
      </c>
      <c r="AN426" s="31">
        <f t="shared" si="307"/>
        <v>22664598.205073018</v>
      </c>
      <c r="AO426" s="31">
        <f t="shared" si="308"/>
        <v>1.5707962826732231</v>
      </c>
      <c r="AP426" s="31" t="str">
        <f t="shared" si="289"/>
        <v>1+2447.5122748222i</v>
      </c>
      <c r="AQ426" s="31">
        <f t="shared" si="309"/>
        <v>2447.5124791112594</v>
      </c>
      <c r="AR426" s="31">
        <f t="shared" si="310"/>
        <v>1.5703877486828921</v>
      </c>
      <c r="AS426" s="58" t="str">
        <f t="shared" si="311"/>
        <v>-0.15727481650574+0.770230703312363i</v>
      </c>
      <c r="AT426" s="49">
        <f t="shared" si="312"/>
        <v>-2.0901805748581612</v>
      </c>
      <c r="AU426" s="61">
        <f t="shared" si="313"/>
        <v>101.54068188965235</v>
      </c>
      <c r="AV426" s="58" t="str">
        <f t="shared" si="290"/>
        <v>-0.0163822488120842-0.0176497017779753i</v>
      </c>
      <c r="AW426" s="64">
        <f t="shared" si="314"/>
        <v>-32.366543437517457</v>
      </c>
      <c r="AX426" s="61">
        <f t="shared" si="315"/>
        <v>-132.86711731845077</v>
      </c>
    </row>
    <row r="427" spans="14:50" x14ac:dyDescent="0.3">
      <c r="N427" s="10">
        <v>9</v>
      </c>
      <c r="O427" s="50">
        <f t="shared" si="316"/>
        <v>123026.87708123829</v>
      </c>
      <c r="P427" s="48" t="str">
        <f t="shared" si="281"/>
        <v>51201.9230769231</v>
      </c>
      <c r="Q427" s="17" t="str">
        <f t="shared" si="282"/>
        <v>1+36122.9157598079i</v>
      </c>
      <c r="R427" s="17">
        <f t="shared" si="291"/>
        <v>36122.915773649518</v>
      </c>
      <c r="S427" s="17">
        <f t="shared" si="292"/>
        <v>1.570768643536812</v>
      </c>
      <c r="T427" s="17" t="str">
        <f t="shared" si="283"/>
        <v>1+2.31900199939508E-06i</v>
      </c>
      <c r="U427" s="17">
        <f t="shared" si="293"/>
        <v>1.000000000002689</v>
      </c>
      <c r="V427" s="17">
        <f t="shared" si="294"/>
        <v>2.3190019993909234E-6</v>
      </c>
      <c r="W427" s="31" t="str">
        <f t="shared" si="284"/>
        <v>1-1.25226107967334i</v>
      </c>
      <c r="X427" s="17">
        <f t="shared" si="295"/>
        <v>1.6025472884332115</v>
      </c>
      <c r="Y427" s="17">
        <f t="shared" si="296"/>
        <v>-0.89693678474414495</v>
      </c>
      <c r="Z427" s="31" t="str">
        <f t="shared" si="285"/>
        <v>-5.05424499374485+76.4174859781522i</v>
      </c>
      <c r="AA427" s="17">
        <f t="shared" si="297"/>
        <v>76.584447217942909</v>
      </c>
      <c r="AB427" s="17">
        <f t="shared" si="298"/>
        <v>1.6368400379128809</v>
      </c>
      <c r="AC427" s="66" t="str">
        <f t="shared" si="299"/>
        <v>-0.0169389414324564+0.0243474514812877i</v>
      </c>
      <c r="AD427" s="64">
        <f t="shared" si="300"/>
        <v>-30.556525079982173</v>
      </c>
      <c r="AE427" s="61">
        <f t="shared" si="301"/>
        <v>124.82700083656333</v>
      </c>
      <c r="AF427" s="31" t="str">
        <f t="shared" si="286"/>
        <v>-0.332666666666667</v>
      </c>
      <c r="AG427" s="31" t="str">
        <f t="shared" si="302"/>
        <v>773000.666465025i</v>
      </c>
      <c r="AH427" s="31">
        <f t="shared" si="303"/>
        <v>773000.66646502505</v>
      </c>
      <c r="AI427" s="31">
        <f t="shared" si="304"/>
        <v>1.5707963267948966</v>
      </c>
      <c r="AJ427" s="31" t="str">
        <f t="shared" si="287"/>
        <v>-31879.0675119526+6374.52448698184i</v>
      </c>
      <c r="AK427" s="31">
        <f t="shared" si="305"/>
        <v>32510.144691569167</v>
      </c>
      <c r="AL427" s="31">
        <f t="shared" si="306"/>
        <v>2.9442359734069434</v>
      </c>
      <c r="AM427" s="31" t="str">
        <f t="shared" si="288"/>
        <v>1+23192524.5161101i</v>
      </c>
      <c r="AN427" s="31">
        <f t="shared" si="307"/>
        <v>23192524.516110122</v>
      </c>
      <c r="AO427" s="31">
        <f t="shared" si="308"/>
        <v>1.5707962836775551</v>
      </c>
      <c r="AP427" s="31" t="str">
        <f t="shared" si="289"/>
        <v>1+2504.52215934668i</v>
      </c>
      <c r="AQ427" s="31">
        <f t="shared" si="309"/>
        <v>2504.5223589855523</v>
      </c>
      <c r="AR427" s="31">
        <f t="shared" si="310"/>
        <v>1.570397049055178</v>
      </c>
      <c r="AS427" s="58" t="str">
        <f t="shared" si="311"/>
        <v>-0.150468001693302+0.754058086978224i</v>
      </c>
      <c r="AT427" s="49">
        <f t="shared" si="312"/>
        <v>-2.2823309331072319</v>
      </c>
      <c r="AU427" s="61">
        <f t="shared" si="313"/>
        <v>101.28482543340937</v>
      </c>
      <c r="AV427" s="58" t="str">
        <f t="shared" si="290"/>
        <v>-0.0158106240186333-0.0164364581427082i</v>
      </c>
      <c r="AW427" s="64">
        <f t="shared" si="314"/>
        <v>-32.838856013089426</v>
      </c>
      <c r="AX427" s="61">
        <f t="shared" si="315"/>
        <v>-133.88817373002729</v>
      </c>
    </row>
    <row r="428" spans="14:50" x14ac:dyDescent="0.3">
      <c r="N428" s="10">
        <v>10</v>
      </c>
      <c r="O428" s="50">
        <f t="shared" si="316"/>
        <v>125892.54117941685</v>
      </c>
      <c r="P428" s="48" t="str">
        <f t="shared" si="281"/>
        <v>51201.9230769231</v>
      </c>
      <c r="Q428" s="17" t="str">
        <f t="shared" si="282"/>
        <v>1+36964.3265577595i</v>
      </c>
      <c r="R428" s="17">
        <f t="shared" si="291"/>
        <v>36964.326571286052</v>
      </c>
      <c r="S428" s="17">
        <f t="shared" si="292"/>
        <v>1.5707692736846988</v>
      </c>
      <c r="T428" s="17" t="str">
        <f t="shared" si="283"/>
        <v>1+2.37301849506604E-06i</v>
      </c>
      <c r="U428" s="17">
        <f t="shared" si="293"/>
        <v>1.0000000000028155</v>
      </c>
      <c r="V428" s="17">
        <f t="shared" si="294"/>
        <v>2.3730184950615859E-6</v>
      </c>
      <c r="W428" s="31" t="str">
        <f t="shared" si="284"/>
        <v>1-1.28142998733566i</v>
      </c>
      <c r="X428" s="17">
        <f t="shared" si="295"/>
        <v>1.6254423436231349</v>
      </c>
      <c r="Y428" s="17">
        <f t="shared" si="296"/>
        <v>-0.90813494864055333</v>
      </c>
      <c r="Z428" s="31" t="str">
        <f t="shared" si="285"/>
        <v>-5.33957276984448+78.1974778891559i</v>
      </c>
      <c r="AA428" s="17">
        <f t="shared" si="297"/>
        <v>78.379567398586033</v>
      </c>
      <c r="AB428" s="17">
        <f t="shared" si="298"/>
        <v>1.638973681116489</v>
      </c>
      <c r="AC428" s="66" t="str">
        <f t="shared" si="299"/>
        <v>-0.0160894876374273+0.0237970619853793i</v>
      </c>
      <c r="AD428" s="64">
        <f t="shared" si="300"/>
        <v>-30.834556372920474</v>
      </c>
      <c r="AE428" s="61">
        <f t="shared" si="301"/>
        <v>124.06311154655265</v>
      </c>
      <c r="AF428" s="31" t="str">
        <f t="shared" si="286"/>
        <v>-0.332666666666667</v>
      </c>
      <c r="AG428" s="31" t="str">
        <f t="shared" si="302"/>
        <v>791006.165022013i</v>
      </c>
      <c r="AH428" s="31">
        <f t="shared" si="303"/>
        <v>791006.16502201301</v>
      </c>
      <c r="AI428" s="31">
        <f t="shared" si="304"/>
        <v>1.5707963267948966</v>
      </c>
      <c r="AJ428" s="31" t="str">
        <f t="shared" si="287"/>
        <v>-33381.5288055556+6523.00623665058i</v>
      </c>
      <c r="AK428" s="31">
        <f t="shared" si="305"/>
        <v>34012.88102703917</v>
      </c>
      <c r="AL428" s="31">
        <f t="shared" si="306"/>
        <v>2.9486166852626066</v>
      </c>
      <c r="AM428" s="31" t="str">
        <f t="shared" si="288"/>
        <v>1+23732747.8106351i</v>
      </c>
      <c r="AN428" s="31">
        <f t="shared" si="307"/>
        <v>23732747.810635123</v>
      </c>
      <c r="AO428" s="31">
        <f t="shared" si="308"/>
        <v>1.5707962846590255</v>
      </c>
      <c r="AP428" s="31" t="str">
        <f t="shared" si="289"/>
        <v>1+2562.85997467132i</v>
      </c>
      <c r="AQ428" s="31">
        <f t="shared" si="309"/>
        <v>2562.8601697658569</v>
      </c>
      <c r="AR428" s="31">
        <f t="shared" si="310"/>
        <v>1.5704061377252112</v>
      </c>
      <c r="AS428" s="58" t="str">
        <f t="shared" si="311"/>
        <v>-0.143944513736126+0.738167328479608i</v>
      </c>
      <c r="AT428" s="49">
        <f t="shared" si="312"/>
        <v>-2.4748213157296752</v>
      </c>
      <c r="AU428" s="61">
        <f t="shared" si="313"/>
        <v>101.03434993148535</v>
      </c>
      <c r="AV428" s="58" t="str">
        <f t="shared" si="290"/>
        <v>-0.0152502201971782-0.0153021906217593i</v>
      </c>
      <c r="AW428" s="64">
        <f t="shared" si="314"/>
        <v>-33.309377688650137</v>
      </c>
      <c r="AX428" s="61">
        <f t="shared" si="315"/>
        <v>-134.90253852196193</v>
      </c>
    </row>
    <row r="429" spans="14:50" x14ac:dyDescent="0.3">
      <c r="N429" s="10">
        <v>11</v>
      </c>
      <c r="O429" s="50">
        <f t="shared" si="316"/>
        <v>128824.95516931375</v>
      </c>
      <c r="P429" s="48" t="str">
        <f t="shared" si="281"/>
        <v>51201.9230769231</v>
      </c>
      <c r="Q429" s="17" t="str">
        <f t="shared" si="282"/>
        <v>1+37825.3363309327i</v>
      </c>
      <c r="R429" s="17">
        <f t="shared" si="291"/>
        <v>37825.336344151357</v>
      </c>
      <c r="S429" s="17">
        <f t="shared" si="292"/>
        <v>1.5707698894886684</v>
      </c>
      <c r="T429" s="17" t="str">
        <f t="shared" si="283"/>
        <v>1+2.42829319655371E-06i</v>
      </c>
      <c r="U429" s="17">
        <f t="shared" si="293"/>
        <v>1.0000000000029483</v>
      </c>
      <c r="V429" s="17">
        <f t="shared" si="294"/>
        <v>2.4282931965489371E-6</v>
      </c>
      <c r="W429" s="31" t="str">
        <f t="shared" si="284"/>
        <v>1-1.311278326139i</v>
      </c>
      <c r="X429" s="17">
        <f t="shared" si="295"/>
        <v>1.6490757558711178</v>
      </c>
      <c r="Y429" s="17">
        <f t="shared" si="296"/>
        <v>-0.91927063435744638</v>
      </c>
      <c r="Z429" s="31" t="str">
        <f t="shared" si="285"/>
        <v>-5.63834762975028+80.0189311380026i</v>
      </c>
      <c r="AA429" s="17">
        <f t="shared" si="297"/>
        <v>80.217331696225799</v>
      </c>
      <c r="AB429" s="17">
        <f t="shared" si="298"/>
        <v>1.6411427286647091</v>
      </c>
      <c r="AC429" s="66" t="str">
        <f t="shared" si="299"/>
        <v>-0.0152783058428188+0.0232583127274551i</v>
      </c>
      <c r="AD429" s="64">
        <f t="shared" si="300"/>
        <v>-31.110482610651971</v>
      </c>
      <c r="AE429" s="61">
        <f t="shared" si="301"/>
        <v>123.30077436695301</v>
      </c>
      <c r="AF429" s="31" t="str">
        <f t="shared" si="286"/>
        <v>-0.332666666666667</v>
      </c>
      <c r="AG429" s="31" t="str">
        <f t="shared" si="302"/>
        <v>809431.065517901i</v>
      </c>
      <c r="AH429" s="31">
        <f t="shared" si="303"/>
        <v>809431.06551790098</v>
      </c>
      <c r="AI429" s="31">
        <f t="shared" si="304"/>
        <v>1.5707963267948966</v>
      </c>
      <c r="AJ429" s="31" t="str">
        <f t="shared" si="287"/>
        <v>-34954.7989184289+6674.94657056821i</v>
      </c>
      <c r="AK429" s="31">
        <f t="shared" si="305"/>
        <v>35586.414249650647</v>
      </c>
      <c r="AL429" s="31">
        <f t="shared" si="306"/>
        <v>2.9529049215091212</v>
      </c>
      <c r="AM429" s="31" t="str">
        <f t="shared" si="288"/>
        <v>1+24285554.5221893i</v>
      </c>
      <c r="AN429" s="31">
        <f t="shared" si="307"/>
        <v>24285554.522189323</v>
      </c>
      <c r="AO429" s="31">
        <f t="shared" si="308"/>
        <v>1.5707962856181552</v>
      </c>
      <c r="AP429" s="31" t="str">
        <f t="shared" si="289"/>
        <v>1+2622.556652278i</v>
      </c>
      <c r="AQ429" s="31">
        <f t="shared" si="309"/>
        <v>2622.5568429316436</v>
      </c>
      <c r="AR429" s="31">
        <f t="shared" si="310"/>
        <v>1.5704150195119191</v>
      </c>
      <c r="AS429" s="58" t="str">
        <f t="shared" si="311"/>
        <v>-0.137693517930779+0.722557302344203i</v>
      </c>
      <c r="AT429" s="49">
        <f t="shared" si="312"/>
        <v>-2.6676375445757907</v>
      </c>
      <c r="AU429" s="61">
        <f t="shared" si="313"/>
        <v>100.78916103685204</v>
      </c>
      <c r="AV429" s="58" t="str">
        <f t="shared" si="290"/>
        <v>-0.0147017400219077-0.0142419703547543i</v>
      </c>
      <c r="AW429" s="64">
        <f t="shared" si="314"/>
        <v>-33.778120155227775</v>
      </c>
      <c r="AX429" s="61">
        <f t="shared" si="315"/>
        <v>-135.91006459619499</v>
      </c>
    </row>
    <row r="430" spans="14:50" x14ac:dyDescent="0.3">
      <c r="N430" s="10">
        <v>12</v>
      </c>
      <c r="O430" s="50">
        <f t="shared" si="316"/>
        <v>131825.67385564081</v>
      </c>
      <c r="P430" s="48" t="str">
        <f t="shared" si="281"/>
        <v>51201.9230769231</v>
      </c>
      <c r="Q430" s="17" t="str">
        <f t="shared" si="282"/>
        <v>1+38706.4015981059i</v>
      </c>
      <c r="R430" s="17">
        <f t="shared" si="291"/>
        <v>38706.401611023655</v>
      </c>
      <c r="S430" s="17">
        <f t="shared" si="292"/>
        <v>1.5707704912752283</v>
      </c>
      <c r="T430" s="17" t="str">
        <f t="shared" si="283"/>
        <v>1+2.48485541123643E-06i</v>
      </c>
      <c r="U430" s="17">
        <f t="shared" si="293"/>
        <v>1.0000000000030873</v>
      </c>
      <c r="V430" s="17">
        <f t="shared" si="294"/>
        <v>2.4848554112313157E-6</v>
      </c>
      <c r="W430" s="31" t="str">
        <f t="shared" si="284"/>
        <v>1-1.34182192206767i</v>
      </c>
      <c r="X430" s="17">
        <f t="shared" si="295"/>
        <v>1.6734652881196477</v>
      </c>
      <c r="Y430" s="17">
        <f t="shared" si="296"/>
        <v>-0.93033869977536765</v>
      </c>
      <c r="Z430" s="31" t="str">
        <f t="shared" si="285"/>
        <v>-5.95120331499752+81.8828114833141i</v>
      </c>
      <c r="AA430" s="17">
        <f t="shared" si="297"/>
        <v>82.098791935742824</v>
      </c>
      <c r="AB430" s="17">
        <f t="shared" si="298"/>
        <v>1.6433482774254382</v>
      </c>
      <c r="AC430" s="66" t="str">
        <f t="shared" si="299"/>
        <v>-0.0145036770314249+0.0227309838636438i</v>
      </c>
      <c r="AD430" s="64">
        <f t="shared" si="300"/>
        <v>-31.38433167704676</v>
      </c>
      <c r="AE430" s="61">
        <f t="shared" si="301"/>
        <v>122.54022105657758</v>
      </c>
      <c r="AF430" s="31" t="str">
        <f t="shared" si="286"/>
        <v>-0.332666666666667</v>
      </c>
      <c r="AG430" s="31" t="str">
        <f t="shared" si="302"/>
        <v>828285.13707881i</v>
      </c>
      <c r="AH430" s="31">
        <f t="shared" si="303"/>
        <v>828285.13707881002</v>
      </c>
      <c r="AI430" s="31">
        <f t="shared" si="304"/>
        <v>1.5707963267948966</v>
      </c>
      <c r="AJ430" s="31" t="str">
        <f t="shared" si="287"/>
        <v>-36602.2149674135+6830.42604951089i</v>
      </c>
      <c r="AK430" s="31">
        <f t="shared" si="305"/>
        <v>37234.081975235888</v>
      </c>
      <c r="AL430" s="31">
        <f t="shared" si="306"/>
        <v>2.957102326212441</v>
      </c>
      <c r="AM430" s="31" t="str">
        <f t="shared" si="288"/>
        <v>1+24851237.7562085i</v>
      </c>
      <c r="AN430" s="31">
        <f t="shared" si="307"/>
        <v>24851237.756208524</v>
      </c>
      <c r="AO430" s="31">
        <f t="shared" si="308"/>
        <v>1.5707962865554521</v>
      </c>
      <c r="AP430" s="31" t="str">
        <f t="shared" si="289"/>
        <v>1+2683.64384413534i</v>
      </c>
      <c r="AQ430" s="31">
        <f t="shared" si="309"/>
        <v>2683.6440304491771</v>
      </c>
      <c r="AR430" s="31">
        <f t="shared" si="310"/>
        <v>1.5704236991245366</v>
      </c>
      <c r="AS430" s="58" t="str">
        <f t="shared" si="311"/>
        <v>-0.131704511989146+0.707226603533893i</v>
      </c>
      <c r="AT430" s="49">
        <f t="shared" si="312"/>
        <v>-2.8607659858150765</v>
      </c>
      <c r="AU430" s="61">
        <f t="shared" si="313"/>
        <v>100.54916482131738</v>
      </c>
      <c r="AV430" s="58" t="str">
        <f t="shared" si="290"/>
        <v>-0.0141657568073965-0.0132511593824815i</v>
      </c>
      <c r="AW430" s="64">
        <f t="shared" si="314"/>
        <v>-34.245097662861859</v>
      </c>
      <c r="AX430" s="61">
        <f t="shared" si="315"/>
        <v>-136.91061412210502</v>
      </c>
    </row>
    <row r="431" spans="14:50" x14ac:dyDescent="0.3">
      <c r="N431" s="10">
        <v>13</v>
      </c>
      <c r="O431" s="50">
        <f t="shared" si="316"/>
        <v>134896.28825916545</v>
      </c>
      <c r="P431" s="48" t="str">
        <f t="shared" si="281"/>
        <v>51201.9230769231</v>
      </c>
      <c r="Q431" s="17" t="str">
        <f t="shared" si="282"/>
        <v>1+39607.9895117464i</v>
      </c>
      <c r="R431" s="17">
        <f t="shared" si="291"/>
        <v>39607.98952437011</v>
      </c>
      <c r="S431" s="17">
        <f t="shared" si="292"/>
        <v>1.5707710793634537</v>
      </c>
      <c r="T431" s="17" t="str">
        <f t="shared" si="283"/>
        <v>1+2.54273512914915E-06i</v>
      </c>
      <c r="U431" s="17">
        <f t="shared" si="293"/>
        <v>1.0000000000032327</v>
      </c>
      <c r="V431" s="17">
        <f t="shared" si="294"/>
        <v>2.54273512914367E-6</v>
      </c>
      <c r="W431" s="31" t="str">
        <f t="shared" si="284"/>
        <v>1-1.37307696974054i</v>
      </c>
      <c r="X431" s="17">
        <f t="shared" si="295"/>
        <v>1.6986289662053524</v>
      </c>
      <c r="Y431" s="17">
        <f t="shared" si="296"/>
        <v>-0.94133416685530158</v>
      </c>
      <c r="Z431" s="31" t="str">
        <f t="shared" si="285"/>
        <v>-6.27880343443995+83.7901071791214i</v>
      </c>
      <c r="AA431" s="17">
        <f t="shared" si="297"/>
        <v>84.025028614437176</v>
      </c>
      <c r="AB431" s="17">
        <f t="shared" si="298"/>
        <v>1.6455914398970333</v>
      </c>
      <c r="AC431" s="66" t="str">
        <f t="shared" si="299"/>
        <v>-0.0137639595690395+0.0222148572571591i</v>
      </c>
      <c r="AD431" s="64">
        <f t="shared" si="300"/>
        <v>-31.656133379630411</v>
      </c>
      <c r="AE431" s="61">
        <f t="shared" si="301"/>
        <v>121.78167307802809</v>
      </c>
      <c r="AF431" s="31" t="str">
        <f t="shared" si="286"/>
        <v>-0.332666666666667</v>
      </c>
      <c r="AG431" s="31" t="str">
        <f t="shared" si="302"/>
        <v>847578.37638305i</v>
      </c>
      <c r="AH431" s="31">
        <f t="shared" si="303"/>
        <v>847578.37638305</v>
      </c>
      <c r="AI431" s="31">
        <f t="shared" si="304"/>
        <v>1.5707963267948966</v>
      </c>
      <c r="AJ431" s="31" t="str">
        <f t="shared" si="287"/>
        <v>-38327.2713428226+6989.52711075641i</v>
      </c>
      <c r="AK431" s="31">
        <f t="shared" si="305"/>
        <v>38959.379073829565</v>
      </c>
      <c r="AL431" s="31">
        <f t="shared" si="306"/>
        <v>2.9612105344409736</v>
      </c>
      <c r="AM431" s="31" t="str">
        <f t="shared" si="288"/>
        <v>1+25430097.445431i</v>
      </c>
      <c r="AN431" s="31">
        <f t="shared" si="307"/>
        <v>25430097.445431024</v>
      </c>
      <c r="AO431" s="31">
        <f t="shared" si="308"/>
        <v>1.5707962874714139</v>
      </c>
      <c r="AP431" s="31" t="str">
        <f t="shared" si="289"/>
        <v>1+2746.15393948108i</v>
      </c>
      <c r="AQ431" s="31">
        <f t="shared" si="309"/>
        <v>2746.1541215538973</v>
      </c>
      <c r="AR431" s="31">
        <f t="shared" si="310"/>
        <v>1.5704321811651041</v>
      </c>
      <c r="AS431" s="58" t="str">
        <f t="shared" si="311"/>
        <v>-0.125967323103355+0.692173569388694i</v>
      </c>
      <c r="AT431" s="49">
        <f t="shared" si="312"/>
        <v>-3.054193533047596</v>
      </c>
      <c r="AU431" s="61">
        <f t="shared" si="313"/>
        <v>100.31426786606842</v>
      </c>
      <c r="AV431" s="58" t="str">
        <f t="shared" si="290"/>
        <v>-0.0136427278989334-0.0123253951256312i</v>
      </c>
      <c r="AW431" s="64">
        <f t="shared" si="314"/>
        <v>-34.710326912678021</v>
      </c>
      <c r="AX431" s="61">
        <f t="shared" si="315"/>
        <v>-137.90405905590345</v>
      </c>
    </row>
    <row r="432" spans="14:50" x14ac:dyDescent="0.3">
      <c r="N432" s="10">
        <v>14</v>
      </c>
      <c r="O432" s="50">
        <f t="shared" si="316"/>
        <v>138038.42646028858</v>
      </c>
      <c r="P432" s="48" t="str">
        <f t="shared" si="281"/>
        <v>51201.9230769231</v>
      </c>
      <c r="Q432" s="17" t="str">
        <f t="shared" si="282"/>
        <v>1+40530.5781056997i</v>
      </c>
      <c r="R432" s="17">
        <f t="shared" si="291"/>
        <v>40530.578118036057</v>
      </c>
      <c r="S432" s="17">
        <f t="shared" si="292"/>
        <v>1.5707716540651568</v>
      </c>
      <c r="T432" s="17" t="str">
        <f t="shared" si="283"/>
        <v>1+2.60196303888443E-06i</v>
      </c>
      <c r="U432" s="17">
        <f t="shared" si="293"/>
        <v>1.0000000000033851</v>
      </c>
      <c r="V432" s="17">
        <f t="shared" si="294"/>
        <v>2.601963038878558E-6</v>
      </c>
      <c r="W432" s="31" t="str">
        <f t="shared" si="284"/>
        <v>1-1.40506004099759i</v>
      </c>
      <c r="X432" s="17">
        <f t="shared" si="295"/>
        <v>1.7245850859868148</v>
      </c>
      <c r="Y432" s="17">
        <f t="shared" si="296"/>
        <v>-0.9522522310181627</v>
      </c>
      <c r="Z432" s="31" t="str">
        <f t="shared" si="285"/>
        <v>-6.62184287185301+85.7418294988483i</v>
      </c>
      <c r="AA432" s="17">
        <f t="shared" si="297"/>
        <v>85.99715186463493</v>
      </c>
      <c r="AB432" s="17">
        <f t="shared" si="298"/>
        <v>1.6478733445365659</v>
      </c>
      <c r="AC432" s="66" t="str">
        <f t="shared" si="299"/>
        <v>-0.0130575857347094+0.0217097166555315i</v>
      </c>
      <c r="AD432" s="64">
        <f t="shared" si="300"/>
        <v>-31.925919353854049</v>
      </c>
      <c r="AE432" s="61">
        <f t="shared" si="301"/>
        <v>121.02534104147369</v>
      </c>
      <c r="AF432" s="31" t="str">
        <f t="shared" si="286"/>
        <v>-0.332666666666667</v>
      </c>
      <c r="AG432" s="31" t="str">
        <f t="shared" si="302"/>
        <v>867321.012961475i</v>
      </c>
      <c r="AH432" s="31">
        <f t="shared" si="303"/>
        <v>867321.01296147495</v>
      </c>
      <c r="AI432" s="31">
        <f t="shared" si="304"/>
        <v>1.5707963267948966</v>
      </c>
      <c r="AJ432" s="31" t="str">
        <f t="shared" si="287"/>
        <v>-40133.6271205108+7152.33411179338i</v>
      </c>
      <c r="AK432" s="31">
        <f t="shared" si="305"/>
        <v>40765.965082344395</v>
      </c>
      <c r="AL432" s="31">
        <f t="shared" si="306"/>
        <v>2.9652311708135435</v>
      </c>
      <c r="AM432" s="31" t="str">
        <f t="shared" si="288"/>
        <v>1+26022440.5089263i</v>
      </c>
      <c r="AN432" s="31">
        <f t="shared" si="307"/>
        <v>26022440.508926321</v>
      </c>
      <c r="AO432" s="31">
        <f t="shared" si="308"/>
        <v>1.5707962883665256</v>
      </c>
      <c r="AP432" s="31" t="str">
        <f t="shared" si="289"/>
        <v>1+2810.12008199518i</v>
      </c>
      <c r="AQ432" s="31">
        <f t="shared" si="309"/>
        <v>2810.1202599235135</v>
      </c>
      <c r="AR432" s="31">
        <f t="shared" si="310"/>
        <v>1.5704404701309072</v>
      </c>
      <c r="AS432" s="58" t="str">
        <f t="shared" si="311"/>
        <v>-0.120472104278583+0.677396300493171i</v>
      </c>
      <c r="AT432" s="49">
        <f t="shared" si="312"/>
        <v>-3.2479075905836883</v>
      </c>
      <c r="AU432" s="61">
        <f t="shared" si="313"/>
        <v>100.08437734500659</v>
      </c>
      <c r="AV432" s="58" t="str">
        <f t="shared" si="290"/>
        <v>-0.0131330069169536-0.0114605755188482i</v>
      </c>
      <c r="AW432" s="64">
        <f t="shared" si="314"/>
        <v>-35.173826944437735</v>
      </c>
      <c r="AX432" s="61">
        <f t="shared" si="315"/>
        <v>-138.89028161351987</v>
      </c>
    </row>
    <row r="433" spans="14:50" x14ac:dyDescent="0.3">
      <c r="N433" s="10">
        <v>15</v>
      </c>
      <c r="O433" s="50">
        <f t="shared" si="316"/>
        <v>141253.75446227577</v>
      </c>
      <c r="P433" s="48" t="str">
        <f t="shared" si="281"/>
        <v>51201.9230769231</v>
      </c>
      <c r="Q433" s="17" t="str">
        <f t="shared" si="282"/>
        <v>1+41474.6565486504i</v>
      </c>
      <c r="R433" s="17">
        <f t="shared" si="291"/>
        <v>41474.656560705953</v>
      </c>
      <c r="S433" s="17">
        <f t="shared" si="292"/>
        <v>1.5707722156850521</v>
      </c>
      <c r="T433" s="17" t="str">
        <f t="shared" si="283"/>
        <v>1+2.66257054386397E-06i</v>
      </c>
      <c r="U433" s="17">
        <f t="shared" si="293"/>
        <v>1.0000000000035447</v>
      </c>
      <c r="V433" s="17">
        <f t="shared" si="294"/>
        <v>2.6625705438576781E-6</v>
      </c>
      <c r="W433" s="31" t="str">
        <f t="shared" si="284"/>
        <v>1-1.43778809368654i</v>
      </c>
      <c r="X433" s="17">
        <f t="shared" si="295"/>
        <v>1.7513522210985359</v>
      </c>
      <c r="Y433" s="17">
        <f t="shared" si="296"/>
        <v>-0.96308826956536908</v>
      </c>
      <c r="Z433" s="31" t="str">
        <f t="shared" si="285"/>
        <v>-6.98104925987557+87.7390132715028i</v>
      </c>
      <c r="AA433" s="17">
        <f t="shared" si="297"/>
        <v>88.01630245940666</v>
      </c>
      <c r="AB433" s="17">
        <f t="shared" si="298"/>
        <v>1.6501951360787264</v>
      </c>
      <c r="AC433" s="66" t="str">
        <f t="shared" si="299"/>
        <v>-0.0123830584065942+0.0212153478495118i</v>
      </c>
      <c r="AD433" s="64">
        <f t="shared" si="300"/>
        <v>-32.193722963448003</v>
      </c>
      <c r="AE433" s="61">
        <f t="shared" si="301"/>
        <v>120.27142420390724</v>
      </c>
      <c r="AF433" s="31" t="str">
        <f t="shared" si="286"/>
        <v>-0.332666666666667</v>
      </c>
      <c r="AG433" s="31" t="str">
        <f t="shared" si="302"/>
        <v>887523.514621324i</v>
      </c>
      <c r="AH433" s="31">
        <f t="shared" si="303"/>
        <v>887523.51462132402</v>
      </c>
      <c r="AI433" s="31">
        <f t="shared" si="304"/>
        <v>1.5707963267948966</v>
      </c>
      <c r="AJ433" s="31" t="str">
        <f t="shared" si="287"/>
        <v>-42025.1138232649+7318.93337504878i</v>
      </c>
      <c r="AK433" s="31">
        <f t="shared" si="305"/>
        <v>42657.671966561582</v>
      </c>
      <c r="AL433" s="31">
        <f t="shared" si="306"/>
        <v>2.9691658481668277</v>
      </c>
      <c r="AM433" s="31" t="str">
        <f t="shared" si="288"/>
        <v>1+26628581.0148271i</v>
      </c>
      <c r="AN433" s="31">
        <f t="shared" si="307"/>
        <v>26628581.014827117</v>
      </c>
      <c r="AO433" s="31">
        <f t="shared" si="308"/>
        <v>1.5707962892412621</v>
      </c>
      <c r="AP433" s="31" t="str">
        <f t="shared" si="289"/>
        <v>1+2875.57618737309i</v>
      </c>
      <c r="AQ433" s="31">
        <f t="shared" si="309"/>
        <v>2875.5763612512806</v>
      </c>
      <c r="AR433" s="31">
        <f t="shared" si="310"/>
        <v>1.5704485704168603</v>
      </c>
      <c r="AS433" s="58" t="str">
        <f t="shared" si="311"/>
        <v>-0.115209330020327+0.662892680486245i</v>
      </c>
      <c r="AT433" s="49">
        <f t="shared" si="312"/>
        <v>-3.4418960569279196</v>
      </c>
      <c r="AU433" s="61">
        <f t="shared" si="313"/>
        <v>99.859401101234383</v>
      </c>
      <c r="AV433" s="58" t="str">
        <f t="shared" si="290"/>
        <v>-0.0126368549407847-0.0106528447916554i</v>
      </c>
      <c r="AW433" s="64">
        <f t="shared" si="314"/>
        <v>-35.635619020375913</v>
      </c>
      <c r="AX433" s="61">
        <f t="shared" si="315"/>
        <v>-139.86917469485843</v>
      </c>
    </row>
    <row r="434" spans="14:50" x14ac:dyDescent="0.3">
      <c r="N434" s="10">
        <v>16</v>
      </c>
      <c r="O434" s="50">
        <f t="shared" si="316"/>
        <v>144543.97707459307</v>
      </c>
      <c r="P434" s="48" t="str">
        <f t="shared" si="281"/>
        <v>51201.9230769231</v>
      </c>
      <c r="Q434" s="17" t="str">
        <f t="shared" si="282"/>
        <v>1+42440.725403485i</v>
      </c>
      <c r="R434" s="17">
        <f t="shared" si="291"/>
        <v>42440.725415266133</v>
      </c>
      <c r="S434" s="17">
        <f t="shared" si="292"/>
        <v>1.5707727645209177</v>
      </c>
      <c r="T434" s="17" t="str">
        <f t="shared" si="283"/>
        <v>1+2.72458977898916E-06i</v>
      </c>
      <c r="U434" s="17">
        <f t="shared" si="293"/>
        <v>1.0000000000037117</v>
      </c>
      <c r="V434" s="17">
        <f t="shared" si="294"/>
        <v>2.7245897789824182E-6</v>
      </c>
      <c r="W434" s="31" t="str">
        <f t="shared" si="284"/>
        <v>1-1.47127848065415i</v>
      </c>
      <c r="X434" s="17">
        <f t="shared" si="295"/>
        <v>1.7789492313261734</v>
      </c>
      <c r="Y434" s="17">
        <f t="shared" si="296"/>
        <v>-0.97383784911986149</v>
      </c>
      <c r="Z434" s="31" t="str">
        <f t="shared" si="285"/>
        <v>-7.35718452341621+89.7827174303569i</v>
      </c>
      <c r="AA434" s="17">
        <f t="shared" si="297"/>
        <v>90.083652863829343</v>
      </c>
      <c r="AB434" s="17">
        <f t="shared" si="298"/>
        <v>1.6525579758443598</v>
      </c>
      <c r="AC434" s="66" t="str">
        <f t="shared" si="299"/>
        <v>-0.011738947896502+0.0207315388150331i</v>
      </c>
      <c r="AD434" s="64">
        <f t="shared" si="300"/>
        <v>-32.459579197641304</v>
      </c>
      <c r="AE434" s="61">
        <f t="shared" si="301"/>
        <v>119.52011002512008</v>
      </c>
      <c r="AF434" s="31" t="str">
        <f t="shared" si="286"/>
        <v>-0.332666666666667</v>
      </c>
      <c r="AG434" s="31" t="str">
        <f t="shared" si="302"/>
        <v>908196.592996386i</v>
      </c>
      <c r="AH434" s="31">
        <f t="shared" si="303"/>
        <v>908196.592996386</v>
      </c>
      <c r="AI434" s="31">
        <f t="shared" si="304"/>
        <v>1.5707963267948966</v>
      </c>
      <c r="AJ434" s="31" t="str">
        <f t="shared" si="287"/>
        <v>-44005.7435479772+7489.41323365714i</v>
      </c>
      <c r="AK434" s="31">
        <f t="shared" si="305"/>
        <v>44638.51224889575</v>
      </c>
      <c r="AL434" s="31">
        <f t="shared" si="306"/>
        <v>2.973016166336131</v>
      </c>
      <c r="AM434" s="31" t="str">
        <f t="shared" si="288"/>
        <v>1+27248840.3468529i</v>
      </c>
      <c r="AN434" s="31">
        <f t="shared" si="307"/>
        <v>27248840.346852917</v>
      </c>
      <c r="AO434" s="31">
        <f t="shared" si="308"/>
        <v>1.5707962900960872</v>
      </c>
      <c r="AP434" s="31" t="str">
        <f t="shared" si="289"/>
        <v>1+2942.55696130829i</v>
      </c>
      <c r="AQ434" s="31">
        <f t="shared" si="309"/>
        <v>2942.5571312285301</v>
      </c>
      <c r="AR434" s="31">
        <f t="shared" si="310"/>
        <v>1.5704564863178381</v>
      </c>
      <c r="AS434" s="58" t="str">
        <f t="shared" si="311"/>
        <v>-0.11016979145662+0.648660394838692i</v>
      </c>
      <c r="AT434" s="49">
        <f t="shared" si="312"/>
        <v>-3.6361473084972289</v>
      </c>
      <c r="AU434" s="61">
        <f t="shared" si="313"/>
        <v>99.639247717045663</v>
      </c>
      <c r="AV434" s="58" t="str">
        <f t="shared" si="290"/>
        <v>-0.0121544507116953-0.00989857988536284i</v>
      </c>
      <c r="AW434" s="64">
        <f t="shared" si="314"/>
        <v>-36.095726506138533</v>
      </c>
      <c r="AX434" s="61">
        <f t="shared" si="315"/>
        <v>-140.8406422578343</v>
      </c>
    </row>
    <row r="435" spans="14:50" x14ac:dyDescent="0.3">
      <c r="N435" s="10">
        <v>17</v>
      </c>
      <c r="O435" s="50">
        <f t="shared" si="316"/>
        <v>147910.83881682079</v>
      </c>
      <c r="P435" s="48" t="str">
        <f t="shared" si="281"/>
        <v>51201.9230769231</v>
      </c>
      <c r="Q435" s="17" t="str">
        <f t="shared" si="282"/>
        <v>1+43429.2968926979i</v>
      </c>
      <c r="R435" s="17">
        <f t="shared" si="291"/>
        <v>43429.296904210867</v>
      </c>
      <c r="S435" s="17">
        <f t="shared" si="292"/>
        <v>1.5707733008637541</v>
      </c>
      <c r="T435" s="17" t="str">
        <f t="shared" si="283"/>
        <v>1+2.78805362767937E-06i</v>
      </c>
      <c r="U435" s="17">
        <f t="shared" si="293"/>
        <v>1.0000000000038867</v>
      </c>
      <c r="V435" s="17">
        <f t="shared" si="294"/>
        <v>2.7880536276721461E-6</v>
      </c>
      <c r="W435" s="31" t="str">
        <f t="shared" si="284"/>
        <v>1-1.50554895894686i</v>
      </c>
      <c r="X435" s="17">
        <f t="shared" si="295"/>
        <v>1.8073952715955564</v>
      </c>
      <c r="Y435" s="17">
        <f t="shared" si="296"/>
        <v>-0.98449673207603927</v>
      </c>
      <c r="Z435" s="31" t="str">
        <f t="shared" si="285"/>
        <v>-7.75104649579822+91.8740255744071i</v>
      </c>
      <c r="AA435" s="17">
        <f t="shared" si="297"/>
        <v>92.200408334382303</v>
      </c>
      <c r="AB435" s="17">
        <f t="shared" si="298"/>
        <v>1.6549630420375323</v>
      </c>
      <c r="AC435" s="66" t="str">
        <f t="shared" si="299"/>
        <v>-0.0111238889264699+0.0202580798395155i</v>
      </c>
      <c r="AD435" s="64">
        <f t="shared" si="300"/>
        <v>-32.723524566031116</v>
      </c>
      <c r="AE435" s="61">
        <f t="shared" si="301"/>
        <v>118.77157378111856</v>
      </c>
      <c r="AF435" s="31" t="str">
        <f t="shared" si="286"/>
        <v>-0.332666666666667</v>
      </c>
      <c r="AG435" s="31" t="str">
        <f t="shared" si="302"/>
        <v>929351.209226456i</v>
      </c>
      <c r="AH435" s="31">
        <f t="shared" si="303"/>
        <v>929351.20922645601</v>
      </c>
      <c r="AI435" s="31">
        <f t="shared" si="304"/>
        <v>1.5707963267948966</v>
      </c>
      <c r="AJ435" s="31" t="str">
        <f t="shared" si="287"/>
        <v>-46079.7174758414+7663.86407829608i</v>
      </c>
      <c r="AK435" s="31">
        <f t="shared" si="305"/>
        <v>46712.687519173633</v>
      </c>
      <c r="AL435" s="31">
        <f t="shared" si="306"/>
        <v>2.9767837110435011</v>
      </c>
      <c r="AM435" s="31" t="str">
        <f t="shared" si="288"/>
        <v>1+27883547.3747116i</v>
      </c>
      <c r="AN435" s="31">
        <f t="shared" si="307"/>
        <v>27883547.374711618</v>
      </c>
      <c r="AO435" s="31">
        <f t="shared" si="308"/>
        <v>1.5707962909314541</v>
      </c>
      <c r="AP435" s="31" t="str">
        <f t="shared" si="289"/>
        <v>1+3011.09791789372i</v>
      </c>
      <c r="AQ435" s="31">
        <f t="shared" si="309"/>
        <v>3011.0980839461031</v>
      </c>
      <c r="AR435" s="31">
        <f t="shared" si="310"/>
        <v>1.5704642220309522</v>
      </c>
      <c r="AS435" s="58" t="str">
        <f t="shared" si="311"/>
        <v>-0.105344590969713+0.634696948625152i</v>
      </c>
      <c r="AT435" s="49">
        <f t="shared" si="312"/>
        <v>-3.8306501836016436</v>
      </c>
      <c r="AU435" s="61">
        <f t="shared" si="313"/>
        <v>99.423826577762512</v>
      </c>
      <c r="AV435" s="58" t="str">
        <f t="shared" si="290"/>
        <v>-0.0116858999301937-0.00919437749300111i</v>
      </c>
      <c r="AW435" s="64">
        <f t="shared" si="314"/>
        <v>-36.554174749632764</v>
      </c>
      <c r="AX435" s="61">
        <f t="shared" si="315"/>
        <v>-141.8045996411189</v>
      </c>
    </row>
    <row r="436" spans="14:50" x14ac:dyDescent="0.3">
      <c r="N436" s="10">
        <v>18</v>
      </c>
      <c r="O436" s="50">
        <f t="shared" si="316"/>
        <v>151356.12484362084</v>
      </c>
      <c r="P436" s="48" t="str">
        <f t="shared" si="281"/>
        <v>51201.9230769231</v>
      </c>
      <c r="Q436" s="17" t="str">
        <f t="shared" si="282"/>
        <v>1+44440.8951699781i</v>
      </c>
      <c r="R436" s="17">
        <f t="shared" si="291"/>
        <v>44440.895181229003</v>
      </c>
      <c r="S436" s="17">
        <f t="shared" si="292"/>
        <v>1.5707738249979366</v>
      </c>
      <c r="T436" s="17" t="str">
        <f t="shared" si="283"/>
        <v>1+2.85299573930724E-06i</v>
      </c>
      <c r="U436" s="17">
        <f t="shared" si="293"/>
        <v>1.0000000000040696</v>
      </c>
      <c r="V436" s="17">
        <f t="shared" si="294"/>
        <v>2.8529957392994994E-6</v>
      </c>
      <c r="W436" s="31" t="str">
        <f t="shared" si="284"/>
        <v>1-1.54061769922591i</v>
      </c>
      <c r="X436" s="17">
        <f t="shared" si="295"/>
        <v>1.8367098015658696</v>
      </c>
      <c r="Y436" s="17">
        <f t="shared" si="296"/>
        <v>-0.99506088205603016</v>
      </c>
      <c r="Z436" s="31" t="str">
        <f t="shared" si="285"/>
        <v>-8.16347061107111+94.0140465429137i</v>
      </c>
      <c r="AA436" s="17">
        <f t="shared" si="297"/>
        <v>94.367808069229667</v>
      </c>
      <c r="AB436" s="17">
        <f t="shared" si="298"/>
        <v>1.6574115300299461</v>
      </c>
      <c r="AC436" s="66" t="str">
        <f t="shared" si="299"/>
        <v>-0.0105365777410565+0.0197947636337207i</v>
      </c>
      <c r="AD436" s="64">
        <f t="shared" si="300"/>
        <v>-32.985596991871738</v>
      </c>
      <c r="AE436" s="61">
        <f t="shared" si="301"/>
        <v>118.02597823520023</v>
      </c>
      <c r="AF436" s="31" t="str">
        <f t="shared" si="286"/>
        <v>-0.332666666666667</v>
      </c>
      <c r="AG436" s="31" t="str">
        <f t="shared" si="302"/>
        <v>950998.579769078i</v>
      </c>
      <c r="AH436" s="31">
        <f t="shared" si="303"/>
        <v>950998.57976907794</v>
      </c>
      <c r="AI436" s="31">
        <f t="shared" si="304"/>
        <v>1.5707963267948966</v>
      </c>
      <c r="AJ436" s="31" t="str">
        <f t="shared" si="287"/>
        <v>-48251.4347836216+7842.37840511258i</v>
      </c>
      <c r="AK436" s="31">
        <f t="shared" si="305"/>
        <v>48884.597346475755</v>
      </c>
      <c r="AL436" s="31">
        <f t="shared" si="306"/>
        <v>2.9804700528873744</v>
      </c>
      <c r="AM436" s="31" t="str">
        <f t="shared" si="288"/>
        <v>1+28533038.6284708i</v>
      </c>
      <c r="AN436" s="31">
        <f t="shared" si="307"/>
        <v>28533038.628470819</v>
      </c>
      <c r="AO436" s="31">
        <f t="shared" si="308"/>
        <v>1.5707962917478058</v>
      </c>
      <c r="AP436" s="31" t="str">
        <f t="shared" si="289"/>
        <v>1+3081.23539845181i</v>
      </c>
      <c r="AQ436" s="31">
        <f t="shared" si="309"/>
        <v>3081.2355607243803</v>
      </c>
      <c r="AR436" s="31">
        <f t="shared" si="310"/>
        <v>1.5704717816577765</v>
      </c>
      <c r="AS436" s="58" t="str">
        <f t="shared" si="311"/>
        <v>-0.100725136406082+0.620999683319865i</v>
      </c>
      <c r="AT436" s="49">
        <f t="shared" si="312"/>
        <v>-4.0253939667094425</v>
      </c>
      <c r="AU436" s="61">
        <f t="shared" si="313"/>
        <v>99.213047929751298</v>
      </c>
      <c r="AV436" s="58" t="str">
        <f t="shared" si="290"/>
        <v>-0.0112312437177109-0.00853704170760389i</v>
      </c>
      <c r="AW436" s="64">
        <f t="shared" si="314"/>
        <v>-37.010990958581196</v>
      </c>
      <c r="AX436" s="61">
        <f t="shared" si="315"/>
        <v>-142.76097383504839</v>
      </c>
    </row>
    <row r="437" spans="14:50" x14ac:dyDescent="0.3">
      <c r="N437" s="10">
        <v>19</v>
      </c>
      <c r="O437" s="50">
        <f t="shared" si="316"/>
        <v>154881.66189124843</v>
      </c>
      <c r="P437" s="48" t="str">
        <f t="shared" si="281"/>
        <v>51201.9230769231</v>
      </c>
      <c r="Q437" s="17" t="str">
        <f t="shared" si="282"/>
        <v>1+45476.0565981223i</v>
      </c>
      <c r="R437" s="17">
        <f t="shared" si="291"/>
        <v>45476.056609117091</v>
      </c>
      <c r="S437" s="17">
        <f t="shared" si="292"/>
        <v>1.5707743372013689</v>
      </c>
      <c r="T437" s="17" t="str">
        <f t="shared" si="283"/>
        <v>1+2.91945054703995E-06i</v>
      </c>
      <c r="U437" s="17">
        <f t="shared" si="293"/>
        <v>1.0000000000042615</v>
      </c>
      <c r="V437" s="17">
        <f t="shared" si="294"/>
        <v>2.9194505470316558E-6</v>
      </c>
      <c r="W437" s="31" t="str">
        <f t="shared" si="284"/>
        <v>1-1.57650329540157i</v>
      </c>
      <c r="X437" s="17">
        <f t="shared" si="295"/>
        <v>1.8669125958148147</v>
      </c>
      <c r="Y437" s="17">
        <f t="shared" si="296"/>
        <v>-1.0055264683779326</v>
      </c>
      <c r="Z437" s="31" t="str">
        <f t="shared" si="285"/>
        <v>-8.59533167607802+96.2039150033204i</v>
      </c>
      <c r="AA437" s="17">
        <f t="shared" si="297"/>
        <v>96.587126412311733</v>
      </c>
      <c r="AB437" s="17">
        <f t="shared" si="298"/>
        <v>1.6599046526314294</v>
      </c>
      <c r="AC437" s="66" t="str">
        <f t="shared" si="299"/>
        <v>-0.00997576934929093+0.0193413854302705i</v>
      </c>
      <c r="AD437" s="64">
        <f t="shared" si="300"/>
        <v>-33.245835704538578</v>
      </c>
      <c r="AE437" s="61">
        <f t="shared" si="301"/>
        <v>117.28347336643695</v>
      </c>
      <c r="AF437" s="31" t="str">
        <f t="shared" si="286"/>
        <v>-0.332666666666667</v>
      </c>
      <c r="AG437" s="31" t="str">
        <f t="shared" si="302"/>
        <v>973150.182346649i</v>
      </c>
      <c r="AH437" s="31">
        <f t="shared" si="303"/>
        <v>973150.182346649</v>
      </c>
      <c r="AI437" s="31">
        <f t="shared" si="304"/>
        <v>1.5707963267948966</v>
      </c>
      <c r="AJ437" s="31" t="str">
        <f t="shared" si="287"/>
        <v>-50525.5019748946+8025.05086476563i</v>
      </c>
      <c r="AK437" s="31">
        <f t="shared" si="305"/>
        <v>51158.848610940746</v>
      </c>
      <c r="AL437" s="31">
        <f t="shared" si="306"/>
        <v>2.9840767464280935</v>
      </c>
      <c r="AM437" s="31" t="str">
        <f t="shared" si="288"/>
        <v>1+29197658.4769903i</v>
      </c>
      <c r="AN437" s="31">
        <f t="shared" si="307"/>
        <v>29197658.476990312</v>
      </c>
      <c r="AO437" s="31">
        <f t="shared" si="308"/>
        <v>1.570796292545575</v>
      </c>
      <c r="AP437" s="31" t="str">
        <f t="shared" si="289"/>
        <v>1+3153.00659080314i</v>
      </c>
      <c r="AQ437" s="31">
        <f t="shared" si="309"/>
        <v>3153.0067493819352</v>
      </c>
      <c r="AR437" s="31">
        <f t="shared" si="310"/>
        <v>1.5704791692065214</v>
      </c>
      <c r="AS437" s="58" t="str">
        <f t="shared" si="311"/>
        <v>-0.0963031349282031+0.607565792646956i</v>
      </c>
      <c r="AT437" s="49">
        <f t="shared" si="312"/>
        <v>-4.2203683730168891</v>
      </c>
      <c r="AU437" s="61">
        <f t="shared" si="313"/>
        <v>99.006822932943848</v>
      </c>
      <c r="AV437" s="58" t="str">
        <f t="shared" si="290"/>
        <v>-0.0107904663081752-0.00792357226275487i</v>
      </c>
      <c r="AW437" s="64">
        <f t="shared" si="314"/>
        <v>-37.46620407755546</v>
      </c>
      <c r="AX437" s="61">
        <f t="shared" si="315"/>
        <v>-143.70970370061923</v>
      </c>
    </row>
    <row r="438" spans="14:50" x14ac:dyDescent="0.3">
      <c r="N438" s="10">
        <v>20</v>
      </c>
      <c r="O438" s="50">
        <f t="shared" si="316"/>
        <v>158489.31924611164</v>
      </c>
      <c r="P438" s="48" t="str">
        <f t="shared" si="281"/>
        <v>51201.9230769231</v>
      </c>
      <c r="Q438" s="17" t="str">
        <f t="shared" si="282"/>
        <v>1+46535.3300334214i</v>
      </c>
      <c r="R438" s="17">
        <f t="shared" si="291"/>
        <v>46535.330044165923</v>
      </c>
      <c r="S438" s="17">
        <f t="shared" si="292"/>
        <v>1.5707748377456274</v>
      </c>
      <c r="T438" s="17" t="str">
        <f t="shared" si="283"/>
        <v>1+2.98745328609619E-06i</v>
      </c>
      <c r="U438" s="17">
        <f t="shared" si="293"/>
        <v>1.0000000000044624</v>
      </c>
      <c r="V438" s="17">
        <f t="shared" si="294"/>
        <v>2.9874532860873024E-6</v>
      </c>
      <c r="W438" s="31" t="str">
        <f t="shared" si="284"/>
        <v>1-1.61322477449194i</v>
      </c>
      <c r="X438" s="17">
        <f t="shared" si="295"/>
        <v>1.8980237546022891</v>
      </c>
      <c r="Y438" s="17">
        <f t="shared" si="296"/>
        <v>-1.0158898695498313</v>
      </c>
      <c r="Z438" s="31" t="str">
        <f t="shared" si="285"/>
        <v>-9.0475457260384+98.444792052871i</v>
      </c>
      <c r="AA438" s="17">
        <f t="shared" si="297"/>
        <v>98.859674114361539</v>
      </c>
      <c r="AB438" s="17">
        <f t="shared" si="298"/>
        <v>1.6624436403451381</v>
      </c>
      <c r="AC438" s="66" t="str">
        <f t="shared" si="299"/>
        <v>-0.00944027489048945+0.0188977430698746i</v>
      </c>
      <c r="AD438" s="64">
        <f t="shared" si="300"/>
        <v>-33.504281131894444</v>
      </c>
      <c r="AE438" s="61">
        <f t="shared" si="301"/>
        <v>116.54419615485156</v>
      </c>
      <c r="AF438" s="31" t="str">
        <f t="shared" si="286"/>
        <v>-0.332666666666667</v>
      </c>
      <c r="AG438" s="31" t="str">
        <f t="shared" si="302"/>
        <v>995817.762032063i</v>
      </c>
      <c r="AH438" s="31">
        <f t="shared" si="303"/>
        <v>995817.76203206298</v>
      </c>
      <c r="AI438" s="31">
        <f t="shared" si="304"/>
        <v>1.5707963267948966</v>
      </c>
      <c r="AJ438" s="31" t="str">
        <f t="shared" si="287"/>
        <v>-52906.7426510622+8211.97831261128i</v>
      </c>
      <c r="AK438" s="31">
        <f t="shared" si="305"/>
        <v>53540.265275328275</v>
      </c>
      <c r="AL438" s="31">
        <f t="shared" si="306"/>
        <v>2.9876053293638529</v>
      </c>
      <c r="AM438" s="31" t="str">
        <f t="shared" si="288"/>
        <v>1+29877759.3105109i</v>
      </c>
      <c r="AN438" s="31">
        <f t="shared" si="307"/>
        <v>29877759.310510915</v>
      </c>
      <c r="AO438" s="31">
        <f t="shared" si="308"/>
        <v>1.5707962933251847</v>
      </c>
      <c r="AP438" s="31" t="str">
        <f t="shared" si="289"/>
        <v>1+3226.44954898388i</v>
      </c>
      <c r="AQ438" s="31">
        <f t="shared" si="309"/>
        <v>3226.4497039529815</v>
      </c>
      <c r="AR438" s="31">
        <f t="shared" si="310"/>
        <v>1.57048638859416</v>
      </c>
      <c r="AS438" s="58" t="str">
        <f t="shared" si="311"/>
        <v>-0.0920705865662894+0.594392337517377i</v>
      </c>
      <c r="AT438" s="49">
        <f t="shared" si="312"/>
        <v>-4.415563533339995</v>
      </c>
      <c r="AU438" s="61">
        <f t="shared" si="313"/>
        <v>98.805063708173662</v>
      </c>
      <c r="AV438" s="58" t="str">
        <f t="shared" si="290"/>
        <v>-0.0103635020305912-0.00735115334818701i</v>
      </c>
      <c r="AW438" s="64">
        <f t="shared" si="314"/>
        <v>-37.919844665234436</v>
      </c>
      <c r="AX438" s="61">
        <f t="shared" si="315"/>
        <v>-144.65074013697478</v>
      </c>
    </row>
    <row r="439" spans="14:50" x14ac:dyDescent="0.3">
      <c r="N439" s="10">
        <v>21</v>
      </c>
      <c r="O439" s="50">
        <f t="shared" si="316"/>
        <v>162181.00973589328</v>
      </c>
      <c r="P439" s="48" t="str">
        <f t="shared" si="281"/>
        <v>51201.9230769231</v>
      </c>
      <c r="Q439" s="17" t="str">
        <f t="shared" si="282"/>
        <v>1+47619.2771166721i</v>
      </c>
      <c r="R439" s="17">
        <f t="shared" si="291"/>
        <v>47619.277127172048</v>
      </c>
      <c r="S439" s="17">
        <f t="shared" si="292"/>
        <v>1.5707753268961078</v>
      </c>
      <c r="T439" s="17" t="str">
        <f t="shared" si="283"/>
        <v>1+3.05704001242833E-06i</v>
      </c>
      <c r="U439" s="17">
        <f t="shared" si="293"/>
        <v>1.0000000000046727</v>
      </c>
      <c r="V439" s="17">
        <f t="shared" si="294"/>
        <v>3.057040012418807E-6</v>
      </c>
      <c r="W439" s="31" t="str">
        <f t="shared" si="284"/>
        <v>1-1.6508016067113i</v>
      </c>
      <c r="X439" s="17">
        <f t="shared" si="295"/>
        <v>1.930063715197146</v>
      </c>
      <c r="Y439" s="17">
        <f t="shared" si="296"/>
        <v>-1.0261476758105497</v>
      </c>
      <c r="Z439" s="31" t="str">
        <f t="shared" si="285"/>
        <v>-9.5210719675815+100.737865834239i</v>
      </c>
      <c r="AA439" s="17">
        <f t="shared" si="297"/>
        <v>101.18679965414957</v>
      </c>
      <c r="AB439" s="17">
        <f t="shared" si="298"/>
        <v>1.6650297416060034</v>
      </c>
      <c r="AC439" s="66" t="str">
        <f t="shared" si="299"/>
        <v>-0.00892895911841192+0.0184636370762348i</v>
      </c>
      <c r="AD439" s="64">
        <f t="shared" si="300"/>
        <v>-33.760974793255166</v>
      </c>
      <c r="AE439" s="61">
        <f t="shared" si="301"/>
        <v>115.80827042217614</v>
      </c>
      <c r="AF439" s="31" t="str">
        <f t="shared" si="286"/>
        <v>-0.332666666666667</v>
      </c>
      <c r="AG439" s="31" t="str">
        <f t="shared" si="302"/>
        <v>1019013.33747611i</v>
      </c>
      <c r="AH439" s="31">
        <f t="shared" si="303"/>
        <v>1019013.33747611</v>
      </c>
      <c r="AI439" s="31">
        <f t="shared" si="304"/>
        <v>1.5707963267948966</v>
      </c>
      <c r="AJ439" s="31" t="str">
        <f t="shared" si="287"/>
        <v>-55400.207742857+8403.25986005665i</v>
      </c>
      <c r="AK439" s="31">
        <f t="shared" si="305"/>
        <v>56033.898617063511</v>
      </c>
      <c r="AL439" s="31">
        <f t="shared" si="306"/>
        <v>2.9910573217917924</v>
      </c>
      <c r="AM439" s="31" t="str">
        <f t="shared" si="288"/>
        <v>1+30573701.7274968i</v>
      </c>
      <c r="AN439" s="31">
        <f t="shared" si="307"/>
        <v>30573701.727496814</v>
      </c>
      <c r="AO439" s="31">
        <f t="shared" si="308"/>
        <v>1.5707962940870484</v>
      </c>
      <c r="AP439" s="31" t="str">
        <f t="shared" si="289"/>
        <v>1+3301.6032134226i</v>
      </c>
      <c r="AQ439" s="31">
        <f t="shared" si="309"/>
        <v>3301.6033648641742</v>
      </c>
      <c r="AR439" s="31">
        <f t="shared" si="310"/>
        <v>1.5704934436485043</v>
      </c>
      <c r="AS439" s="58" t="str">
        <f t="shared" si="311"/>
        <v>-0.0880197775233524+0.58147626008567i</v>
      </c>
      <c r="AT439" s="49">
        <f t="shared" si="312"/>
        <v>-4.6109699793415455</v>
      </c>
      <c r="AU439" s="61">
        <f t="shared" si="313"/>
        <v>98.607683379631354</v>
      </c>
      <c r="AV439" s="58" t="str">
        <f t="shared" si="290"/>
        <v>-0.0099502416395504-0.00681714298235411i</v>
      </c>
      <c r="AW439" s="64">
        <f t="shared" si="314"/>
        <v>-38.371944772596713</v>
      </c>
      <c r="AX439" s="61">
        <f t="shared" si="315"/>
        <v>-145.58404619819251</v>
      </c>
    </row>
    <row r="440" spans="14:50" x14ac:dyDescent="0.3">
      <c r="N440" s="10">
        <v>22</v>
      </c>
      <c r="O440" s="50">
        <f t="shared" si="316"/>
        <v>165958.69074375604</v>
      </c>
      <c r="P440" s="48" t="str">
        <f t="shared" si="281"/>
        <v>51201.9230769231</v>
      </c>
      <c r="Q440" s="17" t="str">
        <f t="shared" si="282"/>
        <v>1+48728.4725709659i</v>
      </c>
      <c r="R440" s="17">
        <f t="shared" si="291"/>
        <v>48728.472581226844</v>
      </c>
      <c r="S440" s="17">
        <f t="shared" si="292"/>
        <v>1.5707758049121636</v>
      </c>
      <c r="T440" s="17" t="str">
        <f t="shared" si="283"/>
        <v>1+3.12824762183979E-06i</v>
      </c>
      <c r="U440" s="17">
        <f t="shared" si="293"/>
        <v>1.000000000004893</v>
      </c>
      <c r="V440" s="17">
        <f t="shared" si="294"/>
        <v>3.128247621829586E-6</v>
      </c>
      <c r="W440" s="31" t="str">
        <f t="shared" si="284"/>
        <v>1-1.68925371579349i</v>
      </c>
      <c r="X440" s="17">
        <f t="shared" si="295"/>
        <v>1.9630532637506584</v>
      </c>
      <c r="Y440" s="17">
        <f t="shared" si="296"/>
        <v>-1.0362966907449269</v>
      </c>
      <c r="Z440" s="31" t="str">
        <f t="shared" si="285"/>
        <v>-10.0169148133527+103.084352165495i</v>
      </c>
      <c r="AA440" s="17">
        <f t="shared" si="297"/>
        <v>103.56989062347105</v>
      </c>
      <c r="AB440" s="17">
        <f t="shared" si="298"/>
        <v>1.6676642230008647</v>
      </c>
      <c r="AC440" s="66" t="str">
        <f t="shared" si="299"/>
        <v>-0.00844073799847021+0.0180388707205338i</v>
      </c>
      <c r="AD440" s="64">
        <f t="shared" si="300"/>
        <v>-34.015959193611764</v>
      </c>
      <c r="AE440" s="61">
        <f t="shared" si="301"/>
        <v>115.07580672668277</v>
      </c>
      <c r="AF440" s="31" t="str">
        <f t="shared" si="286"/>
        <v>-0.332666666666667</v>
      </c>
      <c r="AG440" s="31" t="str">
        <f t="shared" si="302"/>
        <v>1042749.20727993i</v>
      </c>
      <c r="AH440" s="31">
        <f t="shared" si="303"/>
        <v>1042749.20727993</v>
      </c>
      <c r="AI440" s="31">
        <f t="shared" si="304"/>
        <v>1.5707963267948966</v>
      </c>
      <c r="AJ440" s="31" t="str">
        <f t="shared" si="287"/>
        <v>-58011.1862240444+8598.9969271101i</v>
      </c>
      <c r="AK440" s="31">
        <f t="shared" si="305"/>
        <v>58645.037942465409</v>
      </c>
      <c r="AL440" s="31">
        <f t="shared" si="306"/>
        <v>2.9944342255491732</v>
      </c>
      <c r="AM440" s="31" t="str">
        <f t="shared" si="288"/>
        <v>1+31285854.7258295i</v>
      </c>
      <c r="AN440" s="31">
        <f t="shared" si="307"/>
        <v>31285854.725829516</v>
      </c>
      <c r="AO440" s="31">
        <f t="shared" si="308"/>
        <v>1.5707962948315697</v>
      </c>
      <c r="AP440" s="31" t="str">
        <f t="shared" si="289"/>
        <v>1+3378.50743158697i</v>
      </c>
      <c r="AQ440" s="31">
        <f t="shared" si="309"/>
        <v>3378.5075795813136</v>
      </c>
      <c r="AR440" s="31">
        <f t="shared" si="310"/>
        <v>1.5705003381102345</v>
      </c>
      <c r="AS440" s="58" t="str">
        <f t="shared" si="311"/>
        <v>-0.0841432732822469+0.56881439696024i</v>
      </c>
      <c r="AT440" s="49">
        <f t="shared" si="312"/>
        <v>-4.8065786291054549</v>
      </c>
      <c r="AU440" s="61">
        <f t="shared" si="313"/>
        <v>98.414596112728645</v>
      </c>
      <c r="AV440" s="58" t="str">
        <f t="shared" si="290"/>
        <v>-0.00955053804663504-0.00631906292324021i</v>
      </c>
      <c r="AW440" s="64">
        <f t="shared" si="314"/>
        <v>-38.822537822717223</v>
      </c>
      <c r="AX440" s="61">
        <f t="shared" si="315"/>
        <v>-146.50959716058861</v>
      </c>
    </row>
    <row r="441" spans="14:50" x14ac:dyDescent="0.3">
      <c r="N441" s="10">
        <v>23</v>
      </c>
      <c r="O441" s="50">
        <f t="shared" si="316"/>
        <v>169824.36524617471</v>
      </c>
      <c r="P441" s="48" t="str">
        <f t="shared" si="281"/>
        <v>51201.9230769231</v>
      </c>
      <c r="Q441" s="17" t="str">
        <f t="shared" si="282"/>
        <v>1+49863.5045064143i</v>
      </c>
      <c r="R441" s="17">
        <f t="shared" si="291"/>
        <v>49863.504516441673</v>
      </c>
      <c r="S441" s="17">
        <f t="shared" si="292"/>
        <v>1.5707762720472458</v>
      </c>
      <c r="T441" s="17" t="str">
        <f t="shared" si="283"/>
        <v>1+3.20111386954758E-06i</v>
      </c>
      <c r="U441" s="17">
        <f t="shared" si="293"/>
        <v>1.0000000000051235</v>
      </c>
      <c r="V441" s="17">
        <f t="shared" si="294"/>
        <v>3.2011138695366461E-6</v>
      </c>
      <c r="W441" s="31" t="str">
        <f t="shared" si="284"/>
        <v>1-1.72860148955569i</v>
      </c>
      <c r="X441" s="17">
        <f t="shared" si="295"/>
        <v>1.9970135476992013</v>
      </c>
      <c r="Y441" s="17">
        <f t="shared" si="296"/>
        <v>-1.0463339320073506</v>
      </c>
      <c r="Z441" s="31" t="str">
        <f t="shared" si="285"/>
        <v>-10.5361260125064+105.485495184753i</v>
      </c>
      <c r="AA441" s="17">
        <f t="shared" si="297"/>
        <v>106.01037517962081</v>
      </c>
      <c r="AB441" s="17">
        <f t="shared" si="298"/>
        <v>1.6703483694685861</v>
      </c>
      <c r="AC441" s="66" t="str">
        <f t="shared" si="299"/>
        <v>-0.00797457641293806+0.017623250076346i</v>
      </c>
      <c r="AD441" s="64">
        <f t="shared" si="300"/>
        <v>-34.26927771972651</v>
      </c>
      <c r="AE441" s="61">
        <f t="shared" si="301"/>
        <v>114.34690231025581</v>
      </c>
      <c r="AF441" s="31" t="str">
        <f t="shared" si="286"/>
        <v>-0.332666666666667</v>
      </c>
      <c r="AG441" s="31" t="str">
        <f t="shared" si="302"/>
        <v>1067037.95651586i</v>
      </c>
      <c r="AH441" s="31">
        <f t="shared" si="303"/>
        <v>1067037.95651586</v>
      </c>
      <c r="AI441" s="31">
        <f t="shared" si="304"/>
        <v>1.5707963267948966</v>
      </c>
      <c r="AJ441" s="31" t="str">
        <f t="shared" si="287"/>
        <v>-60745.2163300415+8799.29329615551i</v>
      </c>
      <c r="AK441" s="31">
        <f t="shared" si="305"/>
        <v>61379.221805879126</v>
      </c>
      <c r="AL441" s="31">
        <f t="shared" si="306"/>
        <v>2.9977375236297443</v>
      </c>
      <c r="AM441" s="31" t="str">
        <f t="shared" si="288"/>
        <v>1+32014595.898455i</v>
      </c>
      <c r="AN441" s="31">
        <f t="shared" si="307"/>
        <v>32014595.898455016</v>
      </c>
      <c r="AO441" s="31">
        <f t="shared" si="308"/>
        <v>1.5707962955591439</v>
      </c>
      <c r="AP441" s="31" t="str">
        <f t="shared" si="289"/>
        <v>1+3457.20297911139i</v>
      </c>
      <c r="AQ441" s="31">
        <f t="shared" si="309"/>
        <v>3457.2031237369711</v>
      </c>
      <c r="AR441" s="31">
        <f t="shared" si="310"/>
        <v>1.5705070756348827</v>
      </c>
      <c r="AS441" s="58" t="str">
        <f t="shared" si="311"/>
        <v>-0.0804339115590385+0.556403491601343i</v>
      </c>
      <c r="AT441" s="49">
        <f t="shared" si="312"/>
        <v>-5.0023807730656511</v>
      </c>
      <c r="AU441" s="61">
        <f t="shared" si="313"/>
        <v>98.22571714765192</v>
      </c>
      <c r="AV441" s="58" t="str">
        <f t="shared" si="290"/>
        <v>-0.00916421150192349-0.00585458909822408i</v>
      </c>
      <c r="AW441" s="64">
        <f t="shared" si="314"/>
        <v>-39.271658492792163</v>
      </c>
      <c r="AX441" s="61">
        <f t="shared" si="315"/>
        <v>-147.42738054209227</v>
      </c>
    </row>
    <row r="442" spans="14:50" x14ac:dyDescent="0.3">
      <c r="N442" s="10">
        <v>24</v>
      </c>
      <c r="O442" s="50">
        <f t="shared" si="316"/>
        <v>173780.0828749378</v>
      </c>
      <c r="P442" s="48" t="str">
        <f t="shared" si="281"/>
        <v>51201.9230769231</v>
      </c>
      <c r="Q442" s="17" t="str">
        <f t="shared" si="282"/>
        <v>1+51024.9747319737i</v>
      </c>
      <c r="R442" s="17">
        <f t="shared" si="291"/>
        <v>51024.974741772814</v>
      </c>
      <c r="S442" s="17">
        <f t="shared" si="292"/>
        <v>1.5707767285490351</v>
      </c>
      <c r="T442" s="17" t="str">
        <f t="shared" si="283"/>
        <v>1+3.27567739020078E-06i</v>
      </c>
      <c r="U442" s="17">
        <f t="shared" si="293"/>
        <v>1.000000000005365</v>
      </c>
      <c r="V442" s="17">
        <f t="shared" si="294"/>
        <v>3.2756773901890639E-6</v>
      </c>
      <c r="W442" s="31" t="str">
        <f t="shared" si="284"/>
        <v>1-1.76886579070842i</v>
      </c>
      <c r="X442" s="17">
        <f t="shared" si="295"/>
        <v>2.031966088678284</v>
      </c>
      <c r="Y442" s="17">
        <f t="shared" si="296"/>
        <v>-1.0562566311926342</v>
      </c>
      <c r="Z442" s="31" t="str">
        <f t="shared" si="285"/>
        <v>-11.0798068816081+107.942568009823i</v>
      </c>
      <c r="AA442" s="17">
        <f t="shared" si="297"/>
        <v>108.50972356931427</v>
      </c>
      <c r="AB442" s="17">
        <f t="shared" si="298"/>
        <v>1.6730834844784075</v>
      </c>
      <c r="AC442" s="66" t="str">
        <f t="shared" si="299"/>
        <v>-0.00752948596933425+0.0172165840657596i</v>
      </c>
      <c r="AD442" s="64">
        <f t="shared" si="300"/>
        <v>-34.520974538670387</v>
      </c>
      <c r="AE442" s="61">
        <f t="shared" si="301"/>
        <v>113.62164109556454</v>
      </c>
      <c r="AF442" s="31" t="str">
        <f t="shared" si="286"/>
        <v>-0.332666666666667</v>
      </c>
      <c r="AG442" s="31" t="str">
        <f t="shared" si="302"/>
        <v>1091892.46340026i</v>
      </c>
      <c r="AH442" s="31">
        <f t="shared" si="303"/>
        <v>1091892.4634002601</v>
      </c>
      <c r="AI442" s="31">
        <f t="shared" si="304"/>
        <v>1.5707963267948966</v>
      </c>
      <c r="AJ442" s="31" t="str">
        <f t="shared" si="287"/>
        <v>-63608.097305263+9004.25516697896i</v>
      </c>
      <c r="AK442" s="31">
        <f t="shared" si="305"/>
        <v>64242.249757522288</v>
      </c>
      <c r="AL442" s="31">
        <f t="shared" si="306"/>
        <v>3.0009686796706783</v>
      </c>
      <c r="AM442" s="31" t="str">
        <f t="shared" si="288"/>
        <v>1+32760311.6335893i</v>
      </c>
      <c r="AN442" s="31">
        <f t="shared" si="307"/>
        <v>32760311.633589316</v>
      </c>
      <c r="AO442" s="31">
        <f t="shared" si="308"/>
        <v>1.5707962962701565</v>
      </c>
      <c r="AP442" s="31" t="str">
        <f t="shared" si="289"/>
        <v>1+3537.73158141684i</v>
      </c>
      <c r="AQ442" s="31">
        <f t="shared" si="309"/>
        <v>3537.7317227503409</v>
      </c>
      <c r="AR442" s="31">
        <f t="shared" si="310"/>
        <v>1.5705136597947718</v>
      </c>
      <c r="AS442" s="58" t="str">
        <f t="shared" si="311"/>
        <v>-0.0768847951428213+0.544240205940761i</v>
      </c>
      <c r="AT442" s="49">
        <f t="shared" si="312"/>
        <v>-5.1983680602995026</v>
      </c>
      <c r="AU442" s="61">
        <f t="shared" si="313"/>
        <v>98.040962828869482</v>
      </c>
      <c r="AV442" s="58" t="str">
        <f t="shared" si="290"/>
        <v>-0.00879105427126242-0.00542154253353363i</v>
      </c>
      <c r="AW442" s="64">
        <f t="shared" si="314"/>
        <v>-39.719342598969888</v>
      </c>
      <c r="AX442" s="61">
        <f t="shared" si="315"/>
        <v>-148.33739607556598</v>
      </c>
    </row>
    <row r="443" spans="14:50" x14ac:dyDescent="0.3">
      <c r="N443" s="10">
        <v>25</v>
      </c>
      <c r="O443" s="50">
        <f t="shared" si="316"/>
        <v>177827.94100389251</v>
      </c>
      <c r="P443" s="48" t="str">
        <f t="shared" si="281"/>
        <v>51201.9230769231</v>
      </c>
      <c r="Q443" s="17" t="str">
        <f t="shared" si="282"/>
        <v>1+52213.4990745314i</v>
      </c>
      <c r="R443" s="17">
        <f t="shared" si="291"/>
        <v>52213.499084107469</v>
      </c>
      <c r="S443" s="17">
        <f t="shared" si="292"/>
        <v>1.5707771746595753</v>
      </c>
      <c r="T443" s="17" t="str">
        <f t="shared" si="283"/>
        <v>1+3.35197771836498E-06i</v>
      </c>
      <c r="U443" s="17">
        <f t="shared" si="293"/>
        <v>1.0000000000056177</v>
      </c>
      <c r="V443" s="17">
        <f t="shared" si="294"/>
        <v>3.351977718352426E-6</v>
      </c>
      <c r="W443" s="31" t="str">
        <f t="shared" si="284"/>
        <v>1-1.81006796791709i</v>
      </c>
      <c r="X443" s="17">
        <f t="shared" si="295"/>
        <v>2.0679327959291864</v>
      </c>
      <c r="Y443" s="17">
        <f t="shared" si="296"/>
        <v>-1.0660622328977063</v>
      </c>
      <c r="Z443" s="31" t="str">
        <f t="shared" si="285"/>
        <v>-11.6491106406737+110.456873413241i</v>
      </c>
      <c r="AA443" s="17">
        <f t="shared" si="297"/>
        <v>111.06944972830019</v>
      </c>
      <c r="AB443" s="17">
        <f t="shared" si="298"/>
        <v>1.6758708901845618</v>
      </c>
      <c r="AC443" s="66" t="str">
        <f t="shared" si="299"/>
        <v>-0.00710452290736598+0.0168186844974325i</v>
      </c>
      <c r="AD443" s="64">
        <f t="shared" si="300"/>
        <v>-34.771094499324889</v>
      </c>
      <c r="AE443" s="61">
        <f t="shared" si="301"/>
        <v>112.90009373096004</v>
      </c>
      <c r="AF443" s="31" t="str">
        <f t="shared" si="286"/>
        <v>-0.332666666666667</v>
      </c>
      <c r="AG443" s="31" t="str">
        <f t="shared" si="302"/>
        <v>1117325.90612166i</v>
      </c>
      <c r="AH443" s="31">
        <f t="shared" si="303"/>
        <v>1117325.90612166</v>
      </c>
      <c r="AI443" s="31">
        <f t="shared" si="304"/>
        <v>1.5707963267948966</v>
      </c>
      <c r="AJ443" s="31" t="str">
        <f t="shared" si="287"/>
        <v>-66605.9017040889+9213.99121307734i</v>
      </c>
      <c r="AK443" s="31">
        <f t="shared" si="305"/>
        <v>67240.194644940013</v>
      </c>
      <c r="AL443" s="31">
        <f t="shared" si="306"/>
        <v>3.0041291375055286</v>
      </c>
      <c r="AM443" s="31" t="str">
        <f t="shared" si="288"/>
        <v>1+33523397.3195857i</v>
      </c>
      <c r="AN443" s="31">
        <f t="shared" si="307"/>
        <v>33523397.319585714</v>
      </c>
      <c r="AO443" s="31">
        <f t="shared" si="308"/>
        <v>1.5707962969649845</v>
      </c>
      <c r="AP443" s="31" t="str">
        <f t="shared" si="289"/>
        <v>1+3620.13593583418i</v>
      </c>
      <c r="AQ443" s="31">
        <f t="shared" si="309"/>
        <v>3620.136073950538</v>
      </c>
      <c r="AR443" s="31">
        <f t="shared" si="310"/>
        <v>1.5705200940809074</v>
      </c>
      <c r="AS443" s="58" t="str">
        <f t="shared" si="311"/>
        <v>-0.0734892846584125+0.532321131257502i</v>
      </c>
      <c r="AT443" s="49">
        <f t="shared" si="312"/>
        <v>-5.3945324851864243</v>
      </c>
      <c r="AU443" s="61">
        <f t="shared" si="313"/>
        <v>97.860250630853997</v>
      </c>
      <c r="AV443" s="58" t="str">
        <f t="shared" si="290"/>
        <v>-0.00843083485163465-0.00501788076370574i</v>
      </c>
      <c r="AW443" s="64">
        <f t="shared" si="314"/>
        <v>-40.16562698451132</v>
      </c>
      <c r="AX443" s="61">
        <f t="shared" si="315"/>
        <v>-149.23965563818598</v>
      </c>
    </row>
    <row r="444" spans="14:50" x14ac:dyDescent="0.3">
      <c r="N444" s="10">
        <v>26</v>
      </c>
      <c r="O444" s="50">
        <f t="shared" si="316"/>
        <v>181970.08586099857</v>
      </c>
      <c r="P444" s="48" t="str">
        <f t="shared" si="281"/>
        <v>51201.9230769231</v>
      </c>
      <c r="Q444" s="17" t="str">
        <f t="shared" si="282"/>
        <v>1+53429.7077054253i</v>
      </c>
      <c r="R444" s="17">
        <f t="shared" si="291"/>
        <v>53429.707714783392</v>
      </c>
      <c r="S444" s="17">
        <f t="shared" si="292"/>
        <v>1.5707776106153997</v>
      </c>
      <c r="T444" s="17" t="str">
        <f t="shared" si="283"/>
        <v>1+3.43005530948409E-06i</v>
      </c>
      <c r="U444" s="17">
        <f t="shared" si="293"/>
        <v>1.0000000000058826</v>
      </c>
      <c r="V444" s="17">
        <f t="shared" si="294"/>
        <v>3.4300553094706382E-6</v>
      </c>
      <c r="W444" s="31" t="str">
        <f t="shared" si="284"/>
        <v>1-1.85222986712141i</v>
      </c>
      <c r="X444" s="17">
        <f t="shared" si="295"/>
        <v>2.1049359801800613</v>
      </c>
      <c r="Y444" s="17">
        <f t="shared" si="296"/>
        <v>-1.0757483930215488</v>
      </c>
      <c r="Z444" s="31" t="str">
        <f t="shared" si="285"/>
        <v>-12.2452448593036+113.029744513011i</v>
      </c>
      <c r="AA444" s="17">
        <f t="shared" si="297"/>
        <v>113.69111296113184</v>
      </c>
      <c r="AB444" s="17">
        <f t="shared" si="298"/>
        <v>1.678711927555161</v>
      </c>
      <c r="AC444" s="66" t="str">
        <f t="shared" si="299"/>
        <v>-0.00669878610002308+0.0164293660972711i</v>
      </c>
      <c r="AD444" s="64">
        <f t="shared" si="300"/>
        <v>-35.019683037312795</v>
      </c>
      <c r="AE444" s="61">
        <f t="shared" si="301"/>
        <v>112.18231768048933</v>
      </c>
      <c r="AF444" s="31" t="str">
        <f t="shared" si="286"/>
        <v>-0.332666666666667</v>
      </c>
      <c r="AG444" s="31" t="str">
        <f t="shared" si="302"/>
        <v>1143351.76982803i</v>
      </c>
      <c r="AH444" s="31">
        <f t="shared" si="303"/>
        <v>1143351.7698280299</v>
      </c>
      <c r="AI444" s="31">
        <f t="shared" si="304"/>
        <v>1.5707963267948966</v>
      </c>
      <c r="AJ444" s="31" t="str">
        <f t="shared" si="287"/>
        <v>-69744.9882715705+9428.61263927849i</v>
      </c>
      <c r="AK444" s="31">
        <f t="shared" si="305"/>
        <v>70379.415494184592</v>
      </c>
      <c r="AL444" s="31">
        <f t="shared" si="306"/>
        <v>3.0072203207790107</v>
      </c>
      <c r="AM444" s="31" t="str">
        <f t="shared" si="288"/>
        <v>1+34304257.5545752i</v>
      </c>
      <c r="AN444" s="31">
        <f t="shared" si="307"/>
        <v>34304257.554575212</v>
      </c>
      <c r="AO444" s="31">
        <f t="shared" si="308"/>
        <v>1.570796297643996</v>
      </c>
      <c r="AP444" s="31" t="str">
        <f t="shared" si="289"/>
        <v>1+3704.45973424282i</v>
      </c>
      <c r="AQ444" s="31">
        <f t="shared" si="309"/>
        <v>3704.4598692152658</v>
      </c>
      <c r="AR444" s="31">
        <f t="shared" si="310"/>
        <v>1.5705263819048318</v>
      </c>
      <c r="AS444" s="58" t="str">
        <f t="shared" si="311"/>
        <v>-0.0702409912845766+0.520642798343015i</v>
      </c>
      <c r="AT444" s="49">
        <f t="shared" si="312"/>
        <v>-5.5908663744390266</v>
      </c>
      <c r="AU444" s="61">
        <f t="shared" si="313"/>
        <v>97.683499180259702</v>
      </c>
      <c r="AV444" s="58" t="str">
        <f t="shared" si="290"/>
        <v>-0.00808330176381612-0.00464168970146685i</v>
      </c>
      <c r="AW444" s="64">
        <f t="shared" si="314"/>
        <v>-40.610549411751819</v>
      </c>
      <c r="AX444" s="61">
        <f t="shared" si="315"/>
        <v>-150.13418313925095</v>
      </c>
    </row>
    <row r="445" spans="14:50" x14ac:dyDescent="0.3">
      <c r="N445" s="10">
        <v>27</v>
      </c>
      <c r="O445" s="50">
        <f t="shared" si="316"/>
        <v>186208.71366628664</v>
      </c>
      <c r="P445" s="48" t="str">
        <f t="shared" si="281"/>
        <v>51201.9230769231</v>
      </c>
      <c r="Q445" s="17" t="str">
        <f t="shared" si="282"/>
        <v>1+54674.2454745707i</v>
      </c>
      <c r="R445" s="17">
        <f t="shared" si="291"/>
        <v>54674.245483715778</v>
      </c>
      <c r="S445" s="17">
        <f t="shared" si="292"/>
        <v>1.570778036647658</v>
      </c>
      <c r="T445" s="17" t="str">
        <f t="shared" si="283"/>
        <v>1+3.50995156133046E-06i</v>
      </c>
      <c r="U445" s="17">
        <f t="shared" si="293"/>
        <v>1.00000000000616</v>
      </c>
      <c r="V445" s="17">
        <f t="shared" si="294"/>
        <v>3.509951561316046E-6</v>
      </c>
      <c r="W445" s="31" t="str">
        <f t="shared" si="284"/>
        <v>1-1.89537384311845i</v>
      </c>
      <c r="X445" s="17">
        <f t="shared" si="295"/>
        <v>2.1429983679829538</v>
      </c>
      <c r="Y445" s="17">
        <f t="shared" si="296"/>
        <v>-1.085312976353684</v>
      </c>
      <c r="Z445" s="31" t="str">
        <f t="shared" si="285"/>
        <v>-12.8694740181012+115.662545479448i</v>
      </c>
      <c r="AA445" s="17">
        <f t="shared" si="297"/>
        <v>116.37631970589187</v>
      </c>
      <c r="AB445" s="17">
        <f t="shared" si="298"/>
        <v>1.6816079564731645</v>
      </c>
      <c r="AC445" s="66" t="str">
        <f t="shared" si="299"/>
        <v>-0.00631141514460892+0.0160484465323568i</v>
      </c>
      <c r="AD445" s="64">
        <f t="shared" si="300"/>
        <v>-35.26678608377712</v>
      </c>
      <c r="AE445" s="61">
        <f t="shared" si="301"/>
        <v>111.46835735627502</v>
      </c>
      <c r="AF445" s="31" t="str">
        <f t="shared" si="286"/>
        <v>-0.332666666666667</v>
      </c>
      <c r="AG445" s="31" t="str">
        <f t="shared" si="302"/>
        <v>1169983.85377682i</v>
      </c>
      <c r="AH445" s="31">
        <f t="shared" si="303"/>
        <v>1169983.85377682</v>
      </c>
      <c r="AI445" s="31">
        <f t="shared" si="304"/>
        <v>1.5707963267948966</v>
      </c>
      <c r="AJ445" s="31" t="str">
        <f t="shared" si="287"/>
        <v>-73032.0154311846+9648.23324070341i</v>
      </c>
      <c r="AK445" s="31">
        <f t="shared" si="305"/>
        <v>73666.570998030031</v>
      </c>
      <c r="AL445" s="31">
        <f t="shared" si="306"/>
        <v>3.0102436326194972</v>
      </c>
      <c r="AM445" s="31" t="str">
        <f t="shared" si="288"/>
        <v>1+35103306.3609909i</v>
      </c>
      <c r="AN445" s="31">
        <f t="shared" si="307"/>
        <v>35103306.360990912</v>
      </c>
      <c r="AO445" s="31">
        <f t="shared" si="308"/>
        <v>1.5707962983075516</v>
      </c>
      <c r="AP445" s="31" t="str">
        <f t="shared" si="289"/>
        <v>1+3790.7476862369i</v>
      </c>
      <c r="AQ445" s="31">
        <f t="shared" si="309"/>
        <v>3790.7478181369975</v>
      </c>
      <c r="AR445" s="31">
        <f t="shared" si="310"/>
        <v>1.57053252660043</v>
      </c>
      <c r="AS445" s="58" t="str">
        <f t="shared" si="311"/>
        <v>-0.0671337694572218+0.509201686989403i</v>
      </c>
      <c r="AT445" s="49">
        <f t="shared" si="312"/>
        <v>-5.7873623745053147</v>
      </c>
      <c r="AU445" s="61">
        <f t="shared" si="313"/>
        <v>97.510628274790975</v>
      </c>
      <c r="AV445" s="58" t="str">
        <f t="shared" si="290"/>
        <v>-0.00774818695856832-0.00429117594857512i</v>
      </c>
      <c r="AW445" s="64">
        <f t="shared" si="314"/>
        <v>-41.054148458282434</v>
      </c>
      <c r="AX445" s="61">
        <f t="shared" si="315"/>
        <v>-151.021014368934</v>
      </c>
    </row>
    <row r="446" spans="14:50" x14ac:dyDescent="0.3">
      <c r="N446" s="10">
        <v>28</v>
      </c>
      <c r="O446" s="50">
        <f t="shared" si="316"/>
        <v>190546.07179632492</v>
      </c>
      <c r="P446" s="48" t="str">
        <f t="shared" si="281"/>
        <v>51201.9230769231</v>
      </c>
      <c r="Q446" s="17" t="str">
        <f t="shared" si="282"/>
        <v>1+55947.7722523663i</v>
      </c>
      <c r="R446" s="17">
        <f t="shared" si="291"/>
        <v>55947.772261303217</v>
      </c>
      <c r="S446" s="17">
        <f t="shared" si="292"/>
        <v>1.5707784529822382</v>
      </c>
      <c r="T446" s="17" t="str">
        <f t="shared" si="283"/>
        <v>1+3.59170883595438E-06i</v>
      </c>
      <c r="U446" s="17">
        <f t="shared" si="293"/>
        <v>1.0000000000064502</v>
      </c>
      <c r="V446" s="17">
        <f t="shared" si="294"/>
        <v>3.591708835938935E-6</v>
      </c>
      <c r="W446" s="31" t="str">
        <f t="shared" si="284"/>
        <v>1-1.93952277141537i</v>
      </c>
      <c r="X446" s="17">
        <f t="shared" si="295"/>
        <v>2.1821431164886409</v>
      </c>
      <c r="Y446" s="17">
        <f t="shared" si="296"/>
        <v>-1.0947540535038169</v>
      </c>
      <c r="Z446" s="31" t="str">
        <f t="shared" si="285"/>
        <v>-13.5231221908043+118.356672258474i</v>
      </c>
      <c r="AA446" s="17">
        <f t="shared" si="297"/>
        <v>119.12672538892042</v>
      </c>
      <c r="AB446" s="17">
        <f t="shared" si="298"/>
        <v>1.6845603558070954</v>
      </c>
      <c r="AC446" s="66" t="str">
        <f t="shared" si="299"/>
        <v>-0.00594158853968342+0.0156757464287157i</v>
      </c>
      <c r="AD446" s="64">
        <f t="shared" si="300"/>
        <v>-35.512449978367343</v>
      </c>
      <c r="AE446" s="61">
        <f t="shared" si="301"/>
        <v>110.75824429037597</v>
      </c>
      <c r="AF446" s="31" t="str">
        <f t="shared" si="286"/>
        <v>-0.332666666666667</v>
      </c>
      <c r="AG446" s="31" t="str">
        <f t="shared" si="302"/>
        <v>1197236.27865146i</v>
      </c>
      <c r="AH446" s="31">
        <f t="shared" si="303"/>
        <v>1197236.2786514601</v>
      </c>
      <c r="AI446" s="31">
        <f t="shared" si="304"/>
        <v>1.5707963267948966</v>
      </c>
      <c r="AJ446" s="31" t="str">
        <f t="shared" si="287"/>
        <v>-76473.9554082366+9872.96946310204i</v>
      </c>
      <c r="AK446" s="31">
        <f t="shared" si="305"/>
        <v>77108.633639822103</v>
      </c>
      <c r="AL446" s="31">
        <f t="shared" si="306"/>
        <v>3.0132004553653267</v>
      </c>
      <c r="AM446" s="31" t="str">
        <f t="shared" si="288"/>
        <v>1+35920967.4050867i</v>
      </c>
      <c r="AN446" s="31">
        <f t="shared" si="307"/>
        <v>35920967.405086718</v>
      </c>
      <c r="AO446" s="31">
        <f t="shared" si="308"/>
        <v>1.5707962989560027</v>
      </c>
      <c r="AP446" s="31" t="str">
        <f t="shared" si="289"/>
        <v>1+3879.04554283073i</v>
      </c>
      <c r="AQ446" s="31">
        <f t="shared" si="309"/>
        <v>3879.0456717284155</v>
      </c>
      <c r="AR446" s="31">
        <f t="shared" si="310"/>
        <v>1.5705385314256992</v>
      </c>
      <c r="AS446" s="58" t="str">
        <f t="shared" si="311"/>
        <v>-0.0641617095838276+0.497994234833282i</v>
      </c>
      <c r="AT446" s="49">
        <f t="shared" si="312"/>
        <v>-5.9840134393428919</v>
      </c>
      <c r="AU446" s="61">
        <f t="shared" si="313"/>
        <v>97.341558898984843</v>
      </c>
      <c r="AV446" s="58" t="str">
        <f t="shared" si="290"/>
        <v>-0.00742520886985906-0.00396465952838282i</v>
      </c>
      <c r="AW446" s="64">
        <f t="shared" si="314"/>
        <v>-41.496463417710238</v>
      </c>
      <c r="AX446" s="61">
        <f t="shared" si="315"/>
        <v>-151.90019681063919</v>
      </c>
    </row>
    <row r="447" spans="14:50" x14ac:dyDescent="0.3">
      <c r="N447" s="10">
        <v>29</v>
      </c>
      <c r="O447" s="50">
        <f t="shared" si="316"/>
        <v>194984.45997580473</v>
      </c>
      <c r="P447" s="48" t="str">
        <f t="shared" si="281"/>
        <v>51201.9230769231</v>
      </c>
      <c r="Q447" s="17" t="str">
        <f t="shared" si="282"/>
        <v>1+57250.9632795658i</v>
      </c>
      <c r="R447" s="17">
        <f t="shared" si="291"/>
        <v>57250.963288299281</v>
      </c>
      <c r="S447" s="17">
        <f t="shared" si="292"/>
        <v>1.5707788598398864</v>
      </c>
      <c r="T447" s="17" t="str">
        <f t="shared" si="283"/>
        <v>1+3.67537048214496E-06i</v>
      </c>
      <c r="U447" s="17">
        <f t="shared" si="293"/>
        <v>1.0000000000067542</v>
      </c>
      <c r="V447" s="17">
        <f t="shared" si="294"/>
        <v>3.6753704821284105E-6</v>
      </c>
      <c r="W447" s="31" t="str">
        <f t="shared" si="284"/>
        <v>1-1.98470006035828i</v>
      </c>
      <c r="X447" s="17">
        <f t="shared" si="295"/>
        <v>2.2223938286420255</v>
      </c>
      <c r="Y447" s="17">
        <f t="shared" si="296"/>
        <v>-1.104069897226895</v>
      </c>
      <c r="Z447" s="31" t="str">
        <f t="shared" si="285"/>
        <v>-14.2075758528224+121.113553311766i</v>
      </c>
      <c r="AA447" s="17">
        <f t="shared" si="297"/>
        <v>121.94403637495228</v>
      </c>
      <c r="AB447" s="17">
        <f t="shared" si="298"/>
        <v>1.6875705234490683</v>
      </c>
      <c r="AC447" s="66" t="str">
        <f t="shared" si="299"/>
        <v>-0.00558852194406759+0.0153110893834772i</v>
      </c>
      <c r="AD447" s="64">
        <f t="shared" si="300"/>
        <v>-35.756721386743848</v>
      </c>
      <c r="AE447" s="61">
        <f t="shared" si="301"/>
        <v>110.05199734316128</v>
      </c>
      <c r="AF447" s="31" t="str">
        <f t="shared" si="286"/>
        <v>-0.332666666666667</v>
      </c>
      <c r="AG447" s="31" t="str">
        <f t="shared" si="302"/>
        <v>1225123.49404832i</v>
      </c>
      <c r="AH447" s="31">
        <f t="shared" si="303"/>
        <v>1225123.49404832</v>
      </c>
      <c r="AI447" s="31">
        <f t="shared" si="304"/>
        <v>1.5707963267948966</v>
      </c>
      <c r="AJ447" s="31" t="str">
        <f t="shared" si="287"/>
        <v>-80078.1090188827+10102.9404645942i</v>
      </c>
      <c r="AK447" s="31">
        <f t="shared" si="305"/>
        <v>80712.904482933809</v>
      </c>
      <c r="AL447" s="31">
        <f t="shared" si="306"/>
        <v>3.016092150341271</v>
      </c>
      <c r="AM447" s="31" t="str">
        <f t="shared" si="288"/>
        <v>1+36757674.2215704i</v>
      </c>
      <c r="AN447" s="31">
        <f t="shared" si="307"/>
        <v>36757674.221570417</v>
      </c>
      <c r="AO447" s="31">
        <f t="shared" si="308"/>
        <v>1.5707962995896934</v>
      </c>
      <c r="AP447" s="31" t="str">
        <f t="shared" si="289"/>
        <v>1+3969.40012071656i</v>
      </c>
      <c r="AQ447" s="31">
        <f t="shared" si="309"/>
        <v>3969.4002466801758</v>
      </c>
      <c r="AR447" s="31">
        <f t="shared" si="310"/>
        <v>1.5705443995644759</v>
      </c>
      <c r="AS447" s="58" t="str">
        <f t="shared" si="311"/>
        <v>-0.0613191307924702+0.48701684558726i</v>
      </c>
      <c r="AT447" s="49">
        <f t="shared" si="312"/>
        <v>-6.1808128185641289</v>
      </c>
      <c r="AU447" s="61">
        <f t="shared" si="313"/>
        <v>97.176213237117338</v>
      </c>
      <c r="AV447" s="58" t="str">
        <f t="shared" si="290"/>
        <v>-0.00711407514602078-0.00366056702117562i</v>
      </c>
      <c r="AW447" s="64">
        <f t="shared" si="314"/>
        <v>-41.937534205307976</v>
      </c>
      <c r="AX447" s="61">
        <f t="shared" si="315"/>
        <v>-152.77178941972139</v>
      </c>
    </row>
    <row r="448" spans="14:50" x14ac:dyDescent="0.3">
      <c r="N448" s="10">
        <v>30</v>
      </c>
      <c r="O448" s="50">
        <f t="shared" si="316"/>
        <v>199526.23149688813</v>
      </c>
      <c r="P448" s="48" t="str">
        <f t="shared" si="281"/>
        <v>51201.9230769231</v>
      </c>
      <c r="Q448" s="17" t="str">
        <f t="shared" si="282"/>
        <v>1+58584.5095253025i</v>
      </c>
      <c r="R448" s="17">
        <f t="shared" si="291"/>
        <v>58584.509533837176</v>
      </c>
      <c r="S448" s="17">
        <f t="shared" si="292"/>
        <v>1.5707792574363237</v>
      </c>
      <c r="T448" s="17" t="str">
        <f t="shared" si="283"/>
        <v>1+3.76098085841448E-06i</v>
      </c>
      <c r="U448" s="17">
        <f t="shared" si="293"/>
        <v>1.0000000000070726</v>
      </c>
      <c r="V448" s="17">
        <f t="shared" si="294"/>
        <v>3.7609808583967471E-6</v>
      </c>
      <c r="W448" s="31" t="str">
        <f t="shared" si="284"/>
        <v>1-2.03092966354382i</v>
      </c>
      <c r="X448" s="17">
        <f t="shared" si="295"/>
        <v>2.2637745687815767</v>
      </c>
      <c r="Y448" s="17">
        <f t="shared" si="296"/>
        <v>-1.1132589781987559</v>
      </c>
      <c r="Z448" s="31" t="str">
        <f t="shared" si="285"/>
        <v>-14.9242868221399+123.934650374152i</v>
      </c>
      <c r="AA448" s="17">
        <f t="shared" si="297"/>
        <v>124.83001201839562</v>
      </c>
      <c r="AB448" s="17">
        <f t="shared" si="298"/>
        <v>1.6906398763175348</v>
      </c>
      <c r="AC448" s="66" t="str">
        <f t="shared" si="299"/>
        <v>-0.00525146651423185+0.0149543019719336i</v>
      </c>
      <c r="AD448" s="64">
        <f t="shared" si="300"/>
        <v>-35.999647222856836</v>
      </c>
      <c r="AE448" s="61">
        <f t="shared" si="301"/>
        <v>109.34962294518581</v>
      </c>
      <c r="AF448" s="31" t="str">
        <f t="shared" si="286"/>
        <v>-0.332666666666667</v>
      </c>
      <c r="AG448" s="31" t="str">
        <f t="shared" si="302"/>
        <v>1253660.28613816i</v>
      </c>
      <c r="AH448" s="31">
        <f t="shared" si="303"/>
        <v>1253660.2861381599</v>
      </c>
      <c r="AI448" s="31">
        <f t="shared" si="304"/>
        <v>1.5707963267948966</v>
      </c>
      <c r="AJ448" s="31" t="str">
        <f t="shared" si="287"/>
        <v>-83852.1211561527+10338.2681788489i</v>
      </c>
      <c r="AK448" s="31">
        <f t="shared" si="305"/>
        <v>84487.028657208153</v>
      </c>
      <c r="AL448" s="31">
        <f t="shared" si="306"/>
        <v>3.0189200576816644</v>
      </c>
      <c r="AM448" s="31" t="str">
        <f t="shared" si="288"/>
        <v>1+37613870.4434719i</v>
      </c>
      <c r="AN448" s="31">
        <f t="shared" si="307"/>
        <v>37613870.443471916</v>
      </c>
      <c r="AO448" s="31">
        <f t="shared" si="308"/>
        <v>1.5707963002089593</v>
      </c>
      <c r="AP448" s="31" t="str">
        <f t="shared" si="289"/>
        <v>1+4061.85932708764i</v>
      </c>
      <c r="AQ448" s="31">
        <f t="shared" si="309"/>
        <v>4061.8594501839739</v>
      </c>
      <c r="AR448" s="31">
        <f t="shared" si="310"/>
        <v>1.5705501341281227</v>
      </c>
      <c r="AS448" s="58" t="str">
        <f t="shared" si="311"/>
        <v>-0.0586005737361405+0.47626589669017i</v>
      </c>
      <c r="AT448" s="49">
        <f t="shared" si="312"/>
        <v>-6.3777540459510735</v>
      </c>
      <c r="AU448" s="61">
        <f t="shared" si="313"/>
        <v>97.014514683434356</v>
      </c>
      <c r="AV448" s="58" t="str">
        <f t="shared" si="290"/>
        <v>-0.00681448508734842-0.00337742508371784i</v>
      </c>
      <c r="AW448" s="64">
        <f t="shared" si="314"/>
        <v>-42.377401268807908</v>
      </c>
      <c r="AX448" s="61">
        <f t="shared" si="315"/>
        <v>-153.63586237137983</v>
      </c>
    </row>
    <row r="449" spans="14:50" x14ac:dyDescent="0.3">
      <c r="N449" s="10">
        <v>31</v>
      </c>
      <c r="O449" s="50">
        <f t="shared" si="316"/>
        <v>204173.79446695308</v>
      </c>
      <c r="P449" s="48" t="str">
        <f t="shared" si="281"/>
        <v>51201.9230769231</v>
      </c>
      <c r="Q449" s="17" t="str">
        <f t="shared" si="282"/>
        <v>1+59949.118053447i</v>
      </c>
      <c r="R449" s="17">
        <f t="shared" si="291"/>
        <v>59949.118061787398</v>
      </c>
      <c r="S449" s="17">
        <f t="shared" si="292"/>
        <v>1.5707796459823613</v>
      </c>
      <c r="T449" s="17" t="str">
        <f t="shared" si="283"/>
        <v>1+3.84858535651758E-06i</v>
      </c>
      <c r="U449" s="17">
        <f t="shared" si="293"/>
        <v>1.0000000000074059</v>
      </c>
      <c r="V449" s="17">
        <f t="shared" si="294"/>
        <v>3.8485853564985785E-6</v>
      </c>
      <c r="W449" s="31" t="str">
        <f t="shared" si="284"/>
        <v>1-2.07823609251949i</v>
      </c>
      <c r="X449" s="17">
        <f t="shared" si="295"/>
        <v>2.3063098786266072</v>
      </c>
      <c r="Y449" s="17">
        <f t="shared" si="296"/>
        <v>-1.1223199602976857</v>
      </c>
      <c r="Z449" s="31" t="str">
        <f t="shared" si="285"/>
        <v>-15.6747753388133+126.821459228634i</v>
      </c>
      <c r="AA449" s="17">
        <f t="shared" si="297"/>
        <v>127.78646682181312</v>
      </c>
      <c r="AB449" s="17">
        <f t="shared" si="298"/>
        <v>1.6937698503219163</v>
      </c>
      <c r="AC449" s="66" t="str">
        <f t="shared" si="299"/>
        <v>-0.00492970731655593+0.0146052137499786i</v>
      </c>
      <c r="AD449" s="64">
        <f t="shared" si="300"/>
        <v>-36.241274576204127</v>
      </c>
      <c r="AE449" s="61">
        <f t="shared" si="301"/>
        <v>108.65111536955658</v>
      </c>
      <c r="AF449" s="31" t="str">
        <f t="shared" si="286"/>
        <v>-0.332666666666667</v>
      </c>
      <c r="AG449" s="31" t="str">
        <f t="shared" si="302"/>
        <v>1282861.78550586i</v>
      </c>
      <c r="AH449" s="31">
        <f t="shared" si="303"/>
        <v>1282861.7855058601</v>
      </c>
      <c r="AI449" s="31">
        <f t="shared" si="304"/>
        <v>1.5707963267948966</v>
      </c>
      <c r="AJ449" s="31" t="str">
        <f t="shared" si="287"/>
        <v>-87803.9970057778+10579.0773797352i</v>
      </c>
      <c r="AK449" s="31">
        <f t="shared" si="305"/>
        <v>88439.01157519265</v>
      </c>
      <c r="AL449" s="31">
        <f t="shared" si="306"/>
        <v>3.0216854961967998</v>
      </c>
      <c r="AM449" s="31" t="str">
        <f t="shared" si="288"/>
        <v>1+38490010.0373609i</v>
      </c>
      <c r="AN449" s="31">
        <f t="shared" si="307"/>
        <v>38490010.037360914</v>
      </c>
      <c r="AO449" s="31">
        <f t="shared" si="308"/>
        <v>1.5707963008141292</v>
      </c>
      <c r="AP449" s="31" t="str">
        <f t="shared" si="289"/>
        <v>1+4156.47218503899i</v>
      </c>
      <c r="AQ449" s="31">
        <f t="shared" si="309"/>
        <v>4156.4723053333091</v>
      </c>
      <c r="AR449" s="31">
        <f t="shared" si="310"/>
        <v>1.57055573815718</v>
      </c>
      <c r="AS449" s="58" t="str">
        <f t="shared" si="311"/>
        <v>-0.0560007934706516+0.465737746406537i</v>
      </c>
      <c r="AT449" s="49">
        <f t="shared" si="312"/>
        <v>-6.5748309283337054</v>
      </c>
      <c r="AU449" s="61">
        <f t="shared" si="313"/>
        <v>96.856387849901168</v>
      </c>
      <c r="AV449" s="58" t="str">
        <f t="shared" si="290"/>
        <v>-0.00652613181639559-0.00311385433486385i</v>
      </c>
      <c r="AW449" s="64">
        <f t="shared" si="314"/>
        <v>-42.816105504537838</v>
      </c>
      <c r="AX449" s="61">
        <f t="shared" si="315"/>
        <v>-154.49249678054224</v>
      </c>
    </row>
    <row r="450" spans="14:50" x14ac:dyDescent="0.3">
      <c r="N450" s="10">
        <v>32</v>
      </c>
      <c r="O450" s="50">
        <f t="shared" si="316"/>
        <v>208929.61308540447</v>
      </c>
      <c r="P450" s="48" t="str">
        <f t="shared" si="281"/>
        <v>51201.9230769231</v>
      </c>
      <c r="Q450" s="17" t="str">
        <f t="shared" si="282"/>
        <v>1+61345.5123975043i</v>
      </c>
      <c r="R450" s="17">
        <f t="shared" si="291"/>
        <v>61345.512405654852</v>
      </c>
      <c r="S450" s="17">
        <f t="shared" si="292"/>
        <v>1.5707800256840112</v>
      </c>
      <c r="T450" s="17" t="str">
        <f t="shared" si="283"/>
        <v>1+3.93823042551879E-06i</v>
      </c>
      <c r="U450" s="17">
        <f t="shared" si="293"/>
        <v>1.0000000000077547</v>
      </c>
      <c r="V450" s="17">
        <f t="shared" si="294"/>
        <v>3.9382304254984302E-6</v>
      </c>
      <c r="W450" s="31" t="str">
        <f t="shared" si="284"/>
        <v>1-2.12664442978015i</v>
      </c>
      <c r="X450" s="17">
        <f t="shared" si="295"/>
        <v>2.3500247936383434</v>
      </c>
      <c r="Y450" s="17">
        <f t="shared" si="296"/>
        <v>-1.1312516954472027</v>
      </c>
      <c r="Z450" s="31" t="str">
        <f t="shared" si="285"/>
        <v>-16.4606332896068+129.775510499482i</v>
      </c>
      <c r="AA450" s="17">
        <f t="shared" si="297"/>
        <v>130.81527270810574</v>
      </c>
      <c r="AB450" s="17">
        <f t="shared" si="298"/>
        <v>1.696961900286267</v>
      </c>
      <c r="AC450" s="66" t="str">
        <f t="shared" si="299"/>
        <v>-0.00462256181109745+0.0142636572523634i</v>
      </c>
      <c r="AD450" s="64">
        <f t="shared" si="300"/>
        <v>-36.481650644227784</v>
      </c>
      <c r="AE450" s="61">
        <f t="shared" si="301"/>
        <v>107.95645703179051</v>
      </c>
      <c r="AF450" s="31" t="str">
        <f t="shared" si="286"/>
        <v>-0.332666666666667</v>
      </c>
      <c r="AG450" s="31" t="str">
        <f t="shared" si="302"/>
        <v>1312743.47517293i</v>
      </c>
      <c r="AH450" s="31">
        <f t="shared" si="303"/>
        <v>1312743.4751729299</v>
      </c>
      <c r="AI450" s="31">
        <f t="shared" si="304"/>
        <v>1.5707963267948966</v>
      </c>
      <c r="AJ450" s="31" t="str">
        <f t="shared" si="287"/>
        <v>-91942.1190262748+10825.4957474789i</v>
      </c>
      <c r="AK450" s="31">
        <f t="shared" si="305"/>
        <v>92577.235912617121</v>
      </c>
      <c r="AL450" s="31">
        <f t="shared" si="306"/>
        <v>3.0243897632795367</v>
      </c>
      <c r="AM450" s="31" t="str">
        <f t="shared" si="288"/>
        <v>1+39386557.5440475i</v>
      </c>
      <c r="AN450" s="31">
        <f t="shared" si="307"/>
        <v>39386557.544047512</v>
      </c>
      <c r="AO450" s="31">
        <f t="shared" si="308"/>
        <v>1.5707963014055237</v>
      </c>
      <c r="AP450" s="31" t="str">
        <f t="shared" si="289"/>
        <v>1+4253.28885956029i</v>
      </c>
      <c r="AQ450" s="31">
        <f t="shared" si="309"/>
        <v>4253.2889771163764</v>
      </c>
      <c r="AR450" s="31">
        <f t="shared" si="310"/>
        <v>1.5705612146229766</v>
      </c>
      <c r="AS450" s="58" t="str">
        <f t="shared" si="311"/>
        <v>-0.0535147524220293+0.455428740404432i</v>
      </c>
      <c r="AT450" s="49">
        <f t="shared" si="312"/>
        <v>-6.7720375348313775</v>
      </c>
      <c r="AU450" s="61">
        <f t="shared" si="313"/>
        <v>96.701758571645342</v>
      </c>
      <c r="AV450" s="58" t="str">
        <f t="shared" si="290"/>
        <v>-0.006248704205128-0.00286856358956265i</v>
      </c>
      <c r="AW450" s="64">
        <f t="shared" si="314"/>
        <v>-43.253688179059154</v>
      </c>
      <c r="AX450" s="61">
        <f t="shared" si="315"/>
        <v>-155.34178439656415</v>
      </c>
    </row>
    <row r="451" spans="14:50" x14ac:dyDescent="0.3">
      <c r="N451" s="10">
        <v>33</v>
      </c>
      <c r="O451" s="50">
        <f t="shared" si="316"/>
        <v>213796.20895022334</v>
      </c>
      <c r="P451" s="48" t="str">
        <f t="shared" si="281"/>
        <v>51201.9230769231</v>
      </c>
      <c r="Q451" s="17" t="str">
        <f t="shared" si="282"/>
        <v>1+62774.4329442381i</v>
      </c>
      <c r="R451" s="17">
        <f t="shared" si="291"/>
        <v>62774.432952203133</v>
      </c>
      <c r="S451" s="17">
        <f t="shared" si="292"/>
        <v>1.5707803967425964</v>
      </c>
      <c r="T451" s="17" t="str">
        <f t="shared" si="283"/>
        <v>1+4.02996359642022E-06i</v>
      </c>
      <c r="U451" s="17">
        <f t="shared" si="293"/>
        <v>1.0000000000081202</v>
      </c>
      <c r="V451" s="17">
        <f t="shared" si="294"/>
        <v>4.0299635963984037E-6</v>
      </c>
      <c r="W451" s="31" t="str">
        <f t="shared" si="284"/>
        <v>1-2.17618034206692i</v>
      </c>
      <c r="X451" s="17">
        <f t="shared" si="295"/>
        <v>2.3949448597407201</v>
      </c>
      <c r="Y451" s="17">
        <f t="shared" si="296"/>
        <v>-1.1400532180743219</v>
      </c>
      <c r="Z451" s="31" t="str">
        <f t="shared" si="285"/>
        <v>-17.2835275845951+132.798370463777i</v>
      </c>
      <c r="AA451" s="17">
        <f t="shared" si="297"/>
        <v>133.91836141322077</v>
      </c>
      <c r="AB451" s="17">
        <f t="shared" si="298"/>
        <v>1.7002174998288113</v>
      </c>
      <c r="AC451" s="66" t="str">
        <f t="shared" si="299"/>
        <v>-0.00432937840366166+0.0139294679871903i</v>
      </c>
      <c r="AD451" s="64">
        <f t="shared" si="300"/>
        <v>-36.720822669955623</v>
      </c>
      <c r="AE451" s="61">
        <f t="shared" si="301"/>
        <v>107.26561881422782</v>
      </c>
      <c r="AF451" s="31" t="str">
        <f t="shared" si="286"/>
        <v>-0.332666666666667</v>
      </c>
      <c r="AG451" s="31" t="str">
        <f t="shared" si="302"/>
        <v>1343321.19880674i</v>
      </c>
      <c r="AH451" s="31">
        <f t="shared" si="303"/>
        <v>1343321.1988067401</v>
      </c>
      <c r="AI451" s="31">
        <f t="shared" si="304"/>
        <v>1.5707963267948966</v>
      </c>
      <c r="AJ451" s="31" t="str">
        <f t="shared" si="287"/>
        <v>-96275.2647292539+11077.6539363602i</v>
      </c>
      <c r="AK451" s="31">
        <f t="shared" si="305"/>
        <v>96910.479389081956</v>
      </c>
      <c r="AL451" s="31">
        <f t="shared" si="306"/>
        <v>3.0270341348490608</v>
      </c>
      <c r="AM451" s="31" t="str">
        <f t="shared" si="288"/>
        <v>1+40303988.3248864i</v>
      </c>
      <c r="AN451" s="31">
        <f t="shared" si="307"/>
        <v>40303988.324886411</v>
      </c>
      <c r="AO451" s="31">
        <f t="shared" si="308"/>
        <v>1.5707963019834563</v>
      </c>
      <c r="AP451" s="31" t="str">
        <f t="shared" si="289"/>
        <v>1+4352.36068413384i</v>
      </c>
      <c r="AQ451" s="31">
        <f t="shared" si="309"/>
        <v>4352.3607990140226</v>
      </c>
      <c r="AR451" s="31">
        <f t="shared" si="310"/>
        <v>1.5705665664292061</v>
      </c>
      <c r="AS451" s="58" t="str">
        <f t="shared" si="311"/>
        <v>-0.0511376134573491+0.445335217840312i</v>
      </c>
      <c r="AT451" s="49">
        <f t="shared" si="312"/>
        <v>-6.9693681864487456</v>
      </c>
      <c r="AU451" s="61">
        <f t="shared" si="313"/>
        <v>96.550553910270011</v>
      </c>
      <c r="AV451" s="58" t="str">
        <f t="shared" si="290"/>
        <v>-0.005981888581158-0.00264034442410326i</v>
      </c>
      <c r="AW451" s="64">
        <f t="shared" si="314"/>
        <v>-43.690190856404371</v>
      </c>
      <c r="AX451" s="61">
        <f t="shared" si="315"/>
        <v>-156.18382727550218</v>
      </c>
    </row>
    <row r="452" spans="14:50" x14ac:dyDescent="0.3">
      <c r="N452" s="10">
        <v>34</v>
      </c>
      <c r="O452" s="50">
        <f t="shared" si="316"/>
        <v>218776.16239495538</v>
      </c>
      <c r="P452" s="48" t="str">
        <f t="shared" si="281"/>
        <v>51201.9230769231</v>
      </c>
      <c r="Q452" s="17" t="str">
        <f t="shared" si="282"/>
        <v>1+64236.637326237i</v>
      </c>
      <c r="R452" s="17">
        <f t="shared" si="291"/>
        <v>64236.637334020728</v>
      </c>
      <c r="S452" s="17">
        <f t="shared" si="292"/>
        <v>1.5707807593548571</v>
      </c>
      <c r="T452" s="17" t="str">
        <f t="shared" si="283"/>
        <v>1+4.12383350736336E-06i</v>
      </c>
      <c r="U452" s="17">
        <f t="shared" si="293"/>
        <v>1.000000000008503</v>
      </c>
      <c r="V452" s="17">
        <f t="shared" si="294"/>
        <v>4.1238335073399837E-6</v>
      </c>
      <c r="W452" s="31" t="str">
        <f t="shared" si="284"/>
        <v>1-2.22687009397621i</v>
      </c>
      <c r="X452" s="17">
        <f t="shared" si="295"/>
        <v>2.4410961503893311</v>
      </c>
      <c r="Y452" s="17">
        <f t="shared" si="296"/>
        <v>-1.1487237392365768</v>
      </c>
      <c r="Z452" s="31" t="str">
        <f t="shared" si="285"/>
        <v>-18.1452036929056+135.891641881886i</v>
      </c>
      <c r="AA452" s="17">
        <f t="shared" si="297"/>
        <v>137.09772700672971</v>
      </c>
      <c r="AB452" s="17">
        <f t="shared" si="298"/>
        <v>1.7035381411941128</v>
      </c>
      <c r="AC452" s="66" t="str">
        <f t="shared" si="299"/>
        <v>-0.00404953506310009+0.0136024844270206i</v>
      </c>
      <c r="AD452" s="64">
        <f t="shared" si="300"/>
        <v>-36.958837884958704</v>
      </c>
      <c r="AE452" s="61">
        <f t="shared" si="301"/>
        <v>106.57856041214116</v>
      </c>
      <c r="AF452" s="31" t="str">
        <f t="shared" si="286"/>
        <v>-0.332666666666667</v>
      </c>
      <c r="AG452" s="31" t="str">
        <f t="shared" si="302"/>
        <v>1374611.16912112i</v>
      </c>
      <c r="AH452" s="31">
        <f t="shared" si="303"/>
        <v>1374611.1691211199</v>
      </c>
      <c r="AI452" s="31">
        <f t="shared" si="304"/>
        <v>1.5707963267948966</v>
      </c>
      <c r="AJ452" s="31" t="str">
        <f t="shared" si="287"/>
        <v>-100812.625297708+11335.6856439887i</v>
      </c>
      <c r="AK452" s="31">
        <f t="shared" si="305"/>
        <v>101447.93338671522</v>
      </c>
      <c r="AL452" s="31">
        <f t="shared" si="306"/>
        <v>3.0296198653290389</v>
      </c>
      <c r="AM452" s="31" t="str">
        <f t="shared" si="288"/>
        <v>1+41242788.8138216i</v>
      </c>
      <c r="AN452" s="31">
        <f t="shared" si="307"/>
        <v>41242788.813821614</v>
      </c>
      <c r="AO452" s="31">
        <f t="shared" si="308"/>
        <v>1.5707963025482337</v>
      </c>
      <c r="AP452" s="31" t="str">
        <f t="shared" si="289"/>
        <v>1+4453.74018795243i</v>
      </c>
      <c r="AQ452" s="31">
        <f t="shared" si="309"/>
        <v>4453.7403002176216</v>
      </c>
      <c r="AR452" s="31">
        <f t="shared" si="310"/>
        <v>1.5705717964134656</v>
      </c>
      <c r="AS452" s="58" t="str">
        <f t="shared" si="311"/>
        <v>-0.0488647330709334+0.435453516978056i</v>
      </c>
      <c r="AT452" s="49">
        <f t="shared" si="312"/>
        <v>-7.1668174460238614</v>
      </c>
      <c r="AU452" s="61">
        <f t="shared" si="313"/>
        <v>96.402702155193296</v>
      </c>
      <c r="AV452" s="58" t="str">
        <f t="shared" si="290"/>
        <v>-0.00572537023346559-0.00242806605598078i</v>
      </c>
      <c r="AW452" s="64">
        <f t="shared" si="314"/>
        <v>-44.125655330982561</v>
      </c>
      <c r="AX452" s="61">
        <f t="shared" si="315"/>
        <v>-157.01873743266555</v>
      </c>
    </row>
    <row r="453" spans="14:50" x14ac:dyDescent="0.3">
      <c r="N453" s="10">
        <v>35</v>
      </c>
      <c r="O453" s="50">
        <f t="shared" si="316"/>
        <v>223872.11385683404</v>
      </c>
      <c r="P453" s="48" t="str">
        <f t="shared" si="281"/>
        <v>51201.9230769231</v>
      </c>
      <c r="Q453" s="17" t="str">
        <f t="shared" si="282"/>
        <v>1+65732.9008236188i</v>
      </c>
      <c r="R453" s="17">
        <f t="shared" si="291"/>
        <v>65732.900831225343</v>
      </c>
      <c r="S453" s="17">
        <f t="shared" si="292"/>
        <v>1.570781113713055</v>
      </c>
      <c r="T453" s="17" t="str">
        <f t="shared" si="283"/>
        <v>1+0.0000042198899294175i</v>
      </c>
      <c r="U453" s="17">
        <f t="shared" si="293"/>
        <v>1.0000000000089038</v>
      </c>
      <c r="V453" s="17">
        <f t="shared" si="294"/>
        <v>4.2198899293924518E-6</v>
      </c>
      <c r="W453" s="31" t="str">
        <f t="shared" si="284"/>
        <v>1-2.27874056188545i</v>
      </c>
      <c r="X453" s="17">
        <f t="shared" si="295"/>
        <v>2.4885052839771138</v>
      </c>
      <c r="Y453" s="17">
        <f t="shared" si="296"/>
        <v>-1.1572626404691895</v>
      </c>
      <c r="Z453" s="31" t="str">
        <f t="shared" si="285"/>
        <v>-19.0474893450911+139.05696484726i</v>
      </c>
      <c r="AA453" s="17">
        <f t="shared" si="297"/>
        <v>140.35542854796697</v>
      </c>
      <c r="AB453" s="17">
        <f t="shared" si="298"/>
        <v>1.706925335034394</v>
      </c>
      <c r="AC453" s="66" t="str">
        <f t="shared" si="299"/>
        <v>-0.00378243800090789+0.0132825479969615i</v>
      </c>
      <c r="AD453" s="64">
        <f t="shared" si="300"/>
        <v>-37.195743457646074</v>
      </c>
      <c r="AE453" s="61">
        <f t="shared" si="301"/>
        <v>105.89523069879085</v>
      </c>
      <c r="AF453" s="31" t="str">
        <f t="shared" si="286"/>
        <v>-0.332666666666667</v>
      </c>
      <c r="AG453" s="31" t="str">
        <f t="shared" si="302"/>
        <v>1406629.9764725i</v>
      </c>
      <c r="AH453" s="31">
        <f t="shared" si="303"/>
        <v>1406629.9764725</v>
      </c>
      <c r="AI453" s="31">
        <f t="shared" si="304"/>
        <v>1.5707963267948966</v>
      </c>
      <c r="AJ453" s="31" t="str">
        <f t="shared" si="287"/>
        <v>-105563.825081737+11599.7276821912i</v>
      </c>
      <c r="AK453" s="31">
        <f t="shared" si="305"/>
        <v>106199.22244625221</v>
      </c>
      <c r="AL453" s="31">
        <f t="shared" si="306"/>
        <v>3.0321481876574672</v>
      </c>
      <c r="AM453" s="31" t="str">
        <f t="shared" si="288"/>
        <v>1+42203456.7752988i</v>
      </c>
      <c r="AN453" s="31">
        <f t="shared" si="307"/>
        <v>42203456.775298819</v>
      </c>
      <c r="AO453" s="31">
        <f t="shared" si="308"/>
        <v>1.5707963031001551</v>
      </c>
      <c r="AP453" s="31" t="str">
        <f t="shared" si="289"/>
        <v>1+4557.4811237709i</v>
      </c>
      <c r="AQ453" s="31">
        <f t="shared" si="309"/>
        <v>4557.4812334806238</v>
      </c>
      <c r="AR453" s="31">
        <f t="shared" si="310"/>
        <v>1.570576907348761</v>
      </c>
      <c r="AS453" s="58" t="str">
        <f t="shared" si="311"/>
        <v>-0.0466916546961894+0.425779980368681i</v>
      </c>
      <c r="AT453" s="49">
        <f t="shared" si="312"/>
        <v>-7.3643801085196339</v>
      </c>
      <c r="AU453" s="61">
        <f t="shared" si="313"/>
        <v>96.258132823170214</v>
      </c>
      <c r="AV453" s="58" t="str">
        <f t="shared" si="290"/>
        <v>-0.00547883473634419-0.002230670522332i</v>
      </c>
      <c r="AW453" s="64">
        <f t="shared" si="314"/>
        <v>-44.560123566165714</v>
      </c>
      <c r="AX453" s="61">
        <f t="shared" si="315"/>
        <v>-157.84663647803893</v>
      </c>
    </row>
    <row r="454" spans="14:50" x14ac:dyDescent="0.3">
      <c r="N454" s="10">
        <v>36</v>
      </c>
      <c r="O454" s="50">
        <f t="shared" si="316"/>
        <v>229086.76527677779</v>
      </c>
      <c r="P454" s="48" t="str">
        <f t="shared" si="281"/>
        <v>51201.9230769231</v>
      </c>
      <c r="Q454" s="17" t="str">
        <f t="shared" si="282"/>
        <v>1+67264.0167750948i</v>
      </c>
      <c r="R454" s="17">
        <f t="shared" si="291"/>
        <v>67264.016782528197</v>
      </c>
      <c r="S454" s="17">
        <f t="shared" si="292"/>
        <v>1.5707814600050753</v>
      </c>
      <c r="T454" s="17" t="str">
        <f t="shared" si="283"/>
        <v>1+4.31818379296905E-06i</v>
      </c>
      <c r="U454" s="17">
        <f t="shared" si="293"/>
        <v>1.0000000000093232</v>
      </c>
      <c r="V454" s="17">
        <f t="shared" si="294"/>
        <v>4.3181837929422099E-6</v>
      </c>
      <c r="W454" s="31" t="str">
        <f t="shared" si="284"/>
        <v>1-2.33181924820329i</v>
      </c>
      <c r="X454" s="17">
        <f t="shared" si="295"/>
        <v>2.5371994415676817</v>
      </c>
      <c r="Y454" s="17">
        <f t="shared" si="296"/>
        <v>-1.1656694674019852</v>
      </c>
      <c r="Z454" s="31" t="str">
        <f t="shared" si="285"/>
        <v>-19.9922984099911+142.296017656033i</v>
      </c>
      <c r="AA454" s="17">
        <f t="shared" si="297"/>
        <v>143.69359288597451</v>
      </c>
      <c r="AB454" s="17">
        <f t="shared" si="298"/>
        <v>1.7103806101363781</v>
      </c>
      <c r="AC454" s="66" t="str">
        <f t="shared" si="299"/>
        <v>-0.00352752041031351+0.01296950306006i</v>
      </c>
      <c r="AD454" s="64">
        <f t="shared" si="300"/>
        <v>-37.431586446887714</v>
      </c>
      <c r="AE454" s="61">
        <f t="shared" si="301"/>
        <v>105.21556810679684</v>
      </c>
      <c r="AF454" s="31" t="str">
        <f t="shared" si="286"/>
        <v>-0.332666666666667</v>
      </c>
      <c r="AG454" s="31" t="str">
        <f t="shared" si="302"/>
        <v>1439394.59765635i</v>
      </c>
      <c r="AH454" s="31">
        <f t="shared" si="303"/>
        <v>1439394.5976563499</v>
      </c>
      <c r="AI454" s="31">
        <f t="shared" si="304"/>
        <v>1.5707963267948966</v>
      </c>
      <c r="AJ454" s="31" t="str">
        <f t="shared" si="287"/>
        <v>-110538.942013086+11869.9200495514i</v>
      </c>
      <c r="AK454" s="31">
        <f t="shared" si="305"/>
        <v>111174.42468191651</v>
      </c>
      <c r="AL454" s="31">
        <f t="shared" si="306"/>
        <v>3.0346203133257346</v>
      </c>
      <c r="AM454" s="31" t="str">
        <f t="shared" si="288"/>
        <v>1+43186501.568187i</v>
      </c>
      <c r="AN454" s="31">
        <f t="shared" si="307"/>
        <v>43186501.568187006</v>
      </c>
      <c r="AO454" s="31">
        <f t="shared" si="308"/>
        <v>1.5707963036395132</v>
      </c>
      <c r="AP454" s="31" t="str">
        <f t="shared" si="289"/>
        <v>1+4663.63849640657i</v>
      </c>
      <c r="AQ454" s="31">
        <f t="shared" si="309"/>
        <v>4663.6386036189951</v>
      </c>
      <c r="AR454" s="31">
        <f t="shared" si="310"/>
        <v>1.5705819019449765</v>
      </c>
      <c r="AS454" s="58" t="str">
        <f t="shared" si="311"/>
        <v>-0.0446141021517066+0.416310959615954i</v>
      </c>
      <c r="AT454" s="49">
        <f t="shared" si="312"/>
        <v>-7.5620511916536888</v>
      </c>
      <c r="AU454" s="61">
        <f t="shared" si="313"/>
        <v>96.11677665613901</v>
      </c>
      <c r="AV454" s="58" t="str">
        <f t="shared" si="290"/>
        <v>-0.00524196910874767-0.00204716814146087i</v>
      </c>
      <c r="AW454" s="64">
        <f t="shared" si="314"/>
        <v>-44.993637638541408</v>
      </c>
      <c r="AX454" s="61">
        <f t="shared" si="315"/>
        <v>-158.66765523706414</v>
      </c>
    </row>
    <row r="455" spans="14:50" x14ac:dyDescent="0.3">
      <c r="N455" s="10">
        <v>37</v>
      </c>
      <c r="O455" s="50">
        <f t="shared" si="316"/>
        <v>234422.88153199267</v>
      </c>
      <c r="P455" s="48" t="str">
        <f t="shared" si="281"/>
        <v>51201.9230769231</v>
      </c>
      <c r="Q455" s="17" t="str">
        <f t="shared" si="282"/>
        <v>1+68830.7969986097i</v>
      </c>
      <c r="R455" s="17">
        <f t="shared" si="291"/>
        <v>68830.797005873887</v>
      </c>
      <c r="S455" s="17">
        <f t="shared" si="292"/>
        <v>1.5707817984145271</v>
      </c>
      <c r="T455" s="17" t="str">
        <f t="shared" si="283"/>
        <v>1+4.41876721472556E-06i</v>
      </c>
      <c r="U455" s="17">
        <f t="shared" si="293"/>
        <v>1.0000000000097629</v>
      </c>
      <c r="V455" s="17">
        <f t="shared" si="294"/>
        <v>4.4187672146968005E-6</v>
      </c>
      <c r="W455" s="31" t="str">
        <f t="shared" si="284"/>
        <v>1-2.3861342959518i</v>
      </c>
      <c r="X455" s="17">
        <f t="shared" si="295"/>
        <v>2.5872063849483276</v>
      </c>
      <c r="Y455" s="17">
        <f t="shared" si="296"/>
        <v>-1.1739439231933098</v>
      </c>
      <c r="Z455" s="31" t="str">
        <f t="shared" si="285"/>
        <v>-20.9816349543052+145.610517696877i</v>
      </c>
      <c r="AA455" s="17">
        <f t="shared" si="297"/>
        <v>147.1144176119671</v>
      </c>
      <c r="AB455" s="17">
        <f t="shared" si="298"/>
        <v>1.7139055130898244</v>
      </c>
      <c r="AC455" s="66" t="str">
        <f t="shared" si="299"/>
        <v>-0.00328424126217997+0.0126631969003191i</v>
      </c>
      <c r="AD455" s="64">
        <f t="shared" si="300"/>
        <v>-37.666413760915972</v>
      </c>
      <c r="AE455" s="61">
        <f t="shared" si="301"/>
        <v>104.53950102333285</v>
      </c>
      <c r="AF455" s="31" t="str">
        <f t="shared" si="286"/>
        <v>-0.332666666666667</v>
      </c>
      <c r="AG455" s="31" t="str">
        <f t="shared" si="302"/>
        <v>1472922.40490852i</v>
      </c>
      <c r="AH455" s="31">
        <f t="shared" si="303"/>
        <v>1472922.4049085199</v>
      </c>
      <c r="AI455" s="31">
        <f t="shared" si="304"/>
        <v>1.5707963267948966</v>
      </c>
      <c r="AJ455" s="31" t="str">
        <f t="shared" si="287"/>
        <v>-115748.528981794+12146.4060056387i</v>
      </c>
      <c r="AK455" s="31">
        <f t="shared" si="305"/>
        <v>116384.09315839954</v>
      </c>
      <c r="AL455" s="31">
        <f t="shared" si="306"/>
        <v>3.0370374324445342</v>
      </c>
      <c r="AM455" s="31" t="str">
        <f t="shared" si="288"/>
        <v>1+44192444.4158476i</v>
      </c>
      <c r="AN455" s="31">
        <f t="shared" si="307"/>
        <v>44192444.415847607</v>
      </c>
      <c r="AO455" s="31">
        <f t="shared" si="308"/>
        <v>1.5707963041665942</v>
      </c>
      <c r="AP455" s="31" t="str">
        <f t="shared" si="289"/>
        <v>1+4772.2685919036i</v>
      </c>
      <c r="AQ455" s="31">
        <f t="shared" si="309"/>
        <v>4772.2686966755728</v>
      </c>
      <c r="AR455" s="31">
        <f t="shared" si="310"/>
        <v>1.5705867828503122</v>
      </c>
      <c r="AS455" s="58" t="str">
        <f t="shared" si="311"/>
        <v>-0.0426279732288094+0.407042819752182i</v>
      </c>
      <c r="AT455" s="49">
        <f t="shared" si="312"/>
        <v>-7.7598259268590155</v>
      </c>
      <c r="AU455" s="61">
        <f t="shared" si="313"/>
        <v>95.97856561752684</v>
      </c>
      <c r="AV455" s="58" t="str">
        <f t="shared" si="290"/>
        <v>-0.00501446282478182-0.00187663324256215i</v>
      </c>
      <c r="AW455" s="64">
        <f t="shared" si="314"/>
        <v>-45.426239687774981</v>
      </c>
      <c r="AX455" s="61">
        <f t="shared" si="315"/>
        <v>-159.48193335914027</v>
      </c>
    </row>
    <row r="456" spans="14:50" x14ac:dyDescent="0.3">
      <c r="N456" s="10">
        <v>38</v>
      </c>
      <c r="O456" s="50">
        <f t="shared" si="316"/>
        <v>239883.29190194907</v>
      </c>
      <c r="P456" s="48" t="str">
        <f t="shared" si="281"/>
        <v>51201.9230769231</v>
      </c>
      <c r="Q456" s="17" t="str">
        <f t="shared" si="282"/>
        <v>1+70434.0722217763i</v>
      </c>
      <c r="R456" s="17">
        <f t="shared" si="291"/>
        <v>70434.072228875128</v>
      </c>
      <c r="S456" s="17">
        <f t="shared" si="292"/>
        <v>1.5707821291208393</v>
      </c>
      <c r="T456" s="17" t="str">
        <f t="shared" si="283"/>
        <v>1+0.0000045216935253486i</v>
      </c>
      <c r="U456" s="17">
        <f t="shared" si="293"/>
        <v>1.0000000000102229</v>
      </c>
      <c r="V456" s="17">
        <f t="shared" si="294"/>
        <v>4.5216935253177834E-6</v>
      </c>
      <c r="W456" s="31" t="str">
        <f t="shared" si="284"/>
        <v>1-2.44171450368824i</v>
      </c>
      <c r="X456" s="17">
        <f t="shared" si="295"/>
        <v>2.6385544749960177</v>
      </c>
      <c r="Y456" s="17">
        <f t="shared" si="296"/>
        <v>-1.1820858618256889</v>
      </c>
      <c r="Z456" s="31" t="str">
        <f t="shared" si="285"/>
        <v>-22.0175974934864+149.002222361586i</v>
      </c>
      <c r="AA456" s="17">
        <f t="shared" si="297"/>
        <v>150.62017417357046</v>
      </c>
      <c r="AB456" s="17">
        <f t="shared" si="298"/>
        <v>1.7175016078937095</v>
      </c>
      <c r="AC456" s="66" t="str">
        <f t="shared" si="299"/>
        <v>-0.0030520841551556+0.0123634797036209i</v>
      </c>
      <c r="AD456" s="64">
        <f t="shared" si="300"/>
        <v>-37.90027212142936</v>
      </c>
      <c r="AE456" s="61">
        <f t="shared" si="301"/>
        <v>103.86694819681864</v>
      </c>
      <c r="AF456" s="31" t="str">
        <f t="shared" si="286"/>
        <v>-0.332666666666667</v>
      </c>
      <c r="AG456" s="31" t="str">
        <f t="shared" si="302"/>
        <v>1507231.1751162i</v>
      </c>
      <c r="AH456" s="31">
        <f t="shared" si="303"/>
        <v>1507231.1751162</v>
      </c>
      <c r="AI456" s="31">
        <f t="shared" si="304"/>
        <v>1.5707963267948966</v>
      </c>
      <c r="AJ456" s="31" t="str">
        <f t="shared" si="287"/>
        <v>-121203.63622028+12429.3321469669i</v>
      </c>
      <c r="AK456" s="31">
        <f t="shared" si="305"/>
        <v>121839.27827526555</v>
      </c>
      <c r="AL456" s="31">
        <f t="shared" si="306"/>
        <v>3.0394007138343793</v>
      </c>
      <c r="AM456" s="31" t="str">
        <f t="shared" si="288"/>
        <v>1+45221818.6824934i</v>
      </c>
      <c r="AN456" s="31">
        <f t="shared" si="307"/>
        <v>45221818.682493411</v>
      </c>
      <c r="AO456" s="31">
        <f t="shared" si="308"/>
        <v>1.5707963046816771</v>
      </c>
      <c r="AP456" s="31" t="str">
        <f t="shared" si="289"/>
        <v>1+4883.42900737649i</v>
      </c>
      <c r="AQ456" s="31">
        <f t="shared" si="309"/>
        <v>4883.4291097635605</v>
      </c>
      <c r="AR456" s="31">
        <f t="shared" si="310"/>
        <v>1.5705915526526879</v>
      </c>
      <c r="AS456" s="58" t="str">
        <f t="shared" si="311"/>
        <v>-0.0407293334264655+0.397971943247401i</v>
      </c>
      <c r="AT456" s="49">
        <f t="shared" si="312"/>
        <v>-7.957699750567615</v>
      </c>
      <c r="AU456" s="61">
        <f t="shared" si="313"/>
        <v>95.843432887144274</v>
      </c>
      <c r="AV456" s="58" t="str">
        <f t="shared" si="290"/>
        <v>-0.00479600868974885-0.00171820014934199i</v>
      </c>
      <c r="AW456" s="64">
        <f t="shared" si="314"/>
        <v>-45.857971871996966</v>
      </c>
      <c r="AX456" s="61">
        <f t="shared" si="315"/>
        <v>-160.28961891603709</v>
      </c>
    </row>
    <row r="457" spans="14:50" x14ac:dyDescent="0.3">
      <c r="N457" s="10">
        <v>39</v>
      </c>
      <c r="O457" s="50">
        <f t="shared" si="316"/>
        <v>245470.89156850305</v>
      </c>
      <c r="P457" s="48" t="str">
        <f t="shared" si="281"/>
        <v>51201.9230769231</v>
      </c>
      <c r="Q457" s="17" t="str">
        <f t="shared" si="282"/>
        <v>1+72074.69252234i</v>
      </c>
      <c r="R457" s="17">
        <f t="shared" si="291"/>
        <v>72074.69252927725</v>
      </c>
      <c r="S457" s="17">
        <f t="shared" si="292"/>
        <v>1.5707824522993568</v>
      </c>
      <c r="T457" s="17" t="str">
        <f t="shared" si="283"/>
        <v>1+4.62701729773047E-06i</v>
      </c>
      <c r="U457" s="17">
        <f t="shared" si="293"/>
        <v>1.0000000000107048</v>
      </c>
      <c r="V457" s="17">
        <f t="shared" si="294"/>
        <v>4.6270172976974489E-6</v>
      </c>
      <c r="W457" s="31" t="str">
        <f t="shared" si="284"/>
        <v>1-2.49858934077445i</v>
      </c>
      <c r="X457" s="17">
        <f t="shared" si="295"/>
        <v>2.6912726903514814</v>
      </c>
      <c r="Y457" s="17">
        <f t="shared" si="296"/>
        <v>-1.1900952813053474</v>
      </c>
      <c r="Z457" s="31" t="str">
        <f t="shared" si="285"/>
        <v>-23.1023834429743+152.47292997687i</v>
      </c>
      <c r="AA457" s="17">
        <f t="shared" si="297"/>
        <v>154.2132111606451</v>
      </c>
      <c r="AB457" s="17">
        <f t="shared" si="298"/>
        <v>1.7211704754958546</v>
      </c>
      <c r="AC457" s="66" t="str">
        <f t="shared" si="299"/>
        <v>-0.00283055621762202+0.0120702045368279i</v>
      </c>
      <c r="AD457" s="64">
        <f t="shared" si="300"/>
        <v>-38.133208032791451</v>
      </c>
      <c r="AE457" s="61">
        <f t="shared" si="301"/>
        <v>103.19781915293171</v>
      </c>
      <c r="AF457" s="31" t="str">
        <f t="shared" si="286"/>
        <v>-0.332666666666667</v>
      </c>
      <c r="AG457" s="31" t="str">
        <f t="shared" si="302"/>
        <v>1542339.09924349i</v>
      </c>
      <c r="AH457" s="31">
        <f t="shared" si="303"/>
        <v>1542339.09924349</v>
      </c>
      <c r="AI457" s="31">
        <f t="shared" si="304"/>
        <v>1.5707963267948966</v>
      </c>
      <c r="AJ457" s="31" t="str">
        <f t="shared" si="287"/>
        <v>-126915.834742379+12718.8484847212i</v>
      </c>
      <c r="AK457" s="31">
        <f t="shared" si="305"/>
        <v>127551.55120629522</v>
      </c>
      <c r="AL457" s="31">
        <f t="shared" si="306"/>
        <v>3.0417113051386813</v>
      </c>
      <c r="AM457" s="31" t="str">
        <f t="shared" si="288"/>
        <v>1+46275170.1559863i</v>
      </c>
      <c r="AN457" s="31">
        <f t="shared" si="307"/>
        <v>46275170.155986309</v>
      </c>
      <c r="AO457" s="31">
        <f t="shared" si="308"/>
        <v>1.5707963051850355</v>
      </c>
      <c r="AP457" s="31" t="str">
        <f t="shared" si="289"/>
        <v>1+4997.17868154891i</v>
      </c>
      <c r="AQ457" s="31">
        <f t="shared" si="309"/>
        <v>4997.1787816053684</v>
      </c>
      <c r="AR457" s="31">
        <f t="shared" si="310"/>
        <v>1.5705962138811151</v>
      </c>
      <c r="AS457" s="58" t="str">
        <f t="shared" si="311"/>
        <v>-0.0389144098382099+0.38909473367407i</v>
      </c>
      <c r="AT457" s="49">
        <f t="shared" si="312"/>
        <v>-8.1556682958108855</v>
      </c>
      <c r="AU457" s="61">
        <f t="shared" si="313"/>
        <v>95.71131285478468</v>
      </c>
      <c r="AV457" s="58" t="str">
        <f t="shared" si="290"/>
        <v>-0.00458630359492597-0.00157105940382226i</v>
      </c>
      <c r="AW457" s="64">
        <f t="shared" si="314"/>
        <v>-46.288876328602335</v>
      </c>
      <c r="AX457" s="61">
        <f t="shared" si="315"/>
        <v>-161.09086799228368</v>
      </c>
    </row>
    <row r="458" spans="14:50" x14ac:dyDescent="0.3">
      <c r="N458" s="10">
        <v>40</v>
      </c>
      <c r="O458" s="50">
        <f t="shared" si="316"/>
        <v>251188.64315095844</v>
      </c>
      <c r="P458" s="48" t="str">
        <f t="shared" si="281"/>
        <v>51201.9230769231</v>
      </c>
      <c r="Q458" s="17" t="str">
        <f t="shared" si="282"/>
        <v>1+73753.5277789009i</v>
      </c>
      <c r="R458" s="17">
        <f t="shared" si="291"/>
        <v>73753.527785680242</v>
      </c>
      <c r="S458" s="17">
        <f t="shared" si="292"/>
        <v>1.570782768121433</v>
      </c>
      <c r="T458" s="17" t="str">
        <f t="shared" si="283"/>
        <v>1+4.73479437592944E-06i</v>
      </c>
      <c r="U458" s="17">
        <f t="shared" si="293"/>
        <v>1.0000000000112093</v>
      </c>
      <c r="V458" s="17">
        <f t="shared" si="294"/>
        <v>4.7347943758940581E-6</v>
      </c>
      <c r="W458" s="31" t="str">
        <f t="shared" si="284"/>
        <v>1-2.5567889630019i</v>
      </c>
      <c r="X458" s="17">
        <f t="shared" si="295"/>
        <v>2.7453906463977638</v>
      </c>
      <c r="Y458" s="17">
        <f t="shared" si="296"/>
        <v>-1.1979723168048761</v>
      </c>
      <c r="Z458" s="31" t="str">
        <f t="shared" si="285"/>
        <v>-24.2382937792079+156.024480757845i</v>
      </c>
      <c r="AA458" s="17">
        <f t="shared" si="297"/>
        <v>157.8959577730929</v>
      </c>
      <c r="AB458" s="17">
        <f t="shared" si="298"/>
        <v>1.7249137132615695</v>
      </c>
      <c r="AC458" s="66" t="str">
        <f t="shared" si="299"/>
        <v>-0.00261918705909668+0.0117832273253142i</v>
      </c>
      <c r="AD458" s="64">
        <f t="shared" si="300"/>
        <v>-38.365267756192154</v>
      </c>
      <c r="AE458" s="61">
        <f t="shared" si="301"/>
        <v>102.53201461794424</v>
      </c>
      <c r="AF458" s="31" t="str">
        <f t="shared" si="286"/>
        <v>-0.332666666666667</v>
      </c>
      <c r="AG458" s="31" t="str">
        <f t="shared" si="302"/>
        <v>1578264.79197648i</v>
      </c>
      <c r="AH458" s="31">
        <f t="shared" si="303"/>
        <v>1578264.79197648</v>
      </c>
      <c r="AI458" s="31">
        <f t="shared" si="304"/>
        <v>1.5707963267948966</v>
      </c>
      <c r="AJ458" s="31" t="str">
        <f t="shared" si="287"/>
        <v>-132897.240887004+13015.1085242959i</v>
      </c>
      <c r="AK458" s="31">
        <f t="shared" si="305"/>
        <v>133533.02844344379</v>
      </c>
      <c r="AL458" s="31">
        <f t="shared" si="306"/>
        <v>3.0439703329573833</v>
      </c>
      <c r="AM458" s="31" t="str">
        <f t="shared" si="288"/>
        <v>1+47353057.3372205i</v>
      </c>
      <c r="AN458" s="31">
        <f t="shared" si="307"/>
        <v>47353057.337220505</v>
      </c>
      <c r="AO458" s="31">
        <f t="shared" si="308"/>
        <v>1.5707963056769361</v>
      </c>
      <c r="AP458" s="31" t="str">
        <f t="shared" si="289"/>
        <v>1+5113.5779260038i</v>
      </c>
      <c r="AQ458" s="31">
        <f t="shared" si="309"/>
        <v>5113.5780237826939</v>
      </c>
      <c r="AR458" s="31">
        <f t="shared" si="310"/>
        <v>1.5706007690070378</v>
      </c>
      <c r="AS458" s="58" t="str">
        <f t="shared" si="311"/>
        <v>-0.037179585194748+0.380407619048506i</v>
      </c>
      <c r="AT458" s="49">
        <f t="shared" si="312"/>
        <v>-8.3537273841268131</v>
      </c>
      <c r="AU458" s="61">
        <f t="shared" si="313"/>
        <v>95.58214111264472</v>
      </c>
      <c r="AV458" s="58" t="str">
        <f t="shared" si="290"/>
        <v>-0.0043850491631254-0.00143445421720423i</v>
      </c>
      <c r="AW458" s="64">
        <f t="shared" si="314"/>
        <v>-46.718995140318967</v>
      </c>
      <c r="AX458" s="61">
        <f t="shared" si="315"/>
        <v>-161.885844269411</v>
      </c>
    </row>
    <row r="459" spans="14:50" x14ac:dyDescent="0.3">
      <c r="N459" s="10">
        <v>41</v>
      </c>
      <c r="O459" s="50">
        <f t="shared" si="316"/>
        <v>257039.57827688678</v>
      </c>
      <c r="P459" s="48" t="str">
        <f t="shared" si="281"/>
        <v>51201.9230769231</v>
      </c>
      <c r="Q459" s="17" t="str">
        <f t="shared" si="282"/>
        <v>1+75471.4681321331i</v>
      </c>
      <c r="R459" s="17">
        <f t="shared" si="291"/>
        <v>75471.468138758122</v>
      </c>
      <c r="S459" s="17">
        <f t="shared" si="292"/>
        <v>1.5707830767545212</v>
      </c>
      <c r="T459" s="17" t="str">
        <f t="shared" si="283"/>
        <v>1+4.84508190477891E-06i</v>
      </c>
      <c r="U459" s="17">
        <f t="shared" si="293"/>
        <v>1.0000000000117373</v>
      </c>
      <c r="V459" s="17">
        <f t="shared" si="294"/>
        <v>4.845081904740998E-6</v>
      </c>
      <c r="W459" s="31" t="str">
        <f t="shared" si="284"/>
        <v>1-2.61634422858061i</v>
      </c>
      <c r="X459" s="17">
        <f t="shared" si="295"/>
        <v>2.8009386145410375</v>
      </c>
      <c r="Y459" s="17">
        <f t="shared" si="296"/>
        <v>-1.205717233785444</v>
      </c>
      <c r="Z459" s="31" t="str">
        <f t="shared" si="285"/>
        <v>-25.4277379203039+159.658757783746i</v>
      </c>
      <c r="AA459" s="17">
        <f t="shared" si="297"/>
        <v>161.67092748169824</v>
      </c>
      <c r="AB459" s="17">
        <f t="shared" si="298"/>
        <v>1.7287329343666655</v>
      </c>
      <c r="AC459" s="66" t="str">
        <f t="shared" si="299"/>
        <v>-0.00241752776884781+0.0115024068291558i</v>
      </c>
      <c r="AD459" s="64">
        <f t="shared" si="300"/>
        <v>-38.596497288620967</v>
      </c>
      <c r="AE459" s="61">
        <f t="shared" si="301"/>
        <v>101.86942694756587</v>
      </c>
      <c r="AF459" s="31" t="str">
        <f t="shared" si="286"/>
        <v>-0.332666666666667</v>
      </c>
      <c r="AG459" s="31" t="str">
        <f t="shared" si="302"/>
        <v>1615027.30159297i</v>
      </c>
      <c r="AH459" s="31">
        <f t="shared" si="303"/>
        <v>1615027.30159297</v>
      </c>
      <c r="AI459" s="31">
        <f t="shared" si="304"/>
        <v>1.5707963267948966</v>
      </c>
      <c r="AJ459" s="31" t="str">
        <f t="shared" si="287"/>
        <v>-139160.542018527+13318.2693466855i</v>
      </c>
      <c r="AK459" s="31">
        <f t="shared" si="305"/>
        <v>139796.39749750734</v>
      </c>
      <c r="AL459" s="31">
        <f t="shared" si="306"/>
        <v>3.0461789029993298</v>
      </c>
      <c r="AM459" s="31" t="str">
        <f t="shared" si="288"/>
        <v>1+48456051.7362463i</v>
      </c>
      <c r="AN459" s="31">
        <f t="shared" si="307"/>
        <v>48456051.73624631</v>
      </c>
      <c r="AO459" s="31">
        <f t="shared" si="308"/>
        <v>1.5707963061576395</v>
      </c>
      <c r="AP459" s="31" t="str">
        <f t="shared" si="289"/>
        <v>1+5232.68845716122i</v>
      </c>
      <c r="AQ459" s="31">
        <f t="shared" si="309"/>
        <v>5232.688552714395</v>
      </c>
      <c r="AR459" s="31">
        <f t="shared" si="310"/>
        <v>1.5706052204456438</v>
      </c>
      <c r="AS459" s="58" t="str">
        <f t="shared" si="311"/>
        <v>-0.0355213920648668+0.371907054869118i</v>
      </c>
      <c r="AT459" s="49">
        <f t="shared" si="312"/>
        <v>-8.5518730177677078</v>
      </c>
      <c r="AU459" s="61">
        <f t="shared" si="313"/>
        <v>95.455854446669349</v>
      </c>
      <c r="AV459" s="58" t="str">
        <f t="shared" si="290"/>
        <v>-0.00419195229603282-0.00130767713524454i</v>
      </c>
      <c r="AW459" s="64">
        <f t="shared" si="314"/>
        <v>-47.148370306388671</v>
      </c>
      <c r="AX459" s="61">
        <f t="shared" si="315"/>
        <v>-162.67471860576481</v>
      </c>
    </row>
    <row r="460" spans="14:50" x14ac:dyDescent="0.3">
      <c r="N460" s="10">
        <v>42</v>
      </c>
      <c r="O460" s="50">
        <f t="shared" si="316"/>
        <v>263026.79918953858</v>
      </c>
      <c r="P460" s="48" t="str">
        <f t="shared" si="281"/>
        <v>51201.9230769231</v>
      </c>
      <c r="Q460" s="17" t="str">
        <f t="shared" si="282"/>
        <v>1+77229.4244567519i</v>
      </c>
      <c r="R460" s="17">
        <f t="shared" si="291"/>
        <v>77229.424463226125</v>
      </c>
      <c r="S460" s="17">
        <f t="shared" si="292"/>
        <v>1.5707833783622627</v>
      </c>
      <c r="T460" s="17" t="str">
        <f t="shared" si="283"/>
        <v>1+4.95793836018655E-06i</v>
      </c>
      <c r="U460" s="17">
        <f t="shared" si="293"/>
        <v>1.0000000000122906</v>
      </c>
      <c r="V460" s="17">
        <f t="shared" si="294"/>
        <v>4.9579383601459266E-6</v>
      </c>
      <c r="W460" s="31" t="str">
        <f t="shared" si="284"/>
        <v>1-2.67728671450073i</v>
      </c>
      <c r="X460" s="17">
        <f t="shared" si="295"/>
        <v>2.8579475417932558</v>
      </c>
      <c r="Y460" s="17">
        <f t="shared" si="296"/>
        <v>-1.2133304211320832</v>
      </c>
      <c r="Z460" s="31" t="str">
        <f t="shared" si="285"/>
        <v>-26.6732388367575+163.377687996357i</v>
      </c>
      <c r="AA460" s="17">
        <f t="shared" si="297"/>
        <v>165.54072189367085</v>
      </c>
      <c r="AB460" s="17">
        <f t="shared" si="298"/>
        <v>1.7326297671100594</v>
      </c>
      <c r="AC460" s="66" t="str">
        <f t="shared" si="299"/>
        <v>-0.00222514995957697+0.0112276046181998i</v>
      </c>
      <c r="AD460" s="64">
        <f t="shared" si="300"/>
        <v>-38.826942346478106</v>
      </c>
      <c r="AE460" s="61">
        <f t="shared" si="301"/>
        <v>101.20994055964405</v>
      </c>
      <c r="AF460" s="31" t="str">
        <f t="shared" si="286"/>
        <v>-0.332666666666667</v>
      </c>
      <c r="AG460" s="31" t="str">
        <f t="shared" si="302"/>
        <v>1652646.12006218i</v>
      </c>
      <c r="AH460" s="31">
        <f t="shared" si="303"/>
        <v>1652646.1200621801</v>
      </c>
      <c r="AI460" s="31">
        <f t="shared" si="304"/>
        <v>1.5707963267948966</v>
      </c>
      <c r="AJ460" s="31" t="str">
        <f t="shared" si="287"/>
        <v>-145719.023438384+13628.4916917708i</v>
      </c>
      <c r="AK460" s="31">
        <f t="shared" si="305"/>
        <v>146354.94381000244</v>
      </c>
      <c r="AL460" s="31">
        <f t="shared" si="306"/>
        <v>3.0483381002516552</v>
      </c>
      <c r="AM460" s="31" t="str">
        <f t="shared" si="288"/>
        <v>1+49584738.1752945i</v>
      </c>
      <c r="AN460" s="31">
        <f t="shared" si="307"/>
        <v>49584738.175294511</v>
      </c>
      <c r="AO460" s="31">
        <f t="shared" si="308"/>
        <v>1.5707963066274009</v>
      </c>
      <c r="AP460" s="31" t="str">
        <f t="shared" si="289"/>
        <v>1+5354.57342900146i</v>
      </c>
      <c r="AQ460" s="31">
        <f t="shared" si="309"/>
        <v>5354.5735223795791</v>
      </c>
      <c r="AR460" s="31">
        <f t="shared" si="310"/>
        <v>1.5706095705571432</v>
      </c>
      <c r="AS460" s="58" t="str">
        <f t="shared" si="311"/>
        <v>-0.0339365072164527+0.363589526870622i</v>
      </c>
      <c r="AT460" s="49">
        <f t="shared" si="312"/>
        <v>-8.7501013721998007</v>
      </c>
      <c r="AU460" s="61">
        <f t="shared" si="313"/>
        <v>95.33239082691955</v>
      </c>
      <c r="AV460" s="58" t="str">
        <f t="shared" si="290"/>
        <v>-0.0040067256333608-0.00119006690616779i</v>
      </c>
      <c r="AW460" s="64">
        <f t="shared" si="314"/>
        <v>-47.577043718677913</v>
      </c>
      <c r="AX460" s="61">
        <f t="shared" si="315"/>
        <v>-163.45766861343637</v>
      </c>
    </row>
    <row r="461" spans="14:50" x14ac:dyDescent="0.3">
      <c r="N461" s="10">
        <v>43</v>
      </c>
      <c r="O461" s="50">
        <f t="shared" si="316"/>
        <v>269153.48039269145</v>
      </c>
      <c r="P461" s="48" t="str">
        <f t="shared" si="281"/>
        <v>51201.9230769231</v>
      </c>
      <c r="Q461" s="17" t="str">
        <f t="shared" si="282"/>
        <v>1+79028.3288444703i</v>
      </c>
      <c r="R461" s="17">
        <f t="shared" si="291"/>
        <v>79028.328850797159</v>
      </c>
      <c r="S461" s="17">
        <f t="shared" si="292"/>
        <v>1.5707836731045735</v>
      </c>
      <c r="T461" s="17" t="str">
        <f t="shared" si="283"/>
        <v>1+5.07342358013884E-06i</v>
      </c>
      <c r="U461" s="17">
        <f t="shared" si="293"/>
        <v>1.0000000000128697</v>
      </c>
      <c r="V461" s="17">
        <f t="shared" si="294"/>
        <v>5.0734235800953107E-6</v>
      </c>
      <c r="W461" s="31" t="str">
        <f t="shared" si="284"/>
        <v>1-2.73964873327497i</v>
      </c>
      <c r="X461" s="17">
        <f t="shared" si="295"/>
        <v>2.9164490706568404</v>
      </c>
      <c r="Y461" s="17">
        <f t="shared" si="296"/>
        <v>-1.2208123843325325</v>
      </c>
      <c r="Z461" s="31" t="str">
        <f t="shared" si="285"/>
        <v>-27.9774384029997+167.183243221704i</v>
      </c>
      <c r="AA461" s="17">
        <f t="shared" si="297"/>
        <v>169.50803483528762</v>
      </c>
      <c r="AB461" s="17">
        <f t="shared" si="298"/>
        <v>1.7366058541408911</v>
      </c>
      <c r="AC461" s="66" t="str">
        <f t="shared" si="299"/>
        <v>-0.00204164485411908+0.0109586850462114i</v>
      </c>
      <c r="AD461" s="64">
        <f t="shared" si="300"/>
        <v>-39.056648353637009</v>
      </c>
      <c r="AE461" s="61">
        <f t="shared" si="301"/>
        <v>100.55343236926802</v>
      </c>
      <c r="AF461" s="31" t="str">
        <f t="shared" si="286"/>
        <v>-0.332666666666667</v>
      </c>
      <c r="AG461" s="31" t="str">
        <f t="shared" si="302"/>
        <v>1691141.19337961i</v>
      </c>
      <c r="AH461" s="31">
        <f t="shared" si="303"/>
        <v>1691141.1933796101</v>
      </c>
      <c r="AI461" s="31">
        <f t="shared" si="304"/>
        <v>1.5707963267948966</v>
      </c>
      <c r="AJ461" s="31" t="str">
        <f t="shared" si="287"/>
        <v>-152586.596564978+13945.9400435456i</v>
      </c>
      <c r="AK461" s="31">
        <f t="shared" si="305"/>
        <v>153222.57893333322</v>
      </c>
      <c r="AL461" s="31">
        <f t="shared" si="306"/>
        <v>3.0504489891645599</v>
      </c>
      <c r="AM461" s="31" t="str">
        <f t="shared" si="288"/>
        <v>1+50739715.0988549i</v>
      </c>
      <c r="AN461" s="31">
        <f t="shared" si="307"/>
        <v>50739715.098854914</v>
      </c>
      <c r="AO461" s="31">
        <f t="shared" si="308"/>
        <v>1.570796307086469</v>
      </c>
      <c r="AP461" s="31" t="str">
        <f t="shared" si="289"/>
        <v>1+5479.29746654994i</v>
      </c>
      <c r="AQ461" s="31">
        <f t="shared" si="309"/>
        <v>5479.2975578025134</v>
      </c>
      <c r="AR461" s="31">
        <f t="shared" si="310"/>
        <v>1.570613821648023</v>
      </c>
      <c r="AS461" s="58" t="str">
        <f t="shared" si="311"/>
        <v>-0.032421746138645+0.355451553512435i</v>
      </c>
      <c r="AT461" s="49">
        <f t="shared" si="312"/>
        <v>-8.9484087888864909</v>
      </c>
      <c r="AU461" s="61">
        <f t="shared" si="313"/>
        <v>95.211689397057526</v>
      </c>
      <c r="AV461" s="58" t="str">
        <f t="shared" si="290"/>
        <v>-0.00382908793296381-0.00108100553969893i</v>
      </c>
      <c r="AW461" s="64">
        <f t="shared" si="314"/>
        <v>-48.005057142523512</v>
      </c>
      <c r="AX461" s="61">
        <f t="shared" si="315"/>
        <v>-164.23487823367438</v>
      </c>
    </row>
    <row r="462" spans="14:50" x14ac:dyDescent="0.3">
      <c r="N462" s="10">
        <v>44</v>
      </c>
      <c r="O462" s="50">
        <f t="shared" si="316"/>
        <v>275422.87033381703</v>
      </c>
      <c r="P462" s="48" t="str">
        <f t="shared" si="281"/>
        <v>51201.9230769231</v>
      </c>
      <c r="Q462" s="17" t="str">
        <f t="shared" si="282"/>
        <v>1+80869.1350982056i</v>
      </c>
      <c r="R462" s="17">
        <f t="shared" si="291"/>
        <v>80869.135104388435</v>
      </c>
      <c r="S462" s="17">
        <f t="shared" si="292"/>
        <v>1.5707839611377306</v>
      </c>
      <c r="T462" s="17" t="str">
        <f t="shared" si="283"/>
        <v>1+5.19159879642801E-06i</v>
      </c>
      <c r="U462" s="17">
        <f t="shared" si="293"/>
        <v>1.0000000000134763</v>
      </c>
      <c r="V462" s="17">
        <f t="shared" si="294"/>
        <v>5.1915987963813671E-6</v>
      </c>
      <c r="W462" s="31" t="str">
        <f t="shared" si="284"/>
        <v>1-2.80346335007112i</v>
      </c>
      <c r="X462" s="17">
        <f t="shared" si="295"/>
        <v>2.9764755593137306</v>
      </c>
      <c r="Y462" s="17">
        <f t="shared" si="296"/>
        <v>-1.2281637387273321</v>
      </c>
      <c r="Z462" s="31" t="str">
        <f t="shared" si="285"/>
        <v>-29.3431030011676+171.077441215539i</v>
      </c>
      <c r="AA462" s="17">
        <f t="shared" si="297"/>
        <v>173.5756566647332</v>
      </c>
      <c r="AB462" s="17">
        <f t="shared" si="298"/>
        <v>1.7406628515949705</v>
      </c>
      <c r="AC462" s="66" t="str">
        <f t="shared" si="299"/>
        <v>-0.00186662241319577+0.0106955152242877i</v>
      </c>
      <c r="AD462" s="64">
        <f t="shared" si="300"/>
        <v>-39.285660433755353</v>
      </c>
      <c r="AE462" s="61">
        <f t="shared" si="301"/>
        <v>99.899772224983991</v>
      </c>
      <c r="AF462" s="31" t="str">
        <f t="shared" si="286"/>
        <v>-0.332666666666667</v>
      </c>
      <c r="AG462" s="31" t="str">
        <f t="shared" si="302"/>
        <v>1730532.93214267i</v>
      </c>
      <c r="AH462" s="31">
        <f t="shared" si="303"/>
        <v>1730532.93214267</v>
      </c>
      <c r="AI462" s="31">
        <f t="shared" si="304"/>
        <v>1.5707963267948966</v>
      </c>
      <c r="AJ462" s="31" t="str">
        <f t="shared" si="287"/>
        <v>-159777.828441663+14270.7827173277i</v>
      </c>
      <c r="AK462" s="31">
        <f t="shared" si="305"/>
        <v>160413.8700390296</v>
      </c>
      <c r="AL462" s="31">
        <f t="shared" si="306"/>
        <v>3.052512613849979</v>
      </c>
      <c r="AM462" s="31" t="str">
        <f t="shared" si="288"/>
        <v>1+51921594.8909803i</v>
      </c>
      <c r="AN462" s="31">
        <f t="shared" si="307"/>
        <v>51921594.890980318</v>
      </c>
      <c r="AO462" s="31">
        <f t="shared" si="308"/>
        <v>1.5707963075350877</v>
      </c>
      <c r="AP462" s="31" t="str">
        <f t="shared" si="289"/>
        <v>1+5606.92670014225i</v>
      </c>
      <c r="AQ462" s="31">
        <f t="shared" si="309"/>
        <v>5606.926789317662</v>
      </c>
      <c r="AR462" s="31">
        <f t="shared" si="310"/>
        <v>1.5706179759722665</v>
      </c>
      <c r="AS462" s="58" t="str">
        <f t="shared" si="311"/>
        <v>-0.0309740577254471+0.347489688218536i</v>
      </c>
      <c r="AT462" s="49">
        <f t="shared" si="312"/>
        <v>-9.1467917683464801</v>
      </c>
      <c r="AU462" s="61">
        <f t="shared" si="313"/>
        <v>95.093690463033809</v>
      </c>
      <c r="AV462" s="58" t="str">
        <f t="shared" si="290"/>
        <v>-0.0036587643802464-0.000979915546343615i</v>
      </c>
      <c r="AW462" s="64">
        <f t="shared" si="314"/>
        <v>-48.432452202101828</v>
      </c>
      <c r="AX462" s="61">
        <f t="shared" si="315"/>
        <v>-165.00653731198219</v>
      </c>
    </row>
    <row r="463" spans="14:50" x14ac:dyDescent="0.3">
      <c r="N463" s="10">
        <v>45</v>
      </c>
      <c r="O463" s="50">
        <f t="shared" si="316"/>
        <v>281838.29312644573</v>
      </c>
      <c r="P463" s="48" t="str">
        <f t="shared" si="281"/>
        <v>51201.9230769231</v>
      </c>
      <c r="Q463" s="17" t="str">
        <f t="shared" si="282"/>
        <v>1+82752.8192377993i</v>
      </c>
      <c r="R463" s="17">
        <f t="shared" si="291"/>
        <v>82752.819243841383</v>
      </c>
      <c r="S463" s="17">
        <f t="shared" si="292"/>
        <v>1.5707842426144523</v>
      </c>
      <c r="T463" s="17" t="str">
        <f t="shared" si="283"/>
        <v>1+5.31252666711798E-06i</v>
      </c>
      <c r="U463" s="17">
        <f t="shared" si="293"/>
        <v>1.0000000000141114</v>
      </c>
      <c r="V463" s="17">
        <f t="shared" si="294"/>
        <v>5.3125266670680013E-6</v>
      </c>
      <c r="W463" s="31" t="str">
        <f t="shared" si="284"/>
        <v>1-2.86876440024371i</v>
      </c>
      <c r="X463" s="17">
        <f t="shared" si="295"/>
        <v>3.038060102122019</v>
      </c>
      <c r="Y463" s="17">
        <f t="shared" si="296"/>
        <v>-1.235385202855964</v>
      </c>
      <c r="Z463" s="31" t="str">
        <f t="shared" si="285"/>
        <v>-30.7731293889715+175.062346733184i</v>
      </c>
      <c r="AA463" s="17">
        <f t="shared" si="297"/>
        <v>177.74647882903312</v>
      </c>
      <c r="AB463" s="17">
        <f t="shared" si="298"/>
        <v>1.744802428135116</v>
      </c>
      <c r="AC463" s="66" t="str">
        <f t="shared" si="299"/>
        <v>-0.00169971050234382+0.0104379649937098i</v>
      </c>
      <c r="AD463" s="64">
        <f t="shared" si="300"/>
        <v>-39.514023406623295</v>
      </c>
      <c r="AE463" s="61">
        <f t="shared" si="301"/>
        <v>99.248823345014827</v>
      </c>
      <c r="AF463" s="31" t="str">
        <f t="shared" si="286"/>
        <v>-0.332666666666667</v>
      </c>
      <c r="AG463" s="31" t="str">
        <f t="shared" si="302"/>
        <v>1770842.22237266i</v>
      </c>
      <c r="AH463" s="31">
        <f t="shared" si="303"/>
        <v>1770842.2223726599</v>
      </c>
      <c r="AI463" s="31">
        <f t="shared" si="304"/>
        <v>1.5707963267948966</v>
      </c>
      <c r="AJ463" s="31" t="str">
        <f t="shared" si="287"/>
        <v>-167307.972635392+14603.1919490028i</v>
      </c>
      <c r="AK463" s="31">
        <f t="shared" si="305"/>
        <v>167944.07081663975</v>
      </c>
      <c r="AL463" s="31">
        <f t="shared" si="306"/>
        <v>3.0545299982927121</v>
      </c>
      <c r="AM463" s="31" t="str">
        <f t="shared" si="288"/>
        <v>1+53131004.1999804i</v>
      </c>
      <c r="AN463" s="31">
        <f t="shared" si="307"/>
        <v>53131004.199980415</v>
      </c>
      <c r="AO463" s="31">
        <f t="shared" si="308"/>
        <v>1.5707963079734943</v>
      </c>
      <c r="AP463" s="31" t="str">
        <f t="shared" si="289"/>
        <v>1+5737.52880048742i</v>
      </c>
      <c r="AQ463" s="31">
        <f t="shared" si="309"/>
        <v>5737.5288876329514</v>
      </c>
      <c r="AR463" s="31">
        <f t="shared" si="310"/>
        <v>1.5706220357325513</v>
      </c>
      <c r="AS463" s="58" t="str">
        <f t="shared" si="311"/>
        <v>-0.0295905191205221+0.339700521385128i</v>
      </c>
      <c r="AT463" s="49">
        <f t="shared" si="312"/>
        <v>-9.3452469634792763</v>
      </c>
      <c r="AU463" s="61">
        <f t="shared" si="313"/>
        <v>94.978335481058892</v>
      </c>
      <c r="AV463" s="58" t="str">
        <f t="shared" si="290"/>
        <v>-0.00349548683444398-0.000886257346575684i</v>
      </c>
      <c r="AW463" s="64">
        <f t="shared" si="314"/>
        <v>-48.859270370102564</v>
      </c>
      <c r="AX463" s="61">
        <f t="shared" si="315"/>
        <v>-165.77284117392631</v>
      </c>
    </row>
    <row r="464" spans="14:50" x14ac:dyDescent="0.3">
      <c r="N464" s="10">
        <v>46</v>
      </c>
      <c r="O464" s="50">
        <f t="shared" si="316"/>
        <v>288403.1503126609</v>
      </c>
      <c r="P464" s="48" t="str">
        <f t="shared" si="281"/>
        <v>51201.9230769231</v>
      </c>
      <c r="Q464" s="17" t="str">
        <f t="shared" si="282"/>
        <v>1+84680.3800175161i</v>
      </c>
      <c r="R464" s="17">
        <f t="shared" si="291"/>
        <v>84680.380023420657</v>
      </c>
      <c r="S464" s="17">
        <f t="shared" si="292"/>
        <v>1.5707845176839816</v>
      </c>
      <c r="T464" s="17" t="str">
        <f t="shared" si="283"/>
        <v>1+5.43627130976647E-06i</v>
      </c>
      <c r="U464" s="17">
        <f t="shared" si="293"/>
        <v>1.0000000000147766</v>
      </c>
      <c r="V464" s="17">
        <f t="shared" si="294"/>
        <v>5.4362713097129171E-6</v>
      </c>
      <c r="W464" s="31" t="str">
        <f t="shared" si="284"/>
        <v>1-2.93558650727389i</v>
      </c>
      <c r="X464" s="17">
        <f t="shared" si="295"/>
        <v>3.1012365504244457</v>
      </c>
      <c r="Y464" s="17">
        <f t="shared" si="296"/>
        <v>-1.2424775919210302</v>
      </c>
      <c r="Z464" s="31" t="str">
        <f t="shared" si="285"/>
        <v>-32.2705508441071+179.140072624291i</v>
      </c>
      <c r="AA464" s="17">
        <f t="shared" si="297"/>
        <v>182.02349867975386</v>
      </c>
      <c r="AB464" s="17">
        <f t="shared" si="298"/>
        <v>1.7490262638897949</v>
      </c>
      <c r="AC464" s="66" t="str">
        <f t="shared" si="299"/>
        <v>-0.00154055409622043+0.0101859068983927i</v>
      </c>
      <c r="AD464" s="64">
        <f t="shared" si="300"/>
        <v>-39.741781788328424</v>
      </c>
      <c r="AE464" s="61">
        <f t="shared" si="301"/>
        <v>98.600442752544851</v>
      </c>
      <c r="AF464" s="31" t="str">
        <f t="shared" si="286"/>
        <v>-0.332666666666667</v>
      </c>
      <c r="AG464" s="31" t="str">
        <f t="shared" si="302"/>
        <v>1812090.43658882i</v>
      </c>
      <c r="AH464" s="31">
        <f t="shared" si="303"/>
        <v>1812090.4365888201</v>
      </c>
      <c r="AI464" s="31">
        <f t="shared" si="304"/>
        <v>1.5707963267948966</v>
      </c>
      <c r="AJ464" s="31" t="str">
        <f t="shared" si="287"/>
        <v>-175193.001591586+14943.3439863453i</v>
      </c>
      <c r="AK464" s="31">
        <f t="shared" si="305"/>
        <v>175829.15382883378</v>
      </c>
      <c r="AL464" s="31">
        <f t="shared" si="306"/>
        <v>3.056502146572726</v>
      </c>
      <c r="AM464" s="31" t="str">
        <f t="shared" si="288"/>
        <v>1+54368584.2706792i</v>
      </c>
      <c r="AN464" s="31">
        <f t="shared" si="307"/>
        <v>54368584.270679213</v>
      </c>
      <c r="AO464" s="31">
        <f t="shared" si="308"/>
        <v>1.5707963084019219</v>
      </c>
      <c r="AP464" s="31" t="str">
        <f t="shared" si="289"/>
        <v>1+5871.17301454778i</v>
      </c>
      <c r="AQ464" s="31">
        <f t="shared" si="309"/>
        <v>5871.1730997096383</v>
      </c>
      <c r="AR464" s="31">
        <f t="shared" si="310"/>
        <v>1.5706260030814152</v>
      </c>
      <c r="AS464" s="58" t="str">
        <f t="shared" si="311"/>
        <v>-0.0282683307223392+0.332080682171588i</v>
      </c>
      <c r="AT464" s="49">
        <f t="shared" si="312"/>
        <v>-9.5437711731501054</v>
      </c>
      <c r="AU464" s="61">
        <f t="shared" si="313"/>
        <v>94.865567044932931</v>
      </c>
      <c r="AV464" s="58" t="str">
        <f t="shared" si="290"/>
        <v>-0.00333899401866692-0.000799526840105836i</v>
      </c>
      <c r="AW464" s="64">
        <f t="shared" si="314"/>
        <v>-49.28555296147853</v>
      </c>
      <c r="AX464" s="61">
        <f t="shared" si="315"/>
        <v>-166.5339902025222</v>
      </c>
    </row>
    <row r="465" spans="14:50" x14ac:dyDescent="0.3">
      <c r="N465" s="10">
        <v>47</v>
      </c>
      <c r="O465" s="50">
        <f t="shared" si="316"/>
        <v>295120.92266663886</v>
      </c>
      <c r="P465" s="48" t="str">
        <f t="shared" si="281"/>
        <v>51201.9230769231</v>
      </c>
      <c r="Q465" s="17" t="str">
        <f t="shared" si="282"/>
        <v>1+86652.8394555953i</v>
      </c>
      <c r="R465" s="17">
        <f t="shared" si="291"/>
        <v>86652.839461365453</v>
      </c>
      <c r="S465" s="17">
        <f t="shared" si="292"/>
        <v>1.570784786492164</v>
      </c>
      <c r="T465" s="17" t="str">
        <f t="shared" si="283"/>
        <v>1+5.56289833542094E-06i</v>
      </c>
      <c r="U465" s="17">
        <f t="shared" si="293"/>
        <v>1.000000000015473</v>
      </c>
      <c r="V465" s="17">
        <f t="shared" si="294"/>
        <v>5.5628983353635568E-6</v>
      </c>
      <c r="W465" s="31" t="str">
        <f t="shared" si="284"/>
        <v>1-3.0039651011273i</v>
      </c>
      <c r="X465" s="17">
        <f t="shared" si="295"/>
        <v>3.1660395336746423</v>
      </c>
      <c r="Y465" s="17">
        <f t="shared" si="296"/>
        <v>-1.2494418113898584</v>
      </c>
      <c r="Z465" s="31" t="str">
        <f t="shared" si="285"/>
        <v>-33.8385435982434+183.312780953102i</v>
      </c>
      <c r="AA465" s="17">
        <f t="shared" si="297"/>
        <v>186.40982456300466</v>
      </c>
      <c r="AB465" s="17">
        <f t="shared" si="298"/>
        <v>1.7533360492842736</v>
      </c>
      <c r="AC465" s="66" t="str">
        <f t="shared" si="299"/>
        <v>-0.00138881451856302+0.0099392161570842i</v>
      </c>
      <c r="AD465" s="64">
        <f t="shared" si="300"/>
        <v>-39.968979795006781</v>
      </c>
      <c r="AE465" s="61">
        <f t="shared" si="301"/>
        <v>97.954481709287265</v>
      </c>
      <c r="AF465" s="31" t="str">
        <f t="shared" si="286"/>
        <v>-0.332666666666667</v>
      </c>
      <c r="AG465" s="31" t="str">
        <f t="shared" si="302"/>
        <v>1854299.44514031i</v>
      </c>
      <c r="AH465" s="31">
        <f t="shared" si="303"/>
        <v>1854299.4451403101</v>
      </c>
      <c r="AI465" s="31">
        <f t="shared" si="304"/>
        <v>1.5707963267948966</v>
      </c>
      <c r="AJ465" s="31" t="str">
        <f t="shared" si="287"/>
        <v>-183449.640513824+15291.4191824679i</v>
      </c>
      <c r="AK465" s="31">
        <f t="shared" si="305"/>
        <v>184085.84439131978</v>
      </c>
      <c r="AL465" s="31">
        <f t="shared" si="306"/>
        <v>3.058430043097367</v>
      </c>
      <c r="AM465" s="31" t="str">
        <f t="shared" si="288"/>
        <v>1+55634991.2844116i</v>
      </c>
      <c r="AN465" s="31">
        <f t="shared" si="307"/>
        <v>55634991.284411602</v>
      </c>
      <c r="AO465" s="31">
        <f t="shared" si="308"/>
        <v>1.570796308820597</v>
      </c>
      <c r="AP465" s="31" t="str">
        <f t="shared" si="289"/>
        <v>1+6007.9302022546i</v>
      </c>
      <c r="AQ465" s="31">
        <f t="shared" si="309"/>
        <v>6007.9302854779362</v>
      </c>
      <c r="AR465" s="31">
        <f t="shared" si="310"/>
        <v>1.5706298801223986</v>
      </c>
      <c r="AS465" s="58" t="str">
        <f t="shared" si="311"/>
        <v>-0.0270048113483965+0.324626840089399i</v>
      </c>
      <c r="AT465" s="49">
        <f t="shared" si="312"/>
        <v>-9.7423613360250521</v>
      </c>
      <c r="AU465" s="61">
        <f t="shared" si="313"/>
        <v>94.755328872806757</v>
      </c>
      <c r="AV465" s="58" t="str">
        <f t="shared" si="290"/>
        <v>-0.00318903165996804-0.000719253125904386i</v>
      </c>
      <c r="AW465" s="64">
        <f t="shared" si="314"/>
        <v>-49.711341131031823</v>
      </c>
      <c r="AX465" s="61">
        <f t="shared" si="315"/>
        <v>-167.29018941790599</v>
      </c>
    </row>
    <row r="466" spans="14:50" x14ac:dyDescent="0.3">
      <c r="N466" s="10">
        <v>48</v>
      </c>
      <c r="O466" s="50">
        <f t="shared" si="316"/>
        <v>301995.17204020242</v>
      </c>
      <c r="P466" s="48" t="str">
        <f t="shared" si="281"/>
        <v>51201.9230769231</v>
      </c>
      <c r="Q466" s="17" t="str">
        <f t="shared" si="282"/>
        <v>1+88671.2433761399i</v>
      </c>
      <c r="R466" s="17">
        <f t="shared" si="291"/>
        <v>88671.24338177871</v>
      </c>
      <c r="S466" s="17">
        <f t="shared" si="292"/>
        <v>1.5707850491815252</v>
      </c>
      <c r="T466" s="17" t="str">
        <f t="shared" si="283"/>
        <v>1+5.69247488340652E-06i</v>
      </c>
      <c r="U466" s="17">
        <f t="shared" si="293"/>
        <v>1.0000000000162022</v>
      </c>
      <c r="V466" s="17">
        <f t="shared" si="294"/>
        <v>5.6924748833450327E-6</v>
      </c>
      <c r="W466" s="31" t="str">
        <f t="shared" si="284"/>
        <v>1-3.07393643703952i</v>
      </c>
      <c r="X466" s="17">
        <f t="shared" si="295"/>
        <v>3.2325044808877244</v>
      </c>
      <c r="Y466" s="17">
        <f t="shared" si="296"/>
        <v>-1.2562788507503093</v>
      </c>
      <c r="Z466" s="31" t="str">
        <f t="shared" si="285"/>
        <v>-35.4804335742366+187.582684144806i</v>
      </c>
      <c r="AA466" s="17">
        <f t="shared" si="297"/>
        <v>190.90868120016401</v>
      </c>
      <c r="AB466" s="17">
        <f t="shared" si="298"/>
        <v>1.7577334837583412</v>
      </c>
      <c r="AC466" s="66" t="str">
        <f t="shared" si="299"/>
        <v>-0.00124416871615469+0.00969777063544633i</v>
      </c>
      <c r="AD466" s="64">
        <f t="shared" si="300"/>
        <v>-40.195661349948892</v>
      </c>
      <c r="AE466" s="61">
        <f t="shared" si="301"/>
        <v>97.310786146716836</v>
      </c>
      <c r="AF466" s="31" t="str">
        <f t="shared" si="286"/>
        <v>-0.332666666666667</v>
      </c>
      <c r="AG466" s="31" t="str">
        <f t="shared" si="302"/>
        <v>1897491.62780217i</v>
      </c>
      <c r="AH466" s="31">
        <f t="shared" si="303"/>
        <v>1897491.6278021701</v>
      </c>
      <c r="AI466" s="31">
        <f t="shared" si="304"/>
        <v>1.5707963267948966</v>
      </c>
      <c r="AJ466" s="31" t="str">
        <f t="shared" si="287"/>
        <v>-192095.402840248+15647.6020914469i</v>
      </c>
      <c r="AK466" s="31">
        <f t="shared" si="305"/>
        <v>192731.65604946532</v>
      </c>
      <c r="AL466" s="31">
        <f t="shared" si="306"/>
        <v>3.0603146528423624</v>
      </c>
      <c r="AM466" s="31" t="str">
        <f t="shared" si="288"/>
        <v>1+56930896.7069393i</v>
      </c>
      <c r="AN466" s="31">
        <f t="shared" si="307"/>
        <v>56930896.706939302</v>
      </c>
      <c r="AO466" s="31">
        <f t="shared" si="308"/>
        <v>1.5707963092297421</v>
      </c>
      <c r="AP466" s="31" t="str">
        <f t="shared" si="289"/>
        <v>1+6147.87287407903i</v>
      </c>
      <c r="AQ466" s="31">
        <f t="shared" si="309"/>
        <v>6147.8729554079728</v>
      </c>
      <c r="AR466" s="31">
        <f t="shared" si="310"/>
        <v>1.5706336689111597</v>
      </c>
      <c r="AS466" s="58" t="str">
        <f t="shared" si="311"/>
        <v>-0.0257973935567938+0.317335706402896i</v>
      </c>
      <c r="AT466" s="49">
        <f t="shared" si="312"/>
        <v>-9.9410145246487129</v>
      </c>
      <c r="AU466" s="61">
        <f t="shared" si="313"/>
        <v>94.647565793437039</v>
      </c>
      <c r="AV466" s="58" t="str">
        <f t="shared" si="290"/>
        <v>-0.00304535258511093-0.00064499636413146i</v>
      </c>
      <c r="AW466" s="64">
        <f t="shared" si="314"/>
        <v>-50.136675874597607</v>
      </c>
      <c r="AX466" s="61">
        <f t="shared" si="315"/>
        <v>-168.04164805984612</v>
      </c>
    </row>
    <row r="467" spans="14:50" x14ac:dyDescent="0.3">
      <c r="N467" s="10">
        <v>49</v>
      </c>
      <c r="O467" s="50">
        <f t="shared" si="316"/>
        <v>309029.54325135931</v>
      </c>
      <c r="P467" s="48" t="str">
        <f t="shared" ref="P467:P530" si="317">COMPLEX(Adc,0)</f>
        <v>51201.9230769231</v>
      </c>
      <c r="Q467" s="17" t="str">
        <f t="shared" ref="Q467:Q530" si="318">IMSUM(COMPLEX(1,0),IMDIV(COMPLEX(0,2*PI()*O467),COMPLEX(wp_lf,0)))</f>
        <v>1+90736.6619636251i</v>
      </c>
      <c r="R467" s="17">
        <f t="shared" si="291"/>
        <v>90736.661969135544</v>
      </c>
      <c r="S467" s="17">
        <f t="shared" si="292"/>
        <v>1.5707853058913466</v>
      </c>
      <c r="T467" s="17" t="str">
        <f t="shared" ref="T467:T530" si="319">IMSUM(COMPLEX(1,0),IMDIV(COMPLEX(0,2*PI()*O467),COMPLEX(wz_esr,0)))</f>
        <v>1+5.82506965692409E-06i</v>
      </c>
      <c r="U467" s="17">
        <f t="shared" si="293"/>
        <v>1.0000000000169658</v>
      </c>
      <c r="V467" s="17">
        <f t="shared" si="294"/>
        <v>5.8250696568582057E-6</v>
      </c>
      <c r="W467" s="31" t="str">
        <f t="shared" ref="W467:W530" si="320">IMSUB(COMPLEX(1,0),IMDIV(COMPLEX(0,2*PI()*O467),COMPLEX(wz_rhp,0)))</f>
        <v>1-3.145537614739i</v>
      </c>
      <c r="X467" s="17">
        <f t="shared" si="295"/>
        <v>3.3006676424229568</v>
      </c>
      <c r="Y467" s="17">
        <f t="shared" si="296"/>
        <v>-1.2629897774351551</v>
      </c>
      <c r="Z467" s="31" t="str">
        <f t="shared" ref="Z467:Z530" si="321">IMSUM(COMPLEX(1,0),IMDIV(COMPLEX(0,2*PI()*O467),COMPLEX(Q*(wsl/2),0)),IMDIV(IMPOWER(COMPLEX(0,2*PI()*O467),2),IMPOWER(COMPLEX(wsl/2,0),2)))</f>
        <v>-37.1997034408576+191.952046158594i</v>
      </c>
      <c r="AA467" s="17">
        <f t="shared" si="297"/>
        <v>195.52341537667232</v>
      </c>
      <c r="AB467" s="17">
        <f t="shared" si="298"/>
        <v>1.7622202743644957</v>
      </c>
      <c r="AC467" s="66" t="str">
        <f t="shared" si="299"/>
        <v>-0.00110630856521549+0.00946145081814488i</v>
      </c>
      <c r="AD467" s="64">
        <f t="shared" si="300"/>
        <v>-40.421870093823756</v>
      </c>
      <c r="AE467" s="61">
        <f t="shared" si="301"/>
        <v>96.669197094493356</v>
      </c>
      <c r="AF467" s="31" t="str">
        <f t="shared" ref="AF467:AF530" si="322">COMPLEX(Adc_ea_iso,0)</f>
        <v>-0.332666666666667</v>
      </c>
      <c r="AG467" s="31" t="str">
        <f t="shared" si="302"/>
        <v>1941689.88564136i</v>
      </c>
      <c r="AH467" s="31">
        <f t="shared" si="303"/>
        <v>1941689.88564136</v>
      </c>
      <c r="AI467" s="31">
        <f t="shared" si="304"/>
        <v>1.5707963267948966</v>
      </c>
      <c r="AJ467" s="31" t="str">
        <f t="shared" ref="AJ467:AJ530" si="323">IMSUM(IMPRODUCT(COMPLEX(wpA_ea_iso,0),IMPOWER(COMPLEX(0,2*PI()*O467),2)),COMPLEX(0,wpB_ea_iso*2*PI()*O467),COMPLEX(1,0))</f>
        <v>-201148.62739191+16012.0815661752i</v>
      </c>
      <c r="AK467" s="31">
        <f t="shared" si="305"/>
        <v>201784.92772685303</v>
      </c>
      <c r="AL467" s="31">
        <f t="shared" si="306"/>
        <v>3.0621569216005327</v>
      </c>
      <c r="AM467" s="31" t="str">
        <f t="shared" ref="AM467:AM530" si="324">IMSUM(COMPLEX(1,0),IMDIV(COMPLEX(0,2*PI()*O467),COMPLEX(wz1_ea_iso,0)))</f>
        <v>1+58256987.6444704i</v>
      </c>
      <c r="AN467" s="31">
        <f t="shared" si="307"/>
        <v>58256987.644470401</v>
      </c>
      <c r="AO467" s="31">
        <f t="shared" si="308"/>
        <v>1.5707963096295738</v>
      </c>
      <c r="AP467" s="31" t="str">
        <f t="shared" ref="AP467:AP530" si="325">IMSUM(COMPLEX(1,0),IMDIV(COMPLEX(0,2*PI()*O467),COMPLEX(wz2_ea_iso,0)))</f>
        <v>1+6291.07522947801i</v>
      </c>
      <c r="AQ467" s="31">
        <f t="shared" si="309"/>
        <v>6291.0753089556792</v>
      </c>
      <c r="AR467" s="31">
        <f t="shared" si="310"/>
        <v>1.570637371456564</v>
      </c>
      <c r="AS467" s="58" t="str">
        <f t="shared" si="311"/>
        <v>-0.0246436191230902+0.310204035354853i</v>
      </c>
      <c r="AT467" s="49">
        <f t="shared" si="312"/>
        <v>-10.139727939757556</v>
      </c>
      <c r="AU467" s="61">
        <f t="shared" si="313"/>
        <v>94.542223731998888</v>
      </c>
      <c r="AV467" s="58" t="str">
        <f t="shared" ref="AV467:AV530" si="326">IMPRODUCT(AC467,AS467)</f>
        <v>-0.00290771677718623-0.000576345771591695i</v>
      </c>
      <c r="AW467" s="64">
        <f t="shared" si="314"/>
        <v>-50.561598033581333</v>
      </c>
      <c r="AX467" s="61">
        <f t="shared" si="315"/>
        <v>-168.78857917350771</v>
      </c>
    </row>
    <row r="468" spans="14:50" x14ac:dyDescent="0.3">
      <c r="N468" s="10">
        <v>50</v>
      </c>
      <c r="O468" s="50">
        <f t="shared" si="316"/>
        <v>316227.7660168382</v>
      </c>
      <c r="P468" s="48" t="str">
        <f t="shared" si="317"/>
        <v>51201.9230769231</v>
      </c>
      <c r="Q468" s="17" t="str">
        <f t="shared" si="318"/>
        <v>1+92850.1903303251i</v>
      </c>
      <c r="R468" s="17">
        <f t="shared" ref="R468:R531" si="327">IMABS(Q468)</f>
        <v>92850.190335710111</v>
      </c>
      <c r="S468" s="17">
        <f t="shared" ref="S468:S531" si="328">IMARGUMENT(Q468)</f>
        <v>1.5707855567577389</v>
      </c>
      <c r="T468" s="17" t="str">
        <f t="shared" si="319"/>
        <v>1+5.96075295947767E-06i</v>
      </c>
      <c r="U468" s="17">
        <f t="shared" ref="U468:U531" si="329">IMABS(T468)</f>
        <v>1.0000000000177653</v>
      </c>
      <c r="V468" s="17">
        <f t="shared" ref="V468:V531" si="330">IMARGUMENT(T468)</f>
        <v>5.9607529594070738E-6</v>
      </c>
      <c r="W468" s="31" t="str">
        <f t="shared" si="320"/>
        <v>1-3.21880659811794i</v>
      </c>
      <c r="X468" s="17">
        <f t="shared" ref="X468:X531" si="331">IMABS(W468)</f>
        <v>3.3705661121075177</v>
      </c>
      <c r="Y468" s="17">
        <f t="shared" ref="Y468:Y531" si="332">IMARGUMENT(W468)</f>
        <v>-1.2695757309271287</v>
      </c>
      <c r="Z468" s="31" t="str">
        <f t="shared" si="321"/>
        <v>-39+196.423183688041i</v>
      </c>
      <c r="AA468" s="17">
        <f t="shared" ref="AA468:AA531" si="333">IMABS(Z468)</f>
        <v>200.25750195721983</v>
      </c>
      <c r="AB468" s="17">
        <f t="shared" ref="AB468:AB531" si="334">IMARGUMENT(Z468)</f>
        <v>1.7667981342403669</v>
      </c>
      <c r="AC468" s="66" t="str">
        <f t="shared" ref="AC468:AC531" si="335">(IMDIV(IMPRODUCT(P468,T468,W468),IMPRODUCT(Q468,Z468)))</f>
        <v>-0.000974940208705519+0.00923013978106346i</v>
      </c>
      <c r="AD468" s="64">
        <f t="shared" ref="AD468:AD531" si="336">20*LOG(IMABS(AC468))</f>
        <v>-40.647649397779716</v>
      </c>
      <c r="AE468" s="61">
        <f t="shared" ref="AE468:AE531" si="337">(180/PI())*IMARGUMENT(AC468)</f>
        <v>96.02955110573923</v>
      </c>
      <c r="AF468" s="31" t="str">
        <f t="shared" si="322"/>
        <v>-0.332666666666667</v>
      </c>
      <c r="AG468" s="31" t="str">
        <f t="shared" ref="AG468:AG531" si="338">COMPLEX(0,1*2*PI()*O468)</f>
        <v>1986917.65315922i</v>
      </c>
      <c r="AH468" s="31">
        <f t="shared" ref="AH468:AH531" si="339">IMABS(AG468)</f>
        <v>1986917.65315922</v>
      </c>
      <c r="AI468" s="31">
        <f t="shared" ref="AI468:AI531" si="340">IMARGUMENT(AG468)</f>
        <v>1.5707963267948966</v>
      </c>
      <c r="AJ468" s="31" t="str">
        <f t="shared" si="323"/>
        <v>-210628.517271869+16385.050858495i</v>
      </c>
      <c r="AK468" s="31">
        <f t="shared" ref="AK468:AK531" si="341">IMABS(AJ468)</f>
        <v>211264.86262457722</v>
      </c>
      <c r="AL468" s="31">
        <f t="shared" ref="AL468:AL531" si="342">IMARGUMENT(AJ468)</f>
        <v>3.063957776237221</v>
      </c>
      <c r="AM468" s="31" t="str">
        <f t="shared" si="324"/>
        <v>1+59613967.2079729i</v>
      </c>
      <c r="AN468" s="31">
        <f t="shared" ref="AN468:AN531" si="343">IMABS(AM468)</f>
        <v>59613967.207972899</v>
      </c>
      <c r="AO468" s="31">
        <f t="shared" ref="AO468:AO531" si="344">IMARGUMENT(AM468)</f>
        <v>1.5707963100203042</v>
      </c>
      <c r="AP468" s="31" t="str">
        <f t="shared" si="325"/>
        <v>1+6437.61319623587i</v>
      </c>
      <c r="AQ468" s="31">
        <f t="shared" ref="AQ468:AQ531" si="345">IMABS(AP468)</f>
        <v>6437.6132739044078</v>
      </c>
      <c r="AR468" s="31">
        <f t="shared" ref="AR468:AR531" si="346">IMARGUMENT(AP468)</f>
        <v>1.5706409897217495</v>
      </c>
      <c r="AS468" s="58" t="str">
        <f t="shared" ref="AS468:AS531" si="347">IMDIV(IMPRODUCT(AF468,AM468,AP468),IMPRODUCT(AG468,AJ468))</f>
        <v>-0.0235411346700684+0.303228625229318i</v>
      </c>
      <c r="AT468" s="49">
        <f t="shared" ref="AT468:AT531" si="348">20*LOG(IMABS(AS468))</f>
        <v>-10.338498904819071</v>
      </c>
      <c r="AU468" s="61">
        <f t="shared" ref="AU468:AU531" si="349">(180/PI())*IMARGUMENT(AS468)</f>
        <v>94.439249695511563</v>
      </c>
      <c r="AV468" s="58" t="str">
        <f t="shared" si="326"/>
        <v>-0.00277589139773791-0.000512917742776129i</v>
      </c>
      <c r="AW468" s="64">
        <f t="shared" ref="AW468:AW531" si="350">20*LOG(IMABS(AV468))</f>
        <v>-50.986148302598778</v>
      </c>
      <c r="AX468" s="61">
        <f t="shared" ref="AX468:AX531" si="351">(180/PI())*IMARGUMENT(AV468)</f>
        <v>-169.53119919874922</v>
      </c>
    </row>
    <row r="469" spans="14:50" x14ac:dyDescent="0.3">
      <c r="N469" s="10">
        <v>51</v>
      </c>
      <c r="O469" s="50">
        <f t="shared" si="316"/>
        <v>323593.65692962846</v>
      </c>
      <c r="P469" s="48" t="str">
        <f t="shared" si="317"/>
        <v>51201.9230769231</v>
      </c>
      <c r="Q469" s="17" t="str">
        <f t="shared" si="318"/>
        <v>1+95012.9490969559i</v>
      </c>
      <c r="R469" s="17">
        <f t="shared" si="327"/>
        <v>95012.949102218336</v>
      </c>
      <c r="S469" s="17">
        <f t="shared" si="328"/>
        <v>1.5707858019137151</v>
      </c>
      <c r="T469" s="17" t="str">
        <f t="shared" si="319"/>
        <v>1+6.09959673215026E-06i</v>
      </c>
      <c r="U469" s="17">
        <f t="shared" si="329"/>
        <v>1.0000000000186025</v>
      </c>
      <c r="V469" s="17">
        <f t="shared" si="330"/>
        <v>6.0995967320746147E-6</v>
      </c>
      <c r="W469" s="31" t="str">
        <f t="shared" si="320"/>
        <v>1-3.29378223536113i</v>
      </c>
      <c r="X469" s="17">
        <f t="shared" si="331"/>
        <v>3.4422378497106445</v>
      </c>
      <c r="Y469" s="17">
        <f t="shared" si="332"/>
        <v>-1.2760379170545464</v>
      </c>
      <c r="Z469" s="31" t="str">
        <f t="shared" si="321"/>
        <v>-40.885141922036+200.998467389448i</v>
      </c>
      <c r="AA469" s="17">
        <f t="shared" si="333"/>
        <v>205.11455024666586</v>
      </c>
      <c r="AB469" s="17">
        <f t="shared" si="334"/>
        <v>1.7714687809490171</v>
      </c>
      <c r="AC469" s="66" t="str">
        <f t="shared" si="335"/>
        <v>-0.00084978342308883+0.00900372316374393i</v>
      </c>
      <c r="AD469" s="64">
        <f t="shared" si="336"/>
        <v>-40.873042379183609</v>
      </c>
      <c r="AE469" s="61">
        <f t="shared" si="337"/>
        <v>95.391680678967305</v>
      </c>
      <c r="AF469" s="31" t="str">
        <f t="shared" si="322"/>
        <v>-0.332666666666667</v>
      </c>
      <c r="AG469" s="31" t="str">
        <f t="shared" si="338"/>
        <v>2033198.91071675i</v>
      </c>
      <c r="AH469" s="31">
        <f t="shared" si="339"/>
        <v>2033198.91071675</v>
      </c>
      <c r="AI469" s="31">
        <f t="shared" si="340"/>
        <v>1.5707963267948966</v>
      </c>
      <c r="AJ469" s="31" t="str">
        <f t="shared" si="323"/>
        <v>-220555.180597554+16766.7077216617i</v>
      </c>
      <c r="AK469" s="31">
        <f t="shared" si="341"/>
        <v>221191.56895379914</v>
      </c>
      <c r="AL469" s="31">
        <f t="shared" si="342"/>
        <v>3.0657181249515317</v>
      </c>
      <c r="AM469" s="31" t="str">
        <f t="shared" si="324"/>
        <v>1+61002554.8859733i</v>
      </c>
      <c r="AN469" s="31">
        <f t="shared" si="343"/>
        <v>61002554.885973297</v>
      </c>
      <c r="AO469" s="31">
        <f t="shared" si="344"/>
        <v>1.5707963104021405</v>
      </c>
      <c r="AP469" s="31" t="str">
        <f t="shared" si="325"/>
        <v>1+6587.56447072227i</v>
      </c>
      <c r="AQ469" s="31">
        <f t="shared" si="345"/>
        <v>6587.5645466228552</v>
      </c>
      <c r="AR469" s="31">
        <f t="shared" si="346"/>
        <v>1.570644525625168</v>
      </c>
      <c r="AS469" s="58" t="str">
        <f t="shared" si="347"/>
        <v>-0.0224876874477525+0.296406319263246i</v>
      </c>
      <c r="AT469" s="49">
        <f t="shared" si="348"/>
        <v>-10.537324860790731</v>
      </c>
      <c r="AU469" s="61">
        <f t="shared" si="349"/>
        <v>94.338591757930544</v>
      </c>
      <c r="AV469" s="58" t="str">
        <f t="shared" si="326"/>
        <v>-0.00264965077861386-0.000454354088981045i</v>
      </c>
      <c r="AW469" s="64">
        <f t="shared" si="350"/>
        <v>-51.410367239974363</v>
      </c>
      <c r="AX469" s="61">
        <f t="shared" si="351"/>
        <v>-170.26972756310212</v>
      </c>
    </row>
    <row r="470" spans="14:50" x14ac:dyDescent="0.3">
      <c r="N470" s="10">
        <v>52</v>
      </c>
      <c r="O470" s="50">
        <f t="shared" si="316"/>
        <v>331131.12148259126</v>
      </c>
      <c r="P470" s="48" t="str">
        <f t="shared" si="317"/>
        <v>51201.9230769231</v>
      </c>
      <c r="Q470" s="17" t="str">
        <f t="shared" si="318"/>
        <v>1+97226.0849868433i</v>
      </c>
      <c r="R470" s="17">
        <f t="shared" si="327"/>
        <v>97226.084991985947</v>
      </c>
      <c r="S470" s="17">
        <f t="shared" si="328"/>
        <v>1.5707860414892598</v>
      </c>
      <c r="T470" s="17" t="str">
        <f t="shared" si="319"/>
        <v>1+6.24167459174797E-06i</v>
      </c>
      <c r="U470" s="17">
        <f t="shared" si="329"/>
        <v>1.0000000000194791</v>
      </c>
      <c r="V470" s="17">
        <f t="shared" si="330"/>
        <v>6.2416745916669145E-6</v>
      </c>
      <c r="W470" s="31" t="str">
        <f t="shared" si="320"/>
        <v>1-3.3705042795439i</v>
      </c>
      <c r="X470" s="17">
        <f t="shared" si="331"/>
        <v>3.5157217037791457</v>
      </c>
      <c r="Y470" s="17">
        <f t="shared" si="332"/>
        <v>-1.2823776024854787</v>
      </c>
      <c r="Z470" s="31" t="str">
        <f t="shared" si="321"/>
        <v>-42.8591278457277+205.680323138794i</v>
      </c>
      <c r="AA470" s="17">
        <f t="shared" si="333"/>
        <v>210.09831071709058</v>
      </c>
      <c r="AB470" s="17">
        <f t="shared" si="334"/>
        <v>1.7762339346806755</v>
      </c>
      <c r="AC470" s="66" t="str">
        <f t="shared" si="335"/>
        <v>-0.000730571013166983+0.00878208914214899i</v>
      </c>
      <c r="AD470" s="64">
        <f t="shared" si="336"/>
        <v>-41.098091919755518</v>
      </c>
      <c r="AE470" s="61">
        <f t="shared" si="337"/>
        <v>94.75541467657338</v>
      </c>
      <c r="AF470" s="31" t="str">
        <f t="shared" si="322"/>
        <v>-0.332666666666667</v>
      </c>
      <c r="AG470" s="31" t="str">
        <f t="shared" si="338"/>
        <v>2080558.19724932i</v>
      </c>
      <c r="AH470" s="31">
        <f t="shared" si="339"/>
        <v>2080558.1972493201</v>
      </c>
      <c r="AI470" s="31">
        <f t="shared" si="340"/>
        <v>1.5707963267948966</v>
      </c>
      <c r="AJ470" s="31" t="str">
        <f t="shared" si="323"/>
        <v>-230949.67315277+17157.254515196i</v>
      </c>
      <c r="AK470" s="31">
        <f t="shared" si="341"/>
        <v>231586.10258793703</v>
      </c>
      <c r="AL470" s="31">
        <f t="shared" si="342"/>
        <v>3.0674388575424985</v>
      </c>
      <c r="AM470" s="31" t="str">
        <f t="shared" si="324"/>
        <v>1+62423486.9260388i</v>
      </c>
      <c r="AN470" s="31">
        <f t="shared" si="343"/>
        <v>62423486.926038802</v>
      </c>
      <c r="AO470" s="31">
        <f t="shared" si="344"/>
        <v>1.5707963107752854</v>
      </c>
      <c r="AP470" s="31" t="str">
        <f t="shared" si="325"/>
        <v>1+6741.0085590878i</v>
      </c>
      <c r="AQ470" s="31">
        <f t="shared" si="345"/>
        <v>6741.008633260677</v>
      </c>
      <c r="AR470" s="31">
        <f t="shared" si="346"/>
        <v>1.5706479810416019</v>
      </c>
      <c r="AS470" s="58" t="str">
        <f t="shared" si="347"/>
        <v>-0.0214811212608116+0.289734006417907i</v>
      </c>
      <c r="AT470" s="49">
        <f t="shared" si="348"/>
        <v>-10.736203361090201</v>
      </c>
      <c r="AU470" s="61">
        <f t="shared" si="349"/>
        <v>94.240199044955247</v>
      </c>
      <c r="AV470" s="58" t="str">
        <f t="shared" si="326"/>
        <v>-0.00252877638735055-0.000400320388403419i</v>
      </c>
      <c r="AW470" s="64">
        <f t="shared" si="350"/>
        <v>-51.83429528084573</v>
      </c>
      <c r="AX470" s="61">
        <f t="shared" si="351"/>
        <v>-171.00438627847134</v>
      </c>
    </row>
    <row r="471" spans="14:50" x14ac:dyDescent="0.3">
      <c r="N471" s="10">
        <v>53</v>
      </c>
      <c r="O471" s="50">
        <f t="shared" si="316"/>
        <v>338844.15613920329</v>
      </c>
      <c r="P471" s="48" t="str">
        <f t="shared" si="317"/>
        <v>51201.9230769231</v>
      </c>
      <c r="Q471" s="17" t="str">
        <f t="shared" si="318"/>
        <v>1+99490.7714339298i</v>
      </c>
      <c r="R471" s="17">
        <f t="shared" si="327"/>
        <v>99490.771438955388</v>
      </c>
      <c r="S471" s="17">
        <f t="shared" si="328"/>
        <v>1.5707862756113993</v>
      </c>
      <c r="T471" s="17" t="str">
        <f t="shared" si="319"/>
        <v>1+6.38706186983254E-06i</v>
      </c>
      <c r="U471" s="17">
        <f t="shared" si="329"/>
        <v>1.0000000000203972</v>
      </c>
      <c r="V471" s="17">
        <f t="shared" si="330"/>
        <v>6.3870618697456879E-6</v>
      </c>
      <c r="W471" s="31" t="str">
        <f t="shared" si="320"/>
        <v>1-3.44901340970957i</v>
      </c>
      <c r="X471" s="17">
        <f t="shared" si="331"/>
        <v>3.5910574348451227</v>
      </c>
      <c r="Y471" s="17">
        <f t="shared" si="332"/>
        <v>-1.2885961094265226</v>
      </c>
      <c r="Z471" s="31" t="str">
        <f t="shared" si="321"/>
        <v>-44.9261448598757+210.471233317969i</v>
      </c>
      <c r="AA471" s="17">
        <f t="shared" si="333"/>
        <v>215.21268212249362</v>
      </c>
      <c r="AB471" s="17">
        <f t="shared" si="334"/>
        <v>1.7810953163094039</v>
      </c>
      <c r="AC471" s="66" t="str">
        <f t="shared" si="335"/>
        <v>-0.000617048233647779+0.00856512840182927i</v>
      </c>
      <c r="AD471" s="64">
        <f t="shared" si="336"/>
        <v>-41.322840685859617</v>
      </c>
      <c r="AE471" s="61">
        <f t="shared" si="337"/>
        <v>94.12057873991715</v>
      </c>
      <c r="AF471" s="31" t="str">
        <f t="shared" si="322"/>
        <v>-0.332666666666667</v>
      </c>
      <c r="AG471" s="31" t="str">
        <f t="shared" si="338"/>
        <v>2129020.62327751i</v>
      </c>
      <c r="AH471" s="31">
        <f t="shared" si="339"/>
        <v>2129020.6232775101</v>
      </c>
      <c r="AI471" s="31">
        <f t="shared" si="340"/>
        <v>1.5707963267948966</v>
      </c>
      <c r="AJ471" s="31" t="str">
        <f t="shared" si="323"/>
        <v>-241834.043049838+17556.8983121774i</v>
      </c>
      <c r="AK471" s="31">
        <f t="shared" si="341"/>
        <v>242470.51172498279</v>
      </c>
      <c r="AL471" s="31">
        <f t="shared" si="342"/>
        <v>3.0691208456794108</v>
      </c>
      <c r="AM471" s="31" t="str">
        <f t="shared" si="324"/>
        <v>1+63877516.7251448i</v>
      </c>
      <c r="AN471" s="31">
        <f t="shared" si="343"/>
        <v>63877516.725144804</v>
      </c>
      <c r="AO471" s="31">
        <f t="shared" si="344"/>
        <v>1.5707963111399361</v>
      </c>
      <c r="AP471" s="31" t="str">
        <f t="shared" si="325"/>
        <v>1+6898.02681941913i</v>
      </c>
      <c r="AQ471" s="31">
        <f t="shared" si="345"/>
        <v>6898.0268919036271</v>
      </c>
      <c r="AR471" s="31">
        <f t="shared" si="346"/>
        <v>1.5706513578031585</v>
      </c>
      <c r="AS471" s="58" t="str">
        <f t="shared" si="347"/>
        <v>-0.0205193725402859+0.283208622020349i</v>
      </c>
      <c r="AT471" s="49">
        <f t="shared" si="348"/>
        <v>-10.935132066769622</v>
      </c>
      <c r="AU471" s="61">
        <f t="shared" si="349"/>
        <v>94.144021718597685</v>
      </c>
      <c r="AV471" s="58" t="str">
        <f t="shared" si="326"/>
        <v>-0.00241305676952788-0.000350504440503996i</v>
      </c>
      <c r="AW471" s="64">
        <f t="shared" si="350"/>
        <v>-52.257972752629236</v>
      </c>
      <c r="AX471" s="61">
        <f t="shared" si="351"/>
        <v>-171.73539954148515</v>
      </c>
    </row>
    <row r="472" spans="14:50" x14ac:dyDescent="0.3">
      <c r="N472" s="10">
        <v>54</v>
      </c>
      <c r="O472" s="50">
        <f t="shared" si="316"/>
        <v>346736.85045253241</v>
      </c>
      <c r="P472" s="48" t="str">
        <f t="shared" si="317"/>
        <v>51201.9230769231</v>
      </c>
      <c r="Q472" s="17" t="str">
        <f t="shared" si="318"/>
        <v>1+101808.209204947i</v>
      </c>
      <c r="R472" s="17">
        <f t="shared" si="327"/>
        <v>101808.20920985818</v>
      </c>
      <c r="S472" s="17">
        <f t="shared" si="328"/>
        <v>1.5707865044042684</v>
      </c>
      <c r="T472" s="17" t="str">
        <f t="shared" si="319"/>
        <v>1+6.53583565266325E-06i</v>
      </c>
      <c r="U472" s="17">
        <f t="shared" si="329"/>
        <v>1.0000000000213585</v>
      </c>
      <c r="V472" s="17">
        <f t="shared" si="330"/>
        <v>6.5358356525701856E-6</v>
      </c>
      <c r="W472" s="31" t="str">
        <f t="shared" si="320"/>
        <v>1-3.52935125243815i</v>
      </c>
      <c r="X472" s="17">
        <f t="shared" si="331"/>
        <v>3.6682857390185322</v>
      </c>
      <c r="Y472" s="17">
        <f t="shared" si="332"/>
        <v>-1.2946948105306166</v>
      </c>
      <c r="Z472" s="31" t="str">
        <f t="shared" si="321"/>
        <v>-47.090577384697+215.373738130965i</v>
      </c>
      <c r="AA472" s="17">
        <f t="shared" si="333"/>
        <v>220.46171902380155</v>
      </c>
      <c r="AB472" s="17">
        <f t="shared" si="334"/>
        <v>1.7860546452981654</v>
      </c>
      <c r="AC472" s="66" t="str">
        <f t="shared" si="335"/>
        <v>-0.000508972236168725+0.00835273411157102i</v>
      </c>
      <c r="AD472" s="64">
        <f t="shared" si="336"/>
        <v>-41.547331150709581</v>
      </c>
      <c r="AE472" s="61">
        <f t="shared" si="337"/>
        <v>93.486995701111923</v>
      </c>
      <c r="AF472" s="31" t="str">
        <f t="shared" si="322"/>
        <v>-0.332666666666667</v>
      </c>
      <c r="AG472" s="31" t="str">
        <f t="shared" si="338"/>
        <v>2178611.88422108i</v>
      </c>
      <c r="AH472" s="31">
        <f t="shared" si="339"/>
        <v>2178611.8842210802</v>
      </c>
      <c r="AI472" s="31">
        <f t="shared" si="340"/>
        <v>1.5707963267948966</v>
      </c>
      <c r="AJ472" s="31" t="str">
        <f t="shared" si="323"/>
        <v>-253231.377496604+17965.8510090369i</v>
      </c>
      <c r="AK472" s="31">
        <f t="shared" si="341"/>
        <v>253867.88365468066</v>
      </c>
      <c r="AL472" s="31">
        <f t="shared" si="342"/>
        <v>3.0707649431755555</v>
      </c>
      <c r="AM472" s="31" t="str">
        <f t="shared" si="324"/>
        <v>1+65365415.2291374i</v>
      </c>
      <c r="AN472" s="31">
        <f t="shared" si="343"/>
        <v>65365415.229137398</v>
      </c>
      <c r="AO472" s="31">
        <f t="shared" si="344"/>
        <v>1.5707963114962866</v>
      </c>
      <c r="AP472" s="31" t="str">
        <f t="shared" si="325"/>
        <v>1+7058.7025048763i</v>
      </c>
      <c r="AQ472" s="31">
        <f t="shared" si="345"/>
        <v>7058.7025757108477</v>
      </c>
      <c r="AR472" s="31">
        <f t="shared" si="346"/>
        <v>1.5706546577002409</v>
      </c>
      <c r="AS472" s="58" t="str">
        <f t="shared" si="347"/>
        <v>-0.0196004665564159+0.276827148284579i</v>
      </c>
      <c r="AT472" s="49">
        <f t="shared" si="348"/>
        <v>-11.134108741887108</v>
      </c>
      <c r="AU472" s="61">
        <f t="shared" si="349"/>
        <v>94.050010961553596</v>
      </c>
      <c r="AV472" s="58" t="str">
        <f t="shared" si="326"/>
        <v>-0.00230228747119236-0.000304614818303095i</v>
      </c>
      <c r="AW472" s="64">
        <f t="shared" si="350"/>
        <v>-52.6814398925967</v>
      </c>
      <c r="AX472" s="61">
        <f t="shared" si="351"/>
        <v>-172.46299333733447</v>
      </c>
    </row>
    <row r="473" spans="14:50" x14ac:dyDescent="0.3">
      <c r="N473" s="10">
        <v>55</v>
      </c>
      <c r="O473" s="50">
        <f t="shared" si="316"/>
        <v>354813.38923357555</v>
      </c>
      <c r="P473" s="48" t="str">
        <f t="shared" si="317"/>
        <v>51201.9230769231</v>
      </c>
      <c r="Q473" s="17" t="str">
        <f t="shared" si="318"/>
        <v>1+104179.627036074i</v>
      </c>
      <c r="R473" s="17">
        <f t="shared" si="327"/>
        <v>104179.6270408734</v>
      </c>
      <c r="S473" s="17">
        <f t="shared" si="328"/>
        <v>1.5707867279891761</v>
      </c>
      <c r="T473" s="17" t="str">
        <f t="shared" si="319"/>
        <v>1+6.68807482206898E-06i</v>
      </c>
      <c r="U473" s="17">
        <f t="shared" si="329"/>
        <v>1.0000000000223652</v>
      </c>
      <c r="V473" s="17">
        <f t="shared" si="330"/>
        <v>6.6880748219692594E-6</v>
      </c>
      <c r="W473" s="31" t="str">
        <f t="shared" si="320"/>
        <v>1-3.61156040391724i</v>
      </c>
      <c r="X473" s="17">
        <f t="shared" si="331"/>
        <v>3.7474482719769275</v>
      </c>
      <c r="Y473" s="17">
        <f t="shared" si="332"/>
        <v>-1.3006751240167134</v>
      </c>
      <c r="Z473" s="31" t="str">
        <f t="shared" si="321"/>
        <v>-49.3570164717666+220.390436950726i</v>
      </c>
      <c r="AA473" s="17">
        <f t="shared" si="333"/>
        <v>225.8496397480549</v>
      </c>
      <c r="AB473" s="17">
        <f t="shared" si="334"/>
        <v>1.791113637445749</v>
      </c>
      <c r="AC473" s="66" t="str">
        <f t="shared" si="335"/>
        <v>-0.000406111540547025+0.0081448018975874i</v>
      </c>
      <c r="AD473" s="64">
        <f t="shared" si="336"/>
        <v>-41.771605618250518</v>
      </c>
      <c r="AE473" s="61">
        <f t="shared" si="337"/>
        <v>92.854485991737448</v>
      </c>
      <c r="AF473" s="31" t="str">
        <f t="shared" si="322"/>
        <v>-0.332666666666667</v>
      </c>
      <c r="AG473" s="31" t="str">
        <f t="shared" si="338"/>
        <v>2229358.27402299i</v>
      </c>
      <c r="AH473" s="31">
        <f t="shared" si="339"/>
        <v>2229358.2740229899</v>
      </c>
      <c r="AI473" s="31">
        <f t="shared" si="340"/>
        <v>1.5707963267948966</v>
      </c>
      <c r="AJ473" s="31" t="str">
        <f t="shared" si="323"/>
        <v>-265165.851767493+18384.3294379076i</v>
      </c>
      <c r="AK473" s="31">
        <f t="shared" si="341"/>
        <v>265802.39372974349</v>
      </c>
      <c r="AL473" s="31">
        <f t="shared" si="342"/>
        <v>3.0723719862646885</v>
      </c>
      <c r="AM473" s="31" t="str">
        <f t="shared" si="324"/>
        <v>1+66887971.3414976i</v>
      </c>
      <c r="AN473" s="31">
        <f t="shared" si="343"/>
        <v>66887971.3414976</v>
      </c>
      <c r="AO473" s="31">
        <f t="shared" si="344"/>
        <v>1.5707963118445254</v>
      </c>
      <c r="AP473" s="31" t="str">
        <f t="shared" si="325"/>
        <v>1+7223.12080783449i</v>
      </c>
      <c r="AQ473" s="31">
        <f t="shared" si="345"/>
        <v>7223.1208770566454</v>
      </c>
      <c r="AR473" s="31">
        <f t="shared" si="346"/>
        <v>1.5706578824824982</v>
      </c>
      <c r="AS473" s="58" t="str">
        <f t="shared" si="347"/>
        <v>-0.0187225137692424+0.270586614721584i</v>
      </c>
      <c r="AT473" s="49">
        <f t="shared" si="348"/>
        <v>-11.333131249067263</v>
      </c>
      <c r="AU473" s="61">
        <f t="shared" si="349"/>
        <v>93.958118961416417</v>
      </c>
      <c r="AV473" s="58" t="str">
        <f t="shared" si="326"/>
        <v>-0.00219627094413637-0.000262379512631319i</v>
      </c>
      <c r="AW473" s="64">
        <f t="shared" si="350"/>
        <v>-53.104736867317783</v>
      </c>
      <c r="AX473" s="61">
        <f t="shared" si="351"/>
        <v>-173.18739504684612</v>
      </c>
    </row>
    <row r="474" spans="14:50" x14ac:dyDescent="0.3">
      <c r="N474" s="10">
        <v>56</v>
      </c>
      <c r="O474" s="50">
        <f t="shared" si="316"/>
        <v>363078.05477010203</v>
      </c>
      <c r="P474" s="48" t="str">
        <f t="shared" si="317"/>
        <v>51201.9230769231</v>
      </c>
      <c r="Q474" s="17" t="str">
        <f t="shared" si="318"/>
        <v>1+106606.282284438i</v>
      </c>
      <c r="R474" s="17">
        <f t="shared" si="327"/>
        <v>106606.28228912814</v>
      </c>
      <c r="S474" s="17">
        <f t="shared" si="328"/>
        <v>1.5707869464846698</v>
      </c>
      <c r="T474" s="17" t="str">
        <f t="shared" si="319"/>
        <v>1+6.84386009727256E-06i</v>
      </c>
      <c r="U474" s="17">
        <f t="shared" si="329"/>
        <v>1.000000000023419</v>
      </c>
      <c r="V474" s="17">
        <f t="shared" si="330"/>
        <v>6.8438600971657087E-6</v>
      </c>
      <c r="W474" s="31" t="str">
        <f t="shared" si="320"/>
        <v>1-3.69568445252718i</v>
      </c>
      <c r="X474" s="17">
        <f t="shared" si="331"/>
        <v>3.8285876733661359</v>
      </c>
      <c r="Y474" s="17">
        <f t="shared" si="332"/>
        <v>-1.3065385090027832</v>
      </c>
      <c r="Z474" s="31" t="str">
        <f t="shared" si="321"/>
        <v>-51.7302695422566+225.523989697372i</v>
      </c>
      <c r="AA474" s="17">
        <f t="shared" si="333"/>
        <v>231.3808348068934</v>
      </c>
      <c r="AB474" s="17">
        <f t="shared" si="334"/>
        <v>1.7962740024691037</v>
      </c>
      <c r="AC474" s="66" t="str">
        <f t="shared" si="335"/>
        <v>-0.000308245529075962+0.0079412298183084i</v>
      </c>
      <c r="AD474" s="64">
        <f t="shared" si="336"/>
        <v>-41.995706248479657</v>
      </c>
      <c r="AE474" s="61">
        <f t="shared" si="337"/>
        <v>92.222868048759238</v>
      </c>
      <c r="AF474" s="31" t="str">
        <f t="shared" si="322"/>
        <v>-0.332666666666667</v>
      </c>
      <c r="AG474" s="31" t="str">
        <f t="shared" si="338"/>
        <v>2281286.69909085i</v>
      </c>
      <c r="AH474" s="31">
        <f t="shared" si="339"/>
        <v>2281286.6990908501</v>
      </c>
      <c r="AI474" s="31">
        <f t="shared" si="340"/>
        <v>1.5707963267948966</v>
      </c>
      <c r="AJ474" s="31" t="str">
        <f t="shared" si="323"/>
        <v>-277662.780482526+18812.5554815916i</v>
      </c>
      <c r="AK474" s="31">
        <f t="shared" si="341"/>
        <v>278299.35664502601</v>
      </c>
      <c r="AL474" s="31">
        <f t="shared" si="342"/>
        <v>3.073942793879624</v>
      </c>
      <c r="AM474" s="31" t="str">
        <f t="shared" si="324"/>
        <v>1+68445992.3416307i</v>
      </c>
      <c r="AN474" s="31">
        <f t="shared" si="343"/>
        <v>68445992.341630697</v>
      </c>
      <c r="AO474" s="31">
        <f t="shared" si="344"/>
        <v>1.5707963121848374</v>
      </c>
      <c r="AP474" s="31" t="str">
        <f t="shared" si="325"/>
        <v>1+7391.36890505435i</v>
      </c>
      <c r="AQ474" s="31">
        <f t="shared" si="345"/>
        <v>7391.3689727008186</v>
      </c>
      <c r="AR474" s="31">
        <f t="shared" si="346"/>
        <v>1.5706610338597524</v>
      </c>
      <c r="AS474" s="58" t="str">
        <f t="shared" si="347"/>
        <v>-0.017883706313527+0.264484098446674i</v>
      </c>
      <c r="AT474" s="49">
        <f t="shared" si="348"/>
        <v>-11.532197545245443</v>
      </c>
      <c r="AU474" s="61">
        <f t="shared" si="349"/>
        <v>93.868298894768373</v>
      </c>
      <c r="AV474" s="58" t="str">
        <f t="shared" si="326"/>
        <v>-0.00209481643653869-0.000223544662696725i</v>
      </c>
      <c r="AW474" s="64">
        <f t="shared" si="350"/>
        <v>-53.527903793725102</v>
      </c>
      <c r="AX474" s="61">
        <f t="shared" si="351"/>
        <v>-173.90883305647236</v>
      </c>
    </row>
    <row r="475" spans="14:50" x14ac:dyDescent="0.3">
      <c r="N475" s="10">
        <v>57</v>
      </c>
      <c r="O475" s="50">
        <f t="shared" si="316"/>
        <v>371535.2290971732</v>
      </c>
      <c r="P475" s="48" t="str">
        <f t="shared" si="317"/>
        <v>51201.9230769231</v>
      </c>
      <c r="Q475" s="17" t="str">
        <f t="shared" si="318"/>
        <v>1+109089.461594769i</v>
      </c>
      <c r="R475" s="17">
        <f t="shared" si="327"/>
        <v>109089.46159935241</v>
      </c>
      <c r="S475" s="17">
        <f t="shared" si="328"/>
        <v>1.5707871600065988</v>
      </c>
      <c r="T475" s="17" t="str">
        <f t="shared" si="319"/>
        <v>1+7.00327407768889E-06i</v>
      </c>
      <c r="U475" s="17">
        <f t="shared" si="329"/>
        <v>1.0000000000245231</v>
      </c>
      <c r="V475" s="17">
        <f t="shared" si="330"/>
        <v>7.0032740775743961E-6</v>
      </c>
      <c r="W475" s="31" t="str">
        <f t="shared" si="320"/>
        <v>1-3.78176800195199i</v>
      </c>
      <c r="X475" s="17">
        <f t="shared" si="331"/>
        <v>3.9117475916255069</v>
      </c>
      <c r="Y475" s="17">
        <f t="shared" si="332"/>
        <v>-1.3122864610523068</v>
      </c>
      <c r="Z475" s="31" t="str">
        <f t="shared" si="321"/>
        <v>-54.2153705841157+230.777118248518i</v>
      </c>
      <c r="AA475" s="17">
        <f t="shared" si="333"/>
        <v>237.05987580074247</v>
      </c>
      <c r="AB475" s="17">
        <f t="shared" si="334"/>
        <v>1.8015374414146579</v>
      </c>
      <c r="AC475" s="66" t="str">
        <f t="shared" si="335"/>
        <v>-0.000215163962736023+0.00774191833981538i</v>
      </c>
      <c r="AD475" s="64">
        <f t="shared" si="336"/>
        <v>-42.219675083967857</v>
      </c>
      <c r="AE475" s="61">
        <f t="shared" si="337"/>
        <v>91.591958718015846</v>
      </c>
      <c r="AF475" s="31" t="str">
        <f t="shared" si="322"/>
        <v>-0.332666666666667</v>
      </c>
      <c r="AG475" s="31" t="str">
        <f t="shared" si="338"/>
        <v>2334424.69256296i</v>
      </c>
      <c r="AH475" s="31">
        <f t="shared" si="339"/>
        <v>2334424.6925629601</v>
      </c>
      <c r="AI475" s="31">
        <f t="shared" si="340"/>
        <v>1.5707963267948966</v>
      </c>
      <c r="AJ475" s="31" t="str">
        <f t="shared" si="323"/>
        <v>-290748.671302991+19250.7561912056i</v>
      </c>
      <c r="AK475" s="31">
        <f t="shared" si="341"/>
        <v>291385.28013334499</v>
      </c>
      <c r="AL475" s="31">
        <f t="shared" si="342"/>
        <v>3.075478167932336</v>
      </c>
      <c r="AM475" s="31" t="str">
        <f t="shared" si="324"/>
        <v>1+70040304.3128928i</v>
      </c>
      <c r="AN475" s="31">
        <f t="shared" si="343"/>
        <v>70040304.312892795</v>
      </c>
      <c r="AO475" s="31">
        <f t="shared" si="344"/>
        <v>1.5707963125174029</v>
      </c>
      <c r="AP475" s="31" t="str">
        <f t="shared" si="325"/>
        <v>1+7563.53600390399i</v>
      </c>
      <c r="AQ475" s="31">
        <f t="shared" si="345"/>
        <v>7563.5360700106348</v>
      </c>
      <c r="AR475" s="31">
        <f t="shared" si="346"/>
        <v>1.5706641135029049</v>
      </c>
      <c r="AS475" s="58" t="str">
        <f t="shared" si="347"/>
        <v>-0.017082314614494+0.258516724392224i</v>
      </c>
      <c r="AT475" s="49">
        <f t="shared" si="348"/>
        <v>-11.731305677586478</v>
      </c>
      <c r="AU475" s="61">
        <f t="shared" si="349"/>
        <v>93.780504911183726</v>
      </c>
      <c r="AV475" s="58" t="str">
        <f t="shared" si="326"/>
        <v>-0.001997739871216-0.000187873367654215i</v>
      </c>
      <c r="AW475" s="64">
        <f t="shared" si="350"/>
        <v>-53.950980761554334</v>
      </c>
      <c r="AX475" s="61">
        <f t="shared" si="351"/>
        <v>-174.62753637080039</v>
      </c>
    </row>
    <row r="476" spans="14:50" x14ac:dyDescent="0.3">
      <c r="N476" s="10">
        <v>58</v>
      </c>
      <c r="O476" s="50">
        <f t="shared" si="316"/>
        <v>380189.39632056188</v>
      </c>
      <c r="P476" s="48" t="str">
        <f t="shared" si="317"/>
        <v>51201.9230769231</v>
      </c>
      <c r="Q476" s="17" t="str">
        <f t="shared" si="318"/>
        <v>1+111630.481581608i</v>
      </c>
      <c r="R476" s="17">
        <f t="shared" si="327"/>
        <v>111630.48158608704</v>
      </c>
      <c r="S476" s="17">
        <f t="shared" si="328"/>
        <v>1.5707873686681753</v>
      </c>
      <c r="T476" s="17" t="str">
        <f t="shared" si="319"/>
        <v>1+0.0000071664012867205i</v>
      </c>
      <c r="U476" s="17">
        <f t="shared" si="329"/>
        <v>1.0000000000256786</v>
      </c>
      <c r="V476" s="17">
        <f t="shared" si="330"/>
        <v>7.1664012865978176E-6</v>
      </c>
      <c r="W476" s="31" t="str">
        <f t="shared" si="320"/>
        <v>1-3.86985669482906i</v>
      </c>
      <c r="X476" s="17">
        <f t="shared" si="331"/>
        <v>3.9969727092530034</v>
      </c>
      <c r="Y476" s="17">
        <f t="shared" si="332"/>
        <v>-1.3179205079333653</v>
      </c>
      <c r="Z476" s="31" t="str">
        <f t="shared" si="321"/>
        <v>-56.8175908298374+236.152607882455i</v>
      </c>
      <c r="AA476" s="17">
        <f t="shared" si="333"/>
        <v>242.89152483648201</v>
      </c>
      <c r="AB476" s="17">
        <f t="shared" si="334"/>
        <v>1.8069056438924636</v>
      </c>
      <c r="AC476" s="66" t="str">
        <f t="shared" si="335"/>
        <v>-0.000126666518231469+0.00754677031195305i</v>
      </c>
      <c r="AD476" s="64">
        <f t="shared" si="336"/>
        <v>-42.443554077349162</v>
      </c>
      <c r="AE476" s="61">
        <f t="shared" si="337"/>
        <v>90.961573655675267</v>
      </c>
      <c r="AF476" s="31" t="str">
        <f t="shared" si="322"/>
        <v>-0.332666666666667</v>
      </c>
      <c r="AG476" s="31" t="str">
        <f t="shared" si="338"/>
        <v>2388800.42890683i</v>
      </c>
      <c r="AH476" s="31">
        <f t="shared" si="339"/>
        <v>2388800.42890683</v>
      </c>
      <c r="AI476" s="31">
        <f t="shared" si="340"/>
        <v>1.5707963267948966</v>
      </c>
      <c r="AJ476" s="31" t="str">
        <f t="shared" si="323"/>
        <v>-304451.281157777+19699.163906566i</v>
      </c>
      <c r="AK476" s="31">
        <f t="shared" si="341"/>
        <v>305087.92119195662</v>
      </c>
      <c r="AL476" s="31">
        <f t="shared" si="342"/>
        <v>3.0769788935950713</v>
      </c>
      <c r="AM476" s="31" t="str">
        <f t="shared" si="324"/>
        <v>1+71671752.5805947i</v>
      </c>
      <c r="AN476" s="31">
        <f t="shared" si="343"/>
        <v>71671752.580594704</v>
      </c>
      <c r="AO476" s="31">
        <f t="shared" si="344"/>
        <v>1.5707963128423985</v>
      </c>
      <c r="AP476" s="31" t="str">
        <f t="shared" si="325"/>
        <v>1+7739.71338965813i</v>
      </c>
      <c r="AQ476" s="31">
        <f t="shared" si="345"/>
        <v>7739.7134542600052</v>
      </c>
      <c r="AR476" s="31">
        <f t="shared" si="346"/>
        <v>1.5706671230448235</v>
      </c>
      <c r="AS476" s="58" t="str">
        <f t="shared" si="347"/>
        <v>-0.0163166841308139+0.25268166543322i</v>
      </c>
      <c r="AT476" s="49">
        <f t="shared" si="348"/>
        <v>-11.930453779574549</v>
      </c>
      <c r="AU476" s="61">
        <f t="shared" si="349"/>
        <v>93.694692117173091</v>
      </c>
      <c r="AV476" s="58" t="str">
        <f t="shared" si="326"/>
        <v>-0.00190486371349835-0.000155144574169297i</v>
      </c>
      <c r="AW476" s="64">
        <f t="shared" si="350"/>
        <v>-54.37400785692369</v>
      </c>
      <c r="AX476" s="61">
        <f t="shared" si="351"/>
        <v>-175.34373422715166</v>
      </c>
    </row>
    <row r="477" spans="14:50" x14ac:dyDescent="0.3">
      <c r="N477" s="10">
        <v>59</v>
      </c>
      <c r="O477" s="50">
        <f t="shared" si="316"/>
        <v>389045.14499428123</v>
      </c>
      <c r="P477" s="48" t="str">
        <f t="shared" si="317"/>
        <v>51201.9230769231</v>
      </c>
      <c r="Q477" s="17" t="str">
        <f t="shared" si="318"/>
        <v>1+114230.689527385i</v>
      </c>
      <c r="R477" s="17">
        <f t="shared" si="327"/>
        <v>114230.68953176211</v>
      </c>
      <c r="S477" s="17">
        <f t="shared" si="328"/>
        <v>1.5707875725800344</v>
      </c>
      <c r="T477" s="17" t="str">
        <f t="shared" si="319"/>
        <v>1+7.33332821657287E-06i</v>
      </c>
      <c r="U477" s="17">
        <f t="shared" si="329"/>
        <v>1.0000000000268887</v>
      </c>
      <c r="V477" s="17">
        <f t="shared" si="330"/>
        <v>7.3333282164414139E-6</v>
      </c>
      <c r="W477" s="31" t="str">
        <f t="shared" si="320"/>
        <v>1-3.95999723694934i</v>
      </c>
      <c r="X477" s="17">
        <f t="shared" si="331"/>
        <v>4.0843087685245356</v>
      </c>
      <c r="Y477" s="17">
        <f t="shared" si="332"/>
        <v>-1.3234422055883335</v>
      </c>
      <c r="Z477" s="31" t="str">
        <f t="shared" si="321"/>
        <v>-59.5424499374486+241.653308754941i</v>
      </c>
      <c r="AA477" s="17">
        <f t="shared" si="333"/>
        <v>248.88074448772534</v>
      </c>
      <c r="AB477" s="17">
        <f t="shared" si="334"/>
        <v>1.8123802851270994</v>
      </c>
      <c r="AC477" s="66" t="str">
        <f t="shared" si="335"/>
        <v>-0.0000425623448085694+0.00735569094514548i</v>
      </c>
      <c r="AD477" s="64">
        <f t="shared" si="336"/>
        <v>-42.667385119542374</v>
      </c>
      <c r="AE477" s="61">
        <f t="shared" si="337"/>
        <v>90.331527728125025</v>
      </c>
      <c r="AF477" s="31" t="str">
        <f t="shared" si="322"/>
        <v>-0.332666666666667</v>
      </c>
      <c r="AG477" s="31" t="str">
        <f t="shared" si="338"/>
        <v>2444442.73885762i</v>
      </c>
      <c r="AH477" s="31">
        <f t="shared" si="339"/>
        <v>2444442.7388576199</v>
      </c>
      <c r="AI477" s="31">
        <f t="shared" si="340"/>
        <v>1.5707963267948966</v>
      </c>
      <c r="AJ477" s="31" t="str">
        <f t="shared" si="323"/>
        <v>-318799.675119527+20158.016379379i</v>
      </c>
      <c r="AK477" s="31">
        <f t="shared" si="341"/>
        <v>319436.34495884663</v>
      </c>
      <c r="AL477" s="31">
        <f t="shared" si="342"/>
        <v>3.0784457395819547</v>
      </c>
      <c r="AM477" s="31" t="str">
        <f t="shared" si="324"/>
        <v>1+73341202.1602026i</v>
      </c>
      <c r="AN477" s="31">
        <f t="shared" si="343"/>
        <v>73341202.160202593</v>
      </c>
      <c r="AO477" s="31">
        <f t="shared" si="344"/>
        <v>1.570796313159996</v>
      </c>
      <c r="AP477" s="31" t="str">
        <f t="shared" si="325"/>
        <v>1+7919.99447389869i</v>
      </c>
      <c r="AQ477" s="31">
        <f t="shared" si="345"/>
        <v>7919.9945370300456</v>
      </c>
      <c r="AR477" s="31">
        <f t="shared" si="346"/>
        <v>1.5706700640812064</v>
      </c>
      <c r="AS477" s="58" t="str">
        <f t="shared" si="347"/>
        <v>-0.0155852322212427+0.246976142432718i</v>
      </c>
      <c r="AT477" s="49">
        <f t="shared" si="348"/>
        <v>-12.1296400672651</v>
      </c>
      <c r="AU477" s="61">
        <f t="shared" si="349"/>
        <v>93.610816560098087</v>
      </c>
      <c r="AV477" s="58" t="str">
        <f t="shared" si="326"/>
        <v>-0.00181601683053158-0.000125152035261496i</v>
      </c>
      <c r="AW477" s="64">
        <f t="shared" si="350"/>
        <v>-54.797025186807488</v>
      </c>
      <c r="AX477" s="61">
        <f t="shared" si="351"/>
        <v>-176.05765571177687</v>
      </c>
    </row>
    <row r="478" spans="14:50" x14ac:dyDescent="0.3">
      <c r="N478" s="10">
        <v>60</v>
      </c>
      <c r="O478" s="50">
        <f t="shared" si="316"/>
        <v>398107.17055349716</v>
      </c>
      <c r="P478" s="48" t="str">
        <f t="shared" si="317"/>
        <v>51201.9230769231</v>
      </c>
      <c r="Q478" s="17" t="str">
        <f t="shared" si="318"/>
        <v>1+116891.464096771i</v>
      </c>
      <c r="R478" s="17">
        <f t="shared" si="327"/>
        <v>116891.46410104846</v>
      </c>
      <c r="S478" s="17">
        <f t="shared" si="328"/>
        <v>1.5707877718502932</v>
      </c>
      <c r="T478" s="17" t="str">
        <f t="shared" si="319"/>
        <v>1+7.50414337411372E-06i</v>
      </c>
      <c r="U478" s="17">
        <f t="shared" si="329"/>
        <v>1.0000000000281561</v>
      </c>
      <c r="V478" s="17">
        <f t="shared" si="330"/>
        <v>7.5041433739728618E-6</v>
      </c>
      <c r="W478" s="31" t="str">
        <f t="shared" si="320"/>
        <v>1-4.0522374220214i</v>
      </c>
      <c r="X478" s="17">
        <f t="shared" si="331"/>
        <v>4.1738025976836326</v>
      </c>
      <c r="Y478" s="17">
        <f t="shared" si="332"/>
        <v>-1.3288531343113981</v>
      </c>
      <c r="Z478" s="31" t="str">
        <f t="shared" si="321"/>
        <v>-62.3957276984446+247.282137410388i</v>
      </c>
      <c r="AA478" s="17">
        <f t="shared" si="333"/>
        <v>255.0327083283014</v>
      </c>
      <c r="AB478" s="17">
        <f t="shared" si="334"/>
        <v>1.8179630228196484</v>
      </c>
      <c r="AC478" s="66" t="str">
        <f t="shared" si="335"/>
        <v>0.0000373303601497512+0.00716858778792954i</v>
      </c>
      <c r="AD478" s="64">
        <f t="shared" si="336"/>
        <v>-42.891210068472418</v>
      </c>
      <c r="AE478" s="61">
        <f t="shared" si="337"/>
        <v>89.701635410778522</v>
      </c>
      <c r="AF478" s="31" t="str">
        <f t="shared" si="322"/>
        <v>-0.332666666666667</v>
      </c>
      <c r="AG478" s="31" t="str">
        <f t="shared" si="338"/>
        <v>2501381.12470457i</v>
      </c>
      <c r="AH478" s="31">
        <f t="shared" si="339"/>
        <v>2501381.12470457</v>
      </c>
      <c r="AI478" s="31">
        <f t="shared" si="340"/>
        <v>1.5707963267948966</v>
      </c>
      <c r="AJ478" s="31" t="str">
        <f t="shared" si="323"/>
        <v>-333824.288055555+20627.5568992991i</v>
      </c>
      <c r="AK478" s="31">
        <f t="shared" si="341"/>
        <v>334460.98636377911</v>
      </c>
      <c r="AL478" s="31">
        <f t="shared" si="342"/>
        <v>3.0798794584306526</v>
      </c>
      <c r="AM478" s="31" t="str">
        <f t="shared" si="324"/>
        <v>1+75049538.2159813i</v>
      </c>
      <c r="AN478" s="31">
        <f t="shared" si="343"/>
        <v>75049538.215981305</v>
      </c>
      <c r="AO478" s="31">
        <f t="shared" si="344"/>
        <v>1.5707963134703642</v>
      </c>
      <c r="AP478" s="31" t="str">
        <f t="shared" si="325"/>
        <v>1+8104.47484404281i</v>
      </c>
      <c r="AQ478" s="31">
        <f t="shared" si="345"/>
        <v>8104.4749057371228</v>
      </c>
      <c r="AR478" s="31">
        <f t="shared" si="346"/>
        <v>1.5706729381714302</v>
      </c>
      <c r="AS478" s="58" t="str">
        <f t="shared" si="347"/>
        <v>-0.0148864451312983+0.241397424213769i</v>
      </c>
      <c r="AT478" s="49">
        <f t="shared" si="348"/>
        <v>-12.328862835693364</v>
      </c>
      <c r="AU478" s="61">
        <f t="shared" si="349"/>
        <v>93.528835212081887</v>
      </c>
      <c r="AV478" s="58" t="str">
        <f t="shared" si="326"/>
        <v>-0.00173103434361457-0.0000977033359887859i</v>
      </c>
      <c r="AW478" s="64">
        <f t="shared" si="350"/>
        <v>-55.220072904165789</v>
      </c>
      <c r="AX478" s="61">
        <f t="shared" si="351"/>
        <v>-176.76952937713958</v>
      </c>
    </row>
    <row r="479" spans="14:50" x14ac:dyDescent="0.3">
      <c r="N479" s="10">
        <v>61</v>
      </c>
      <c r="O479" s="50">
        <f t="shared" si="316"/>
        <v>407380.27780411334</v>
      </c>
      <c r="P479" s="48" t="str">
        <f t="shared" si="317"/>
        <v>51201.9230769231</v>
      </c>
      <c r="Q479" s="17" t="str">
        <f t="shared" si="318"/>
        <v>1+119614.216067664i</v>
      </c>
      <c r="R479" s="17">
        <f t="shared" si="327"/>
        <v>119614.21607184413</v>
      </c>
      <c r="S479" s="17">
        <f t="shared" si="328"/>
        <v>1.5707879665846067</v>
      </c>
      <c r="T479" s="17" t="str">
        <f t="shared" si="319"/>
        <v>1+7.67893732780063E-06i</v>
      </c>
      <c r="U479" s="17">
        <f t="shared" si="329"/>
        <v>1.0000000000294831</v>
      </c>
      <c r="V479" s="17">
        <f t="shared" si="330"/>
        <v>7.6789373276496978E-6</v>
      </c>
      <c r="W479" s="31" t="str">
        <f t="shared" si="320"/>
        <v>1-4.14662615701233i</v>
      </c>
      <c r="X479" s="17">
        <f t="shared" si="331"/>
        <v>4.2655021376174274</v>
      </c>
      <c r="Y479" s="17">
        <f t="shared" si="332"/>
        <v>-1.3341548951303102</v>
      </c>
      <c r="Z479" s="31" t="str">
        <f t="shared" si="321"/>
        <v>-65.3834762975025+253.042078328257i</v>
      </c>
      <c r="AA479" s="17">
        <f t="shared" si="333"/>
        <v>261.35281207101986</v>
      </c>
      <c r="AB479" s="17">
        <f t="shared" si="334"/>
        <v>1.8236554938153602</v>
      </c>
      <c r="AC479" s="66" t="str">
        <f t="shared" si="335"/>
        <v>0.000113184757717343+0.00698537070520951i</v>
      </c>
      <c r="AD479" s="64">
        <f t="shared" si="336"/>
        <v>-43.11507077805927</v>
      </c>
      <c r="AE479" s="61">
        <f t="shared" si="337"/>
        <v>89.071711186313621</v>
      </c>
      <c r="AF479" s="31" t="str">
        <f t="shared" si="322"/>
        <v>-0.332666666666667</v>
      </c>
      <c r="AG479" s="31" t="str">
        <f t="shared" si="338"/>
        <v>2559645.77593354i</v>
      </c>
      <c r="AH479" s="31">
        <f t="shared" si="339"/>
        <v>2559645.77593354</v>
      </c>
      <c r="AI479" s="31">
        <f t="shared" si="340"/>
        <v>1.5707963267948966</v>
      </c>
      <c r="AJ479" s="31" t="str">
        <f t="shared" si="323"/>
        <v>-349556.989184287+21108.0344229254i</v>
      </c>
      <c r="AK479" s="31">
        <f t="shared" si="341"/>
        <v>350193.71468486293</v>
      </c>
      <c r="AL479" s="31">
        <f t="shared" si="342"/>
        <v>3.0812807867836685</v>
      </c>
      <c r="AM479" s="31" t="str">
        <f t="shared" si="324"/>
        <v>1+76797666.5303203i</v>
      </c>
      <c r="AN479" s="31">
        <f t="shared" si="343"/>
        <v>76797666.530320302</v>
      </c>
      <c r="AO479" s="31">
        <f t="shared" si="344"/>
        <v>1.5707963137736676</v>
      </c>
      <c r="AP479" s="31" t="str">
        <f t="shared" si="325"/>
        <v>1+8293.25231402467i</v>
      </c>
      <c r="AQ479" s="31">
        <f t="shared" si="345"/>
        <v>8293.2523743146467</v>
      </c>
      <c r="AR479" s="31">
        <f t="shared" si="346"/>
        <v>1.5706757468393751</v>
      </c>
      <c r="AS479" s="58" t="str">
        <f t="shared" si="347"/>
        <v>-0.0142188750963603+0.235942827463937i</v>
      </c>
      <c r="AT479" s="49">
        <f t="shared" si="348"/>
        <v>-12.528120455434404</v>
      </c>
      <c r="AU479" s="61">
        <f t="shared" si="349"/>
        <v>93.448705953939381</v>
      </c>
      <c r="AV479" s="58" t="str">
        <f t="shared" si="326"/>
        <v>-0.00164975747500368-0.0000726189817974977i</v>
      </c>
      <c r="AW479" s="64">
        <f t="shared" si="350"/>
        <v>-55.643191233493681</v>
      </c>
      <c r="AX479" s="61">
        <f t="shared" si="351"/>
        <v>-177.47958285974698</v>
      </c>
    </row>
    <row r="480" spans="14:50" x14ac:dyDescent="0.3">
      <c r="N480" s="10">
        <v>62</v>
      </c>
      <c r="O480" s="50">
        <f t="shared" si="316"/>
        <v>416869.38347033598</v>
      </c>
      <c r="P480" s="48" t="str">
        <f t="shared" si="317"/>
        <v>51201.9230769231</v>
      </c>
      <c r="Q480" s="17" t="str">
        <f t="shared" si="318"/>
        <v>1+122400.389079196i</v>
      </c>
      <c r="R480" s="17">
        <f t="shared" si="327"/>
        <v>122400.38908328096</v>
      </c>
      <c r="S480" s="17">
        <f t="shared" si="328"/>
        <v>1.5707881568862263</v>
      </c>
      <c r="T480" s="17" t="str">
        <f t="shared" si="319"/>
        <v>1+0.0000078578027557015i</v>
      </c>
      <c r="U480" s="17">
        <f t="shared" si="329"/>
        <v>1.0000000000308726</v>
      </c>
      <c r="V480" s="17">
        <f t="shared" si="330"/>
        <v>7.8578027555397721E-6</v>
      </c>
      <c r="W480" s="31" t="str">
        <f t="shared" si="320"/>
        <v>1-4.2432134880788i</v>
      </c>
      <c r="X480" s="17">
        <f t="shared" si="331"/>
        <v>4.3594564690353161</v>
      </c>
      <c r="Y480" s="17">
        <f t="shared" si="332"/>
        <v>-1.3393491063881287</v>
      </c>
      <c r="Z480" s="31" t="str">
        <f t="shared" si="321"/>
        <v>-68.5120331499755+258.936185505464i</v>
      </c>
      <c r="AA480" s="17">
        <f t="shared" si="333"/>
        <v>267.84668534529862</v>
      </c>
      <c r="AB480" s="17">
        <f t="shared" si="334"/>
        <v>1.8294593105720829</v>
      </c>
      <c r="AC480" s="66" t="str">
        <f t="shared" si="335"/>
        <v>0.000185165757133755+0.00680595185722596i</v>
      </c>
      <c r="AD480" s="64">
        <f t="shared" si="336"/>
        <v>-43.33900912724161</v>
      </c>
      <c r="AE480" s="61">
        <f t="shared" si="337"/>
        <v>88.441569942868242</v>
      </c>
      <c r="AF480" s="31" t="str">
        <f t="shared" si="322"/>
        <v>-0.332666666666667</v>
      </c>
      <c r="AG480" s="31" t="str">
        <f t="shared" si="338"/>
        <v>2619267.58523383i</v>
      </c>
      <c r="AH480" s="31">
        <f t="shared" si="339"/>
        <v>2619267.5852338299</v>
      </c>
      <c r="AI480" s="31">
        <f t="shared" si="340"/>
        <v>1.5707963267948966</v>
      </c>
      <c r="AJ480" s="31" t="str">
        <f t="shared" si="323"/>
        <v>-366031.149674137+21599.7037058004i</v>
      </c>
      <c r="AK480" s="31">
        <f t="shared" si="341"/>
        <v>366667.9011475491</v>
      </c>
      <c r="AL480" s="31">
        <f t="shared" si="342"/>
        <v>3.0826504456689059</v>
      </c>
      <c r="AM480" s="31" t="str">
        <f t="shared" si="324"/>
        <v>1+78586513.9839912i</v>
      </c>
      <c r="AN480" s="31">
        <f t="shared" si="343"/>
        <v>78586513.983991206</v>
      </c>
      <c r="AO480" s="31">
        <f t="shared" si="344"/>
        <v>1.5707963140700669</v>
      </c>
      <c r="AP480" s="31" t="str">
        <f t="shared" si="325"/>
        <v>1+8486.42697615761i</v>
      </c>
      <c r="AQ480" s="31">
        <f t="shared" si="345"/>
        <v>8486.4270350752213</v>
      </c>
      <c r="AR480" s="31">
        <f t="shared" si="346"/>
        <v>1.5706784915742342</v>
      </c>
      <c r="AS480" s="58" t="str">
        <f t="shared" si="347"/>
        <v>-0.0135811375575914+0.230609716578203i</v>
      </c>
      <c r="AT480" s="49">
        <f t="shared" si="348"/>
        <v>-12.727411369307449</v>
      </c>
      <c r="AU480" s="61">
        <f t="shared" si="349"/>
        <v>93.370387559148412</v>
      </c>
      <c r="AV480" s="58" t="str">
        <f t="shared" si="326"/>
        <v>-0.00157203339045836-0.0000497315456107268i</v>
      </c>
      <c r="AW480" s="64">
        <f t="shared" si="350"/>
        <v>-56.066420496549078</v>
      </c>
      <c r="AX480" s="61">
        <f t="shared" si="351"/>
        <v>-178.18804249798333</v>
      </c>
    </row>
    <row r="481" spans="14:50" x14ac:dyDescent="0.3">
      <c r="N481" s="10">
        <v>63</v>
      </c>
      <c r="O481" s="50">
        <f t="shared" si="316"/>
        <v>426579.51880159322</v>
      </c>
      <c r="P481" s="48" t="str">
        <f t="shared" si="317"/>
        <v>51201.9230769231</v>
      </c>
      <c r="Q481" s="17" t="str">
        <f t="shared" si="318"/>
        <v>1+125251.460397179i</v>
      </c>
      <c r="R481" s="17">
        <f t="shared" si="327"/>
        <v>125251.46040117097</v>
      </c>
      <c r="S481" s="17">
        <f t="shared" si="328"/>
        <v>1.5707883428560523</v>
      </c>
      <c r="T481" s="17" t="str">
        <f t="shared" si="319"/>
        <v>1+8.04083449463374E-06i</v>
      </c>
      <c r="U481" s="17">
        <f t="shared" si="329"/>
        <v>1.0000000000323275</v>
      </c>
      <c r="V481" s="17">
        <f t="shared" si="330"/>
        <v>8.0408344944604472E-6</v>
      </c>
      <c r="W481" s="31" t="str">
        <f t="shared" si="320"/>
        <v>1-4.34205062710221i</v>
      </c>
      <c r="X481" s="17">
        <f t="shared" si="331"/>
        <v>4.455715840167402</v>
      </c>
      <c r="Y481" s="17">
        <f t="shared" si="332"/>
        <v>-1.344437400520172</v>
      </c>
      <c r="Z481" s="31" t="str">
        <f t="shared" si="321"/>
        <v>-71.7880343443998+264.96758407565i</v>
      </c>
      <c r="AA481" s="17">
        <f t="shared" si="333"/>
        <v>274.52020414883742</v>
      </c>
      <c r="AB481" s="17">
        <f t="shared" si="334"/>
        <v>1.8353760574250573</v>
      </c>
      <c r="AC481" s="66" t="str">
        <f t="shared" si="335"/>
        <v>0.00025343038951962+0.00663024567921884i</v>
      </c>
      <c r="AD481" s="64">
        <f t="shared" si="336"/>
        <v>-43.563067048805031</v>
      </c>
      <c r="AE481" s="61">
        <f t="shared" si="337"/>
        <v>87.811027372718229</v>
      </c>
      <c r="AF481" s="31" t="str">
        <f t="shared" si="322"/>
        <v>-0.332666666666667</v>
      </c>
      <c r="AG481" s="31" t="str">
        <f t="shared" si="338"/>
        <v>2680278.16487791i</v>
      </c>
      <c r="AH481" s="31">
        <f t="shared" si="339"/>
        <v>2680278.1648779102</v>
      </c>
      <c r="AI481" s="31">
        <f t="shared" si="340"/>
        <v>1.5707963267948966</v>
      </c>
      <c r="AJ481" s="31" t="str">
        <f t="shared" si="323"/>
        <v>-383281.713428228+22102.8254374862i</v>
      </c>
      <c r="AK481" s="31">
        <f t="shared" si="341"/>
        <v>383918.48970946722</v>
      </c>
      <c r="AL481" s="31">
        <f t="shared" si="342"/>
        <v>3.0839891407791349</v>
      </c>
      <c r="AM481" s="31" t="str">
        <f t="shared" si="324"/>
        <v>1+80417029.0475916i</v>
      </c>
      <c r="AN481" s="31">
        <f t="shared" si="343"/>
        <v>80417029.047591597</v>
      </c>
      <c r="AO481" s="31">
        <f t="shared" si="344"/>
        <v>1.5707963143597194</v>
      </c>
      <c r="AP481" s="31" t="str">
        <f t="shared" si="325"/>
        <v>1+8684.10125420443i</v>
      </c>
      <c r="AQ481" s="31">
        <f t="shared" si="345"/>
        <v>8684.1013117809107</v>
      </c>
      <c r="AR481" s="31">
        <f t="shared" si="346"/>
        <v>1.5706811738313018</v>
      </c>
      <c r="AS481" s="58" t="str">
        <f t="shared" si="347"/>
        <v>-0.0129719084871071+0.225395503445608i</v>
      </c>
      <c r="AT481" s="49">
        <f t="shared" si="348"/>
        <v>-12.926734089219565</v>
      </c>
      <c r="AU481" s="61">
        <f t="shared" si="349"/>
        <v>93.2938396778829</v>
      </c>
      <c r="AV481" s="58" t="str">
        <f t="shared" si="326"/>
        <v>-0.0014977150386563-0.0000288848699636728i</v>
      </c>
      <c r="AW481" s="64">
        <f t="shared" si="350"/>
        <v>-56.489801138024582</v>
      </c>
      <c r="AX481" s="61">
        <f t="shared" si="351"/>
        <v>-178.89513294939886</v>
      </c>
    </row>
    <row r="482" spans="14:50" x14ac:dyDescent="0.3">
      <c r="N482" s="10">
        <v>64</v>
      </c>
      <c r="O482" s="50">
        <f t="shared" si="316"/>
        <v>436515.83224016649</v>
      </c>
      <c r="P482" s="48" t="str">
        <f t="shared" si="317"/>
        <v>51201.9230769231</v>
      </c>
      <c r="Q482" s="17" t="str">
        <f t="shared" si="318"/>
        <v>1+128168.941697364i</v>
      </c>
      <c r="R482" s="17">
        <f t="shared" si="327"/>
        <v>128168.94170126511</v>
      </c>
      <c r="S482" s="17">
        <f t="shared" si="328"/>
        <v>1.570788524592688</v>
      </c>
      <c r="T482" s="17" t="str">
        <f t="shared" si="319"/>
        <v>1+8.22812959044805E-06i</v>
      </c>
      <c r="U482" s="17">
        <f t="shared" si="329"/>
        <v>1.0000000000338511</v>
      </c>
      <c r="V482" s="17">
        <f t="shared" si="330"/>
        <v>8.2281295902623642E-6</v>
      </c>
      <c r="W482" s="31" t="str">
        <f t="shared" si="320"/>
        <v>1-4.44318997884194i</v>
      </c>
      <c r="X482" s="17">
        <f t="shared" si="331"/>
        <v>4.554331694999985</v>
      </c>
      <c r="Y482" s="17">
        <f t="shared" si="332"/>
        <v>-1.3494214210209168</v>
      </c>
      <c r="Z482" s="31" t="str">
        <f t="shared" si="321"/>
        <v>-75.21842871853+271.139471966174i</v>
      </c>
      <c r="AA482" s="17">
        <f t="shared" si="333"/>
        <v>281.37950401011841</v>
      </c>
      <c r="AB482" s="17">
        <f t="shared" si="334"/>
        <v>1.8414072866443092</v>
      </c>
      <c r="AC482" s="66" t="str">
        <f t="shared" si="335"/>
        <v>0.000318128166454188+0.00645816886175598i</v>
      </c>
      <c r="AD482" s="64">
        <f t="shared" si="336"/>
        <v>-43.787286557780291</v>
      </c>
      <c r="AE482" s="61">
        <f t="shared" si="337"/>
        <v>87.179900371956052</v>
      </c>
      <c r="AF482" s="31" t="str">
        <f t="shared" si="322"/>
        <v>-0.332666666666667</v>
      </c>
      <c r="AG482" s="31" t="str">
        <f t="shared" si="338"/>
        <v>2742709.86348268i</v>
      </c>
      <c r="AH482" s="31">
        <f t="shared" si="339"/>
        <v>2742709.8634826802</v>
      </c>
      <c r="AI482" s="31">
        <f t="shared" si="340"/>
        <v>1.5707963267948966</v>
      </c>
      <c r="AJ482" s="31" t="str">
        <f t="shared" si="323"/>
        <v>-401345.271205108+22617.6663797846i</v>
      </c>
      <c r="AK482" s="31">
        <f t="shared" si="341"/>
        <v>401982.07118125173</v>
      </c>
      <c r="AL482" s="31">
        <f t="shared" si="342"/>
        <v>3.0852975627500672</v>
      </c>
      <c r="AM482" s="31" t="str">
        <f t="shared" si="324"/>
        <v>1+82290182.2844382i</v>
      </c>
      <c r="AN482" s="31">
        <f t="shared" si="343"/>
        <v>82290182.284438193</v>
      </c>
      <c r="AO482" s="31">
        <f t="shared" si="344"/>
        <v>1.5707963146427786</v>
      </c>
      <c r="AP482" s="31" t="str">
        <f t="shared" si="325"/>
        <v>1+8886.37995768388i</v>
      </c>
      <c r="AQ482" s="31">
        <f t="shared" si="345"/>
        <v>8886.3800139497598</v>
      </c>
      <c r="AR482" s="31">
        <f t="shared" si="346"/>
        <v>1.5706837950327459</v>
      </c>
      <c r="AS482" s="58" t="str">
        <f t="shared" si="347"/>
        <v>-0.0123899218188433+0.220297647184642i</v>
      </c>
      <c r="AT482" s="49">
        <f t="shared" si="348"/>
        <v>-13.126087193143567</v>
      </c>
      <c r="AU482" s="61">
        <f t="shared" si="349"/>
        <v>93.219022821124412</v>
      </c>
      <c r="AV482" s="58" t="str">
        <f t="shared" si="326"/>
        <v>-0.0014266609884767-9.93332071702305E-06i</v>
      </c>
      <c r="AW482" s="64">
        <f t="shared" si="350"/>
        <v>-56.913373750923853</v>
      </c>
      <c r="AX482" s="61">
        <f t="shared" si="351"/>
        <v>-179.60107680691954</v>
      </c>
    </row>
    <row r="483" spans="14:50" x14ac:dyDescent="0.3">
      <c r="N483" s="10">
        <v>65</v>
      </c>
      <c r="O483" s="50">
        <f t="shared" si="316"/>
        <v>446683.59215096442</v>
      </c>
      <c r="P483" s="48" t="str">
        <f t="shared" si="317"/>
        <v>51201.9230769231</v>
      </c>
      <c r="Q483" s="17" t="str">
        <f t="shared" si="318"/>
        <v>1+131154.379866953i</v>
      </c>
      <c r="R483" s="17">
        <f t="shared" si="327"/>
        <v>131154.37987076532</v>
      </c>
      <c r="S483" s="17">
        <f t="shared" si="328"/>
        <v>1.5707887021924929</v>
      </c>
      <c r="T483" s="17" t="str">
        <f t="shared" si="319"/>
        <v>1+8.41978734948343E-06i</v>
      </c>
      <c r="U483" s="17">
        <f t="shared" si="329"/>
        <v>1.0000000000354463</v>
      </c>
      <c r="V483" s="17">
        <f t="shared" si="330"/>
        <v>8.4197873492844625E-6</v>
      </c>
      <c r="W483" s="31" t="str">
        <f t="shared" si="320"/>
        <v>1-4.54668516872105i</v>
      </c>
      <c r="X483" s="17">
        <f t="shared" si="331"/>
        <v>4.6553567020656921</v>
      </c>
      <c r="Y483" s="17">
        <f t="shared" si="332"/>
        <v>-1.3543028195951985</v>
      </c>
      <c r="Z483" s="31" t="str">
        <f t="shared" si="321"/>
        <v>-78.8104925987559+277.455121593691i</v>
      </c>
      <c r="AA483" s="17">
        <f t="shared" si="333"/>
        <v>288.4309939001501</v>
      </c>
      <c r="AB483" s="17">
        <f t="shared" si="334"/>
        <v>1.8475545142815968</v>
      </c>
      <c r="AC483" s="66" t="str">
        <f t="shared" si="335"/>
        <v>0.000379401424236529+0.00628964033168309i</v>
      </c>
      <c r="AD483" s="64">
        <f t="shared" si="336"/>
        <v>-44.011709779180265</v>
      </c>
      <c r="AE483" s="61">
        <f t="shared" si="337"/>
        <v>86.548007441667295</v>
      </c>
      <c r="AF483" s="31" t="str">
        <f t="shared" si="322"/>
        <v>-0.332666666666667</v>
      </c>
      <c r="AG483" s="31" t="str">
        <f t="shared" si="338"/>
        <v>2806595.78316114i</v>
      </c>
      <c r="AH483" s="31">
        <f t="shared" si="339"/>
        <v>2806595.78316114</v>
      </c>
      <c r="AI483" s="31">
        <f t="shared" si="340"/>
        <v>1.5707963267948966</v>
      </c>
      <c r="AJ483" s="31" t="str">
        <f t="shared" si="323"/>
        <v>-420260.13823265+23144.4995081776i</v>
      </c>
      <c r="AK483" s="31">
        <f t="shared" si="341"/>
        <v>420896.96084054839</v>
      </c>
      <c r="AL483" s="31">
        <f t="shared" si="342"/>
        <v>3.0865763874367356</v>
      </c>
      <c r="AM483" s="31" t="str">
        <f t="shared" si="324"/>
        <v>1+84206966.8651718i</v>
      </c>
      <c r="AN483" s="31">
        <f t="shared" si="343"/>
        <v>84206966.865171805</v>
      </c>
      <c r="AO483" s="31">
        <f t="shared" si="344"/>
        <v>1.5707963149193946</v>
      </c>
      <c r="AP483" s="31" t="str">
        <f t="shared" si="325"/>
        <v>1+9093.37033744209i</v>
      </c>
      <c r="AQ483" s="31">
        <f t="shared" si="345"/>
        <v>9093.3703924272013</v>
      </c>
      <c r="AR483" s="31">
        <f t="shared" si="346"/>
        <v>1.5706863565683624</v>
      </c>
      <c r="AS483" s="58" t="str">
        <f t="shared" si="347"/>
        <v>-0.0118339669816309+0.215313653832093i</v>
      </c>
      <c r="AT483" s="49">
        <f t="shared" si="348"/>
        <v>-13.325469322223714</v>
      </c>
      <c r="AU483" s="61">
        <f t="shared" si="349"/>
        <v>93.145898344869977</v>
      </c>
      <c r="AV483" s="58" t="str">
        <f t="shared" si="326"/>
        <v>-0.00135873526503158+7.25891090999536E-06i</v>
      </c>
      <c r="AW483" s="64">
        <f t="shared" si="350"/>
        <v>-57.33717910140399</v>
      </c>
      <c r="AX483" s="61">
        <f t="shared" si="351"/>
        <v>179.6939057865373</v>
      </c>
    </row>
    <row r="484" spans="14:50" x14ac:dyDescent="0.3">
      <c r="N484" s="10">
        <v>66</v>
      </c>
      <c r="O484" s="50">
        <f t="shared" ref="O484:O518" si="352">10^(5+(N484/100))</f>
        <v>457088.18961487547</v>
      </c>
      <c r="P484" s="48" t="str">
        <f t="shared" si="317"/>
        <v>51201.9230769231</v>
      </c>
      <c r="Q484" s="17" t="str">
        <f t="shared" si="318"/>
        <v>1+134209.357824781i</v>
      </c>
      <c r="R484" s="17">
        <f t="shared" si="327"/>
        <v>134209.35782850653</v>
      </c>
      <c r="S484" s="17">
        <f t="shared" si="328"/>
        <v>1.5707888757496329</v>
      </c>
      <c r="T484" s="17" t="str">
        <f t="shared" si="319"/>
        <v>1+8.61590939122051E-06i</v>
      </c>
      <c r="U484" s="17">
        <f t="shared" si="329"/>
        <v>1.000000000037117</v>
      </c>
      <c r="V484" s="17">
        <f t="shared" si="330"/>
        <v>8.6159093910073114E-6</v>
      </c>
      <c r="W484" s="31" t="str">
        <f t="shared" si="320"/>
        <v>1-4.65259107125907i</v>
      </c>
      <c r="X484" s="17">
        <f t="shared" si="331"/>
        <v>4.7588447838062145</v>
      </c>
      <c r="Y484" s="17">
        <f t="shared" si="332"/>
        <v>-1.3590832534877657</v>
      </c>
      <c r="Z484" s="31" t="str">
        <f t="shared" si="321"/>
        <v>-82.5718452341618+283.917881599227i</v>
      </c>
      <c r="AA484" s="17">
        <f t="shared" si="333"/>
        <v>295.68137093358968</v>
      </c>
      <c r="AB484" s="17">
        <f t="shared" si="334"/>
        <v>1.8538192158046931</v>
      </c>
      <c r="AC484" s="66" t="str">
        <f t="shared" si="335"/>
        <v>0.000437385654618477+0.00612458123363994i</v>
      </c>
      <c r="AD484" s="64">
        <f t="shared" si="336"/>
        <v>-44.23637897484199</v>
      </c>
      <c r="AE484" s="61">
        <f t="shared" si="337"/>
        <v>85.915169091072855</v>
      </c>
      <c r="AF484" s="31" t="str">
        <f t="shared" si="322"/>
        <v>-0.332666666666667</v>
      </c>
      <c r="AG484" s="31" t="str">
        <f t="shared" si="338"/>
        <v>2871969.7970735i</v>
      </c>
      <c r="AH484" s="31">
        <f t="shared" si="339"/>
        <v>2871969.7970735002</v>
      </c>
      <c r="AI484" s="31">
        <f t="shared" si="340"/>
        <v>1.5707963267948966</v>
      </c>
      <c r="AJ484" s="31" t="str">
        <f t="shared" si="323"/>
        <v>-440066.43547977+23683.6041565634i</v>
      </c>
      <c r="AK484" s="31">
        <f t="shared" si="341"/>
        <v>440703.27970383357</v>
      </c>
      <c r="AL484" s="31">
        <f t="shared" si="342"/>
        <v>3.0878262761879198</v>
      </c>
      <c r="AM484" s="31" t="str">
        <f t="shared" si="324"/>
        <v>1+86168399.0943477i</v>
      </c>
      <c r="AN484" s="31">
        <f t="shared" si="343"/>
        <v>86168399.0943477</v>
      </c>
      <c r="AO484" s="31">
        <f t="shared" si="344"/>
        <v>1.5707963151897142</v>
      </c>
      <c r="AP484" s="31" t="str">
        <f t="shared" si="325"/>
        <v>1+9305.18214251814i</v>
      </c>
      <c r="AQ484" s="31">
        <f t="shared" si="345"/>
        <v>9305.1821962516406</v>
      </c>
      <c r="AR484" s="31">
        <f t="shared" si="346"/>
        <v>1.5706888597963109</v>
      </c>
      <c r="AS484" s="58" t="str">
        <f t="shared" si="347"/>
        <v>-0.0113028865310263+0.210441075989687i</v>
      </c>
      <c r="AT484" s="49">
        <f t="shared" si="348"/>
        <v>-13.52487917800519</v>
      </c>
      <c r="AU484" s="61">
        <f t="shared" si="349"/>
        <v>93.074428434451022</v>
      </c>
      <c r="AV484" s="58" t="str">
        <f t="shared" si="326"/>
        <v>-0.00129380718521788+0.0000228184610464806i</v>
      </c>
      <c r="AW484" s="64">
        <f t="shared" si="350"/>
        <v>-57.761258152847212</v>
      </c>
      <c r="AX484" s="61">
        <f t="shared" si="351"/>
        <v>178.98959752552386</v>
      </c>
    </row>
    <row r="485" spans="14:50" x14ac:dyDescent="0.3">
      <c r="N485" s="10">
        <v>67</v>
      </c>
      <c r="O485" s="50">
        <f t="shared" si="352"/>
        <v>467735.14128719864</v>
      </c>
      <c r="P485" s="48" t="str">
        <f t="shared" si="317"/>
        <v>51201.9230769231</v>
      </c>
      <c r="Q485" s="17" t="str">
        <f t="shared" si="318"/>
        <v>1+137335.495360598i</v>
      </c>
      <c r="R485" s="17">
        <f t="shared" si="327"/>
        <v>137335.49536423871</v>
      </c>
      <c r="S485" s="17">
        <f t="shared" si="328"/>
        <v>1.5707890453561297</v>
      </c>
      <c r="T485" s="17" t="str">
        <f t="shared" si="319"/>
        <v>1+8.81659970216188E-06i</v>
      </c>
      <c r="U485" s="17">
        <f t="shared" si="329"/>
        <v>1.0000000000388662</v>
      </c>
      <c r="V485" s="17">
        <f t="shared" si="330"/>
        <v>8.8165997019334355E-6</v>
      </c>
      <c r="W485" s="31" t="str">
        <f t="shared" si="320"/>
        <v>1-4.76096383916741i</v>
      </c>
      <c r="X485" s="17">
        <f t="shared" si="331"/>
        <v>4.8648511465264468</v>
      </c>
      <c r="Y485" s="17">
        <f t="shared" si="332"/>
        <v>-1.3637643829850297</v>
      </c>
      <c r="Z485" s="31" t="str">
        <f t="shared" si="321"/>
        <v>-86.5104649579821+290.531178623686i</v>
      </c>
      <c r="AA485" s="17">
        <f t="shared" si="333"/>
        <v>303.13763590111074</v>
      </c>
      <c r="AB485" s="17">
        <f t="shared" si="334"/>
        <v>1.8602028215178006</v>
      </c>
      <c r="AC485" s="66" t="str">
        <f t="shared" si="335"/>
        <v>0.000492209822765012+0.00596291491207502i</v>
      </c>
      <c r="AD485" s="64">
        <f t="shared" si="336"/>
        <v>-44.461336569138169</v>
      </c>
      <c r="AE485" s="61">
        <f t="shared" si="337"/>
        <v>85.281208243060192</v>
      </c>
      <c r="AF485" s="31" t="str">
        <f t="shared" si="322"/>
        <v>-0.332666666666667</v>
      </c>
      <c r="AG485" s="31" t="str">
        <f t="shared" si="338"/>
        <v>2938866.56738729i</v>
      </c>
      <c r="AH485" s="31">
        <f t="shared" si="339"/>
        <v>2938866.5673872898</v>
      </c>
      <c r="AI485" s="31">
        <f t="shared" si="340"/>
        <v>1.5707963267948966</v>
      </c>
      <c r="AJ485" s="31" t="str">
        <f t="shared" si="323"/>
        <v>-460806.174758414+24235.2661653627i</v>
      </c>
      <c r="AK485" s="31">
        <f t="shared" si="341"/>
        <v>461443.03962849843</v>
      </c>
      <c r="AL485" s="31">
        <f t="shared" si="342"/>
        <v>3.0890478761183955</v>
      </c>
      <c r="AM485" s="31" t="str">
        <f t="shared" si="324"/>
        <v>1+88175518.9492972i</v>
      </c>
      <c r="AN485" s="31">
        <f t="shared" si="343"/>
        <v>88175518.949297205</v>
      </c>
      <c r="AO485" s="31">
        <f t="shared" si="344"/>
        <v>1.5707963154538802</v>
      </c>
      <c r="AP485" s="31" t="str">
        <f t="shared" si="325"/>
        <v>1+9521.92767833482i</v>
      </c>
      <c r="AQ485" s="31">
        <f t="shared" si="345"/>
        <v>9521.9277308451965</v>
      </c>
      <c r="AR485" s="31">
        <f t="shared" si="346"/>
        <v>1.5706913060438361</v>
      </c>
      <c r="AS485" s="58" t="str">
        <f t="shared" si="347"/>
        <v>-0.0107955738765041+0.205677512432599i</v>
      </c>
      <c r="AT485" s="49">
        <f t="shared" si="348"/>
        <v>-13.724315519782024</v>
      </c>
      <c r="AU485" s="61">
        <f t="shared" si="349"/>
        <v>93.004576088975725</v>
      </c>
      <c r="AV485" s="58" t="str">
        <f t="shared" si="326"/>
        <v>-0.00123175119346724+0.0000368634034885843i</v>
      </c>
      <c r="AW485" s="64">
        <f t="shared" si="350"/>
        <v>-58.185652088920193</v>
      </c>
      <c r="AX485" s="61">
        <f t="shared" si="351"/>
        <v>178.28578433203592</v>
      </c>
    </row>
    <row r="486" spans="14:50" x14ac:dyDescent="0.3">
      <c r="N486" s="10">
        <v>68</v>
      </c>
      <c r="O486" s="50">
        <f t="shared" si="352"/>
        <v>478630.09232263872</v>
      </c>
      <c r="P486" s="48" t="str">
        <f t="shared" si="317"/>
        <v>51201.9230769231</v>
      </c>
      <c r="Q486" s="17" t="str">
        <f t="shared" si="318"/>
        <v>1+140534.449993906i</v>
      </c>
      <c r="R486" s="17">
        <f t="shared" si="327"/>
        <v>140534.44999746385</v>
      </c>
      <c r="S486" s="17">
        <f t="shared" si="328"/>
        <v>1.5707892111019115</v>
      </c>
      <c r="T486" s="17" t="str">
        <f t="shared" si="319"/>
        <v>1+9.02196469096684E-06i</v>
      </c>
      <c r="U486" s="17">
        <f t="shared" si="329"/>
        <v>1.0000000000406979</v>
      </c>
      <c r="V486" s="17">
        <f t="shared" si="330"/>
        <v>9.0219646907220556E-6</v>
      </c>
      <c r="W486" s="31" t="str">
        <f t="shared" si="320"/>
        <v>1-4.87186093312209i</v>
      </c>
      <c r="X486" s="17">
        <f t="shared" si="331"/>
        <v>4.973432310958021</v>
      </c>
      <c r="Y486" s="17">
        <f t="shared" si="332"/>
        <v>-1.3683478690826203</v>
      </c>
      <c r="Z486" s="31" t="str">
        <f t="shared" si="321"/>
        <v>-90.634706110711+297.298519124686i</v>
      </c>
      <c r="AA486" s="17">
        <f t="shared" si="333"/>
        <v>310.80710967657456</v>
      </c>
      <c r="AB486" s="17">
        <f t="shared" si="334"/>
        <v>1.8667067117679157</v>
      </c>
      <c r="AC486" s="66" t="str">
        <f t="shared" si="335"/>
        <v>0.000543996673165284+0.00580456689367648i</v>
      </c>
      <c r="AD486" s="64">
        <f t="shared" si="336"/>
        <v>-44.686625173322625</v>
      </c>
      <c r="AE486" s="61">
        <f t="shared" si="337"/>
        <v>84.645950642476734</v>
      </c>
      <c r="AF486" s="31" t="str">
        <f t="shared" si="322"/>
        <v>-0.332666666666667</v>
      </c>
      <c r="AG486" s="31" t="str">
        <f t="shared" si="338"/>
        <v>3007321.56365561i</v>
      </c>
      <c r="AH486" s="31">
        <f t="shared" si="339"/>
        <v>3007321.5636556102</v>
      </c>
      <c r="AI486" s="31">
        <f t="shared" si="340"/>
        <v>1.5707963267948966</v>
      </c>
      <c r="AJ486" s="31" t="str">
        <f t="shared" si="323"/>
        <v>-482523.347836216+24799.7780330745i</v>
      </c>
      <c r="AK486" s="31">
        <f t="shared" si="341"/>
        <v>483160.23242559982</v>
      </c>
      <c r="AL486" s="31">
        <f t="shared" si="342"/>
        <v>3.0902418203787767</v>
      </c>
      <c r="AM486" s="31" t="str">
        <f t="shared" si="324"/>
        <v>1+90229390.6315347i</v>
      </c>
      <c r="AN486" s="31">
        <f t="shared" si="343"/>
        <v>90229390.631534696</v>
      </c>
      <c r="AO486" s="31">
        <f t="shared" si="344"/>
        <v>1.5707963157120333</v>
      </c>
      <c r="AP486" s="31" t="str">
        <f t="shared" si="325"/>
        <v>1+9743.72186624418i</v>
      </c>
      <c r="AQ486" s="31">
        <f t="shared" si="345"/>
        <v>9743.7219175592727</v>
      </c>
      <c r="AR486" s="31">
        <f t="shared" si="346"/>
        <v>1.5706936966079705</v>
      </c>
      <c r="AS486" s="58" t="str">
        <f t="shared" si="347"/>
        <v>-0.0103109711006912+0.201020607683639i</v>
      </c>
      <c r="AT486" s="49">
        <f t="shared" si="348"/>
        <v>-13.923777162057867</v>
      </c>
      <c r="AU486" s="61">
        <f t="shared" si="349"/>
        <v>92.936305105908644</v>
      </c>
      <c r="AV486" s="58" t="str">
        <f t="shared" si="326"/>
        <v>-0.00117244669828306+0.0000495038203248363i</v>
      </c>
      <c r="AW486" s="64">
        <f t="shared" si="350"/>
        <v>-58.610402335380478</v>
      </c>
      <c r="AX486" s="61">
        <f t="shared" si="351"/>
        <v>177.58225574838536</v>
      </c>
    </row>
    <row r="487" spans="14:50" x14ac:dyDescent="0.3">
      <c r="N487" s="10">
        <v>69</v>
      </c>
      <c r="O487" s="50">
        <f t="shared" si="352"/>
        <v>489778.81936844654</v>
      </c>
      <c r="P487" s="48" t="str">
        <f t="shared" si="317"/>
        <v>51201.9230769231</v>
      </c>
      <c r="Q487" s="17" t="str">
        <f t="shared" si="318"/>
        <v>1+143807.917852795i</v>
      </c>
      <c r="R487" s="17">
        <f t="shared" si="327"/>
        <v>143807.91785627187</v>
      </c>
      <c r="S487" s="17">
        <f t="shared" si="328"/>
        <v>1.5707893730748588</v>
      </c>
      <c r="T487" s="17" t="str">
        <f t="shared" si="319"/>
        <v>1+9.23211324487078E-06i</v>
      </c>
      <c r="U487" s="17">
        <f t="shared" si="329"/>
        <v>1.0000000000426159</v>
      </c>
      <c r="V487" s="17">
        <f t="shared" si="330"/>
        <v>9.2321132446084901E-6</v>
      </c>
      <c r="W487" s="31" t="str">
        <f t="shared" si="320"/>
        <v>1-4.98534115223022i</v>
      </c>
      <c r="X487" s="17">
        <f t="shared" si="331"/>
        <v>5.0846461434518861</v>
      </c>
      <c r="Y487" s="17">
        <f t="shared" si="332"/>
        <v>-1.3728353713123114</v>
      </c>
      <c r="Z487" s="31" t="str">
        <f t="shared" si="321"/>
        <v>-94.95331676078+304.223491235737i</v>
      </c>
      <c r="AA487" s="17">
        <f t="shared" si="333"/>
        <v>318.69745054445224</v>
      </c>
      <c r="AB487" s="17">
        <f t="shared" si="334"/>
        <v>1.8733322119382221</v>
      </c>
      <c r="AC487" s="66" t="str">
        <f t="shared" si="335"/>
        <v>0.000592863024185333+0.00564946487012405i</v>
      </c>
      <c r="AD487" s="64">
        <f t="shared" si="336"/>
        <v>-44.912287608272308</v>
      </c>
      <c r="AE487" s="61">
        <f t="shared" si="337"/>
        <v>84.009225267497129</v>
      </c>
      <c r="AF487" s="31" t="str">
        <f t="shared" si="322"/>
        <v>-0.332666666666667</v>
      </c>
      <c r="AG487" s="31" t="str">
        <f t="shared" si="338"/>
        <v>3077371.08162359i</v>
      </c>
      <c r="AH487" s="31">
        <f t="shared" si="339"/>
        <v>3077371.0816235901</v>
      </c>
      <c r="AI487" s="31">
        <f t="shared" si="340"/>
        <v>1.5707963267948966</v>
      </c>
      <c r="AJ487" s="31" t="str">
        <f t="shared" si="323"/>
        <v>-505264.019748945+25377.4390713633i</v>
      </c>
      <c r="AK487" s="31">
        <f t="shared" si="341"/>
        <v>505900.92317239649</v>
      </c>
      <c r="AL487" s="31">
        <f t="shared" si="342"/>
        <v>3.0914087284227727</v>
      </c>
      <c r="AM487" s="31" t="str">
        <f t="shared" si="324"/>
        <v>1+92331103.1310123i</v>
      </c>
      <c r="AN487" s="31">
        <f t="shared" si="343"/>
        <v>92331103.131012306</v>
      </c>
      <c r="AO487" s="31">
        <f t="shared" si="344"/>
        <v>1.5707963159643101</v>
      </c>
      <c r="AP487" s="31" t="str">
        <f t="shared" si="325"/>
        <v>1+9970.68230446043i</v>
      </c>
      <c r="AQ487" s="31">
        <f t="shared" si="345"/>
        <v>9970.6823546074484</v>
      </c>
      <c r="AR487" s="31">
        <f t="shared" si="346"/>
        <v>1.5706960327562229</v>
      </c>
      <c r="AS487" s="58" t="str">
        <f t="shared" si="347"/>
        <v>-0.00984806686737602+0.196468051556589i</v>
      </c>
      <c r="AT487" s="49">
        <f t="shared" si="348"/>
        <v>-14.123262972116919</v>
      </c>
      <c r="AU487" s="61">
        <f t="shared" si="349"/>
        <v>92.869580065797393</v>
      </c>
      <c r="AV487" s="58" t="str">
        <f t="shared" si="326"/>
        <v>-0.00111577791007604+0.0000608423353957659i</v>
      </c>
      <c r="AW487" s="64">
        <f t="shared" si="350"/>
        <v>-59.035550580389248</v>
      </c>
      <c r="AX487" s="61">
        <f t="shared" si="351"/>
        <v>176.87880533329451</v>
      </c>
    </row>
    <row r="488" spans="14:50" x14ac:dyDescent="0.3">
      <c r="N488" s="10">
        <v>70</v>
      </c>
      <c r="O488" s="50">
        <f t="shared" si="352"/>
        <v>501187.23362727347</v>
      </c>
      <c r="P488" s="48" t="str">
        <f t="shared" si="317"/>
        <v>51201.9230769231</v>
      </c>
      <c r="Q488" s="17" t="str">
        <f t="shared" si="318"/>
        <v>1+147157.634573251i</v>
      </c>
      <c r="R488" s="17">
        <f t="shared" si="327"/>
        <v>147157.63457664874</v>
      </c>
      <c r="S488" s="17">
        <f t="shared" si="328"/>
        <v>1.5707895313608515</v>
      </c>
      <c r="T488" s="17" t="str">
        <f t="shared" si="319"/>
        <v>1+9.44715678741862E-06i</v>
      </c>
      <c r="U488" s="17">
        <f t="shared" si="329"/>
        <v>1.0000000000446243</v>
      </c>
      <c r="V488" s="17">
        <f t="shared" si="330"/>
        <v>9.4471567871375717E-6</v>
      </c>
      <c r="W488" s="31" t="str">
        <f t="shared" si="320"/>
        <v>1-5.10146466520605i</v>
      </c>
      <c r="X488" s="17">
        <f t="shared" si="331"/>
        <v>5.1985518878189421</v>
      </c>
      <c r="Y488" s="17">
        <f t="shared" si="332"/>
        <v>-1.3772285457217666</v>
      </c>
      <c r="Z488" s="31" t="str">
        <f t="shared" si="321"/>
        <v>-99.475457260384+311.309766668716i</v>
      </c>
      <c r="AA488" s="17">
        <f t="shared" si="333"/>
        <v>326.81667249467688</v>
      </c>
      <c r="AB488" s="17">
        <f t="shared" si="334"/>
        <v>1.8800805872309503</v>
      </c>
      <c r="AC488" s="66" t="str">
        <f t="shared" si="335"/>
        <v>0.000638920051922566+0.00549753868105258i</v>
      </c>
      <c r="AD488" s="64">
        <f t="shared" si="336"/>
        <v>-45.138366925386919</v>
      </c>
      <c r="AE488" s="61">
        <f t="shared" si="337"/>
        <v>83.370864744294792</v>
      </c>
      <c r="AF488" s="31" t="str">
        <f t="shared" si="322"/>
        <v>-0.332666666666667</v>
      </c>
      <c r="AG488" s="31" t="str">
        <f t="shared" si="338"/>
        <v>3149052.26247287i</v>
      </c>
      <c r="AH488" s="31">
        <f t="shared" si="339"/>
        <v>3149052.2624728698</v>
      </c>
      <c r="AI488" s="31">
        <f t="shared" si="340"/>
        <v>1.5707963267948966</v>
      </c>
      <c r="AJ488" s="31" t="str">
        <f t="shared" si="323"/>
        <v>-529076.426510624+25968.5555637579i</v>
      </c>
      <c r="AK488" s="31">
        <f t="shared" si="341"/>
        <v>529713.34792255296</v>
      </c>
      <c r="AL488" s="31">
        <f t="shared" si="342"/>
        <v>3.0925492062716802</v>
      </c>
      <c r="AM488" s="31" t="str">
        <f t="shared" si="324"/>
        <v>1+94481770.8035167i</v>
      </c>
      <c r="AN488" s="31">
        <f t="shared" si="343"/>
        <v>94481770.803516701</v>
      </c>
      <c r="AO488" s="31">
        <f t="shared" si="344"/>
        <v>1.5707963162108443</v>
      </c>
      <c r="AP488" s="31" t="str">
        <f t="shared" si="325"/>
        <v>1+10202.9293304121i</v>
      </c>
      <c r="AQ488" s="31">
        <f t="shared" si="345"/>
        <v>10202.929379417634</v>
      </c>
      <c r="AR488" s="31">
        <f t="shared" si="346"/>
        <v>1.5706983157272498</v>
      </c>
      <c r="AS488" s="58" t="str">
        <f t="shared" si="347"/>
        <v>-0.0094058944151096+0.192017578672013i</v>
      </c>
      <c r="AT488" s="49">
        <f t="shared" si="348"/>
        <v>-14.322771867698652</v>
      </c>
      <c r="AU488" s="61">
        <f t="shared" si="349"/>
        <v>92.804366317156806</v>
      </c>
      <c r="AV488" s="58" t="str">
        <f t="shared" si="326"/>
        <v>-0.00106163368073953+0.0000709746129582065i</v>
      </c>
      <c r="AW488" s="64">
        <f t="shared" si="350"/>
        <v>-59.461138793085553</v>
      </c>
      <c r="AX488" s="61">
        <f t="shared" si="351"/>
        <v>176.1752310614516</v>
      </c>
    </row>
    <row r="489" spans="14:50" x14ac:dyDescent="0.3">
      <c r="N489" s="10">
        <v>71</v>
      </c>
      <c r="O489" s="50">
        <f t="shared" si="352"/>
        <v>512861.38399136515</v>
      </c>
      <c r="P489" s="48" t="str">
        <f t="shared" si="317"/>
        <v>51201.9230769231</v>
      </c>
      <c r="Q489" s="17" t="str">
        <f t="shared" si="318"/>
        <v>1+150585.37621942i</v>
      </c>
      <c r="R489" s="17">
        <f t="shared" si="327"/>
        <v>150585.37622274039</v>
      </c>
      <c r="S489" s="17">
        <f t="shared" si="328"/>
        <v>1.5707896860438151</v>
      </c>
      <c r="T489" s="17" t="str">
        <f t="shared" si="319"/>
        <v>1+0.000009667209337543i</v>
      </c>
      <c r="U489" s="17">
        <f t="shared" si="329"/>
        <v>1.0000000000467275</v>
      </c>
      <c r="V489" s="17">
        <f t="shared" si="330"/>
        <v>9.6672093372418506E-6</v>
      </c>
      <c r="W489" s="31" t="str">
        <f t="shared" si="320"/>
        <v>1-5.22029304227321i</v>
      </c>
      <c r="X489" s="17">
        <f t="shared" si="331"/>
        <v>5.3152101978384714</v>
      </c>
      <c r="Y489" s="17">
        <f t="shared" si="332"/>
        <v>-1.3815290430005558</v>
      </c>
      <c r="Z489" s="31" t="str">
        <f t="shared" si="321"/>
        <v>-104.210719675815+318.561102660653i</v>
      </c>
      <c r="AA489" s="17">
        <f t="shared" si="333"/>
        <v>335.1731645339799</v>
      </c>
      <c r="AB489" s="17">
        <f t="shared" si="334"/>
        <v>1.8869530372436258</v>
      </c>
      <c r="AC489" s="66" t="str">
        <f t="shared" si="335"/>
        <v>0.000682273563988961+0.00534872029710321i</v>
      </c>
      <c r="AD489" s="64">
        <f t="shared" si="336"/>
        <v>-45.364906425406623</v>
      </c>
      <c r="AE489" s="61">
        <f t="shared" si="337"/>
        <v>82.730705765173127</v>
      </c>
      <c r="AF489" s="31" t="str">
        <f t="shared" si="322"/>
        <v>-0.332666666666667</v>
      </c>
      <c r="AG489" s="31" t="str">
        <f t="shared" si="338"/>
        <v>3222403.11251433i</v>
      </c>
      <c r="AH489" s="31">
        <f t="shared" si="339"/>
        <v>3222403.1125143301</v>
      </c>
      <c r="AI489" s="31">
        <f t="shared" si="340"/>
        <v>1.5707963267948966</v>
      </c>
      <c r="AJ489" s="31" t="str">
        <f t="shared" si="323"/>
        <v>-554011.07742857+26573.4409280468i</v>
      </c>
      <c r="AK489" s="31">
        <f t="shared" si="341"/>
        <v>554648.01602126134</v>
      </c>
      <c r="AL489" s="31">
        <f t="shared" si="342"/>
        <v>3.093663846775963</v>
      </c>
      <c r="AM489" s="31" t="str">
        <f t="shared" si="324"/>
        <v>1+96682533.9615146i</v>
      </c>
      <c r="AN489" s="31">
        <f t="shared" si="343"/>
        <v>96682533.961514607</v>
      </c>
      <c r="AO489" s="31">
        <f t="shared" si="344"/>
        <v>1.5707963164517669</v>
      </c>
      <c r="AP489" s="31" t="str">
        <f t="shared" si="325"/>
        <v>1+10440.5860845464i</v>
      </c>
      <c r="AQ489" s="31">
        <f t="shared" si="345"/>
        <v>10440.58613243643</v>
      </c>
      <c r="AR489" s="31">
        <f t="shared" si="346"/>
        <v>1.5707005467315127</v>
      </c>
      <c r="AS489" s="58" t="str">
        <f t="shared" si="347"/>
        <v>-0.0089835296332837+0.18766696794857i</v>
      </c>
      <c r="AT489" s="49">
        <f t="shared" si="348"/>
        <v>-14.522302814772495</v>
      </c>
      <c r="AU489" s="61">
        <f t="shared" si="349"/>
        <v>92.740629961519261</v>
      </c>
      <c r="AV489" s="58" t="str">
        <f t="shared" si="326"/>
        <v>-0.00100990734534243+0.0000799898237761003i</v>
      </c>
      <c r="AW489" s="64">
        <f t="shared" si="350"/>
        <v>-59.88720924017916</v>
      </c>
      <c r="AX489" s="61">
        <f t="shared" si="351"/>
        <v>175.47133572669239</v>
      </c>
    </row>
    <row r="490" spans="14:50" x14ac:dyDescent="0.3">
      <c r="N490" s="10">
        <v>72</v>
      </c>
      <c r="O490" s="50">
        <f t="shared" si="352"/>
        <v>524807.46024977288</v>
      </c>
      <c r="P490" s="48" t="str">
        <f t="shared" si="317"/>
        <v>51201.9230769231</v>
      </c>
      <c r="Q490" s="17" t="str">
        <f t="shared" si="318"/>
        <v>1+154092.960225293i</v>
      </c>
      <c r="R490" s="17">
        <f t="shared" si="327"/>
        <v>154092.96022853779</v>
      </c>
      <c r="S490" s="17">
        <f t="shared" si="328"/>
        <v>1.5707898372057647</v>
      </c>
      <c r="T490" s="17" t="str">
        <f t="shared" si="319"/>
        <v>1+9.89238757001884E-06i</v>
      </c>
      <c r="U490" s="17">
        <f t="shared" si="329"/>
        <v>1.0000000000489297</v>
      </c>
      <c r="V490" s="17">
        <f t="shared" si="330"/>
        <v>9.8923875696961523E-6</v>
      </c>
      <c r="W490" s="31" t="str">
        <f t="shared" si="320"/>
        <v>1-5.34188928781017i</v>
      </c>
      <c r="X490" s="17">
        <f t="shared" si="331"/>
        <v>5.4346831704544689</v>
      </c>
      <c r="Y490" s="17">
        <f t="shared" si="332"/>
        <v>-1.3857385067459087</v>
      </c>
      <c r="Z490" s="31" t="str">
        <f t="shared" si="321"/>
        <v>-109.169148133527+325.981343965876i</v>
      </c>
      <c r="AA490" s="17">
        <f t="shared" si="333"/>
        <v>343.77571106463984</v>
      </c>
      <c r="AB490" s="17">
        <f t="shared" si="334"/>
        <v>1.893950690344304</v>
      </c>
      <c r="AC490" s="66" t="str">
        <f t="shared" si="335"/>
        <v>0.000723024263818953+0.00520294380292437i</v>
      </c>
      <c r="AD490" s="64">
        <f t="shared" si="336"/>
        <v>-45.591949674907042</v>
      </c>
      <c r="AE490" s="61">
        <f t="shared" si="337"/>
        <v>82.088589510206305</v>
      </c>
      <c r="AF490" s="31" t="str">
        <f t="shared" si="322"/>
        <v>-0.332666666666667</v>
      </c>
      <c r="AG490" s="31" t="str">
        <f t="shared" si="338"/>
        <v>3297462.52333961i</v>
      </c>
      <c r="AH490" s="31">
        <f t="shared" si="339"/>
        <v>3297462.5233396101</v>
      </c>
      <c r="AI490" s="31">
        <f t="shared" si="340"/>
        <v>1.5707963267948966</v>
      </c>
      <c r="AJ490" s="31" t="str">
        <f t="shared" si="323"/>
        <v>-580120.862240444+27192.4158824569i</v>
      </c>
      <c r="AK490" s="31">
        <f t="shared" si="341"/>
        <v>580757.81724236894</v>
      </c>
      <c r="AL490" s="31">
        <f t="shared" si="342"/>
        <v>3.0947532298737834</v>
      </c>
      <c r="AM490" s="31" t="str">
        <f t="shared" si="324"/>
        <v>1+98934559.4787641i</v>
      </c>
      <c r="AN490" s="31">
        <f t="shared" si="343"/>
        <v>98934559.478764102</v>
      </c>
      <c r="AO490" s="31">
        <f t="shared" si="344"/>
        <v>1.5707963166872052</v>
      </c>
      <c r="AP490" s="31" t="str">
        <f t="shared" si="325"/>
        <v>1+10683.7785756203i</v>
      </c>
      <c r="AQ490" s="31">
        <f t="shared" si="345"/>
        <v>10683.778622420221</v>
      </c>
      <c r="AR490" s="31">
        <f t="shared" si="346"/>
        <v>1.5707027269519196</v>
      </c>
      <c r="AS490" s="58" t="str">
        <f t="shared" si="347"/>
        <v>-0.00858008921764686+0.183414042072623i</v>
      </c>
      <c r="AT490" s="49">
        <f t="shared" si="348"/>
        <v>-14.721854825409812</v>
      </c>
      <c r="AU490" s="61">
        <f t="shared" si="349"/>
        <v>92.678337838658621</v>
      </c>
      <c r="AV490" s="58" t="str">
        <f t="shared" si="326"/>
        <v>-0.000960496566261154+0.0000879710807201228i</v>
      </c>
      <c r="AW490" s="64">
        <f t="shared" si="350"/>
        <v>-60.313804500316849</v>
      </c>
      <c r="AX490" s="61">
        <f t="shared" si="351"/>
        <v>174.76692734886493</v>
      </c>
    </row>
    <row r="491" spans="14:50" x14ac:dyDescent="0.3">
      <c r="N491" s="10">
        <v>73</v>
      </c>
      <c r="O491" s="50">
        <f t="shared" si="352"/>
        <v>537031.7963702539</v>
      </c>
      <c r="P491" s="48" t="str">
        <f t="shared" si="317"/>
        <v>51201.9230769231</v>
      </c>
      <c r="Q491" s="17" t="str">
        <f t="shared" si="318"/>
        <v>1+157682.24635834i</v>
      </c>
      <c r="R491" s="17">
        <f t="shared" si="327"/>
        <v>157682.24636151094</v>
      </c>
      <c r="S491" s="17">
        <f t="shared" si="328"/>
        <v>1.5707899849268481</v>
      </c>
      <c r="T491" s="17" t="str">
        <f t="shared" si="319"/>
        <v>1+0.0000101228108773255i</v>
      </c>
      <c r="U491" s="17">
        <f t="shared" si="329"/>
        <v>1.0000000000512357</v>
      </c>
      <c r="V491" s="17">
        <f t="shared" si="330"/>
        <v>1.0122810876979734E-5</v>
      </c>
      <c r="W491" s="31" t="str">
        <f t="shared" si="320"/>
        <v>1-5.46631787375578i</v>
      </c>
      <c r="X491" s="17">
        <f t="shared" si="331"/>
        <v>5.5570343796796777</v>
      </c>
      <c r="Y491" s="17">
        <f t="shared" si="332"/>
        <v>-1.3898585718617102</v>
      </c>
      <c r="Z491" s="31" t="str">
        <f t="shared" si="321"/>
        <v>-114.361260125065+333.574424894544i</v>
      </c>
      <c r="AA491" s="17">
        <f t="shared" si="333"/>
        <v>352.63351338339714</v>
      </c>
      <c r="AB491" s="17">
        <f t="shared" si="334"/>
        <v>1.90107459785313</v>
      </c>
      <c r="AC491" s="66" t="str">
        <f t="shared" si="335"/>
        <v>0.000761268006064206+0.0050601453799698i</v>
      </c>
      <c r="AD491" s="64">
        <f t="shared" si="336"/>
        <v>-45.819540520230682</v>
      </c>
      <c r="AE491" s="61">
        <f t="shared" si="337"/>
        <v>81.444362072342869</v>
      </c>
      <c r="AF491" s="31" t="str">
        <f t="shared" si="322"/>
        <v>-0.332666666666667</v>
      </c>
      <c r="AG491" s="31" t="str">
        <f t="shared" si="338"/>
        <v>3374270.29244184i</v>
      </c>
      <c r="AH491" s="31">
        <f t="shared" si="339"/>
        <v>3374270.2924418398</v>
      </c>
      <c r="AI491" s="31">
        <f t="shared" si="340"/>
        <v>1.5707963267948966</v>
      </c>
      <c r="AJ491" s="31" t="str">
        <f t="shared" si="323"/>
        <v>-607461.163300421+27825.8086157021i</v>
      </c>
      <c r="AK491" s="31">
        <f t="shared" si="341"/>
        <v>608098.13397462282</v>
      </c>
      <c r="AL491" s="31">
        <f t="shared" si="342"/>
        <v>3.0958179228463583</v>
      </c>
      <c r="AM491" s="31" t="str">
        <f t="shared" si="324"/>
        <v>1+101239041.409003i</v>
      </c>
      <c r="AN491" s="31">
        <f t="shared" si="343"/>
        <v>101239041.409003</v>
      </c>
      <c r="AO491" s="31">
        <f t="shared" si="344"/>
        <v>1.5707963169172843</v>
      </c>
      <c r="AP491" s="31" t="str">
        <f t="shared" si="325"/>
        <v>1+10932.6357475116i</v>
      </c>
      <c r="AQ491" s="31">
        <f t="shared" si="345"/>
        <v>10932.635793246225</v>
      </c>
      <c r="AR491" s="31">
        <f t="shared" si="346"/>
        <v>1.5707048575444518</v>
      </c>
      <c r="AS491" s="58" t="str">
        <f t="shared" si="347"/>
        <v>-0.00819472890230641+0.179256666948824i</v>
      </c>
      <c r="AT491" s="49">
        <f t="shared" si="348"/>
        <v>-14.921426955746483</v>
      </c>
      <c r="AU491" s="61">
        <f t="shared" si="349"/>
        <v>92.61745751199534</v>
      </c>
      <c r="AV491" s="58" t="str">
        <f t="shared" si="326"/>
        <v>-0.000913303180021572+0.0000949958458267359i</v>
      </c>
      <c r="AW491" s="64">
        <f t="shared" si="350"/>
        <v>-60.740967475977158</v>
      </c>
      <c r="AX491" s="61">
        <f t="shared" si="351"/>
        <v>174.0618195843382</v>
      </c>
    </row>
    <row r="492" spans="14:50" x14ac:dyDescent="0.3">
      <c r="N492" s="10">
        <v>74</v>
      </c>
      <c r="O492" s="50">
        <f t="shared" si="352"/>
        <v>549540.87385762564</v>
      </c>
      <c r="P492" s="48" t="str">
        <f t="shared" si="317"/>
        <v>51201.9230769231</v>
      </c>
      <c r="Q492" s="17" t="str">
        <f t="shared" si="318"/>
        <v>1+161355.137705576i</v>
      </c>
      <c r="R492" s="17">
        <f t="shared" si="327"/>
        <v>161355.13770867477</v>
      </c>
      <c r="S492" s="17">
        <f t="shared" si="328"/>
        <v>1.5707901292853892</v>
      </c>
      <c r="T492" s="17" t="str">
        <f t="shared" si="319"/>
        <v>1+0.0000103586014329506i</v>
      </c>
      <c r="U492" s="17">
        <f t="shared" si="329"/>
        <v>1.0000000000536504</v>
      </c>
      <c r="V492" s="17">
        <f t="shared" si="330"/>
        <v>1.0358601432580104E-5</v>
      </c>
      <c r="W492" s="31" t="str">
        <f t="shared" si="320"/>
        <v>1-5.59364477379331i</v>
      </c>
      <c r="X492" s="17">
        <f t="shared" si="331"/>
        <v>5.6823289112286712</v>
      </c>
      <c r="Y492" s="17">
        <f t="shared" si="332"/>
        <v>-1.3938908630843603</v>
      </c>
      <c r="Z492" s="31" t="str">
        <f t="shared" si="321"/>
        <v>-119.798068816081+341.344371398669i</v>
      </c>
      <c r="AA492" s="17">
        <f t="shared" si="333"/>
        <v>361.75621235524756</v>
      </c>
      <c r="AB492" s="17">
        <f t="shared" si="334"/>
        <v>1.9083257280396297</v>
      </c>
      <c r="AC492" s="66" t="str">
        <f t="shared" si="335"/>
        <v>0.000797096043605394+0.00492026328892765i</v>
      </c>
      <c r="AD492" s="64">
        <f t="shared" si="336"/>
        <v>-46.047723098612835</v>
      </c>
      <c r="AE492" s="61">
        <f t="shared" si="337"/>
        <v>80.797874885799573</v>
      </c>
      <c r="AF492" s="31" t="str">
        <f t="shared" si="322"/>
        <v>-0.332666666666667</v>
      </c>
      <c r="AG492" s="31" t="str">
        <f t="shared" si="338"/>
        <v>3452867.14431686i</v>
      </c>
      <c r="AH492" s="31">
        <f t="shared" si="339"/>
        <v>3452867.14431686</v>
      </c>
      <c r="AI492" s="31">
        <f t="shared" si="340"/>
        <v>1.5707963267948966</v>
      </c>
      <c r="AJ492" s="31" t="str">
        <f t="shared" si="323"/>
        <v>-636089.97305263+28473.9549609934i</v>
      </c>
      <c r="AK492" s="31">
        <f t="shared" si="341"/>
        <v>636726.95869518223</v>
      </c>
      <c r="AL492" s="31">
        <f t="shared" si="342"/>
        <v>3.0968584805700483</v>
      </c>
      <c r="AM492" s="31" t="str">
        <f t="shared" si="324"/>
        <v>1+103597201.619054i</v>
      </c>
      <c r="AN492" s="31">
        <f t="shared" si="343"/>
        <v>103597201.619054</v>
      </c>
      <c r="AO492" s="31">
        <f t="shared" si="344"/>
        <v>1.5707963171421262</v>
      </c>
      <c r="AP492" s="31" t="str">
        <f t="shared" si="325"/>
        <v>1+11187.2895475866i</v>
      </c>
      <c r="AQ492" s="31">
        <f t="shared" si="345"/>
        <v>11187.289592280178</v>
      </c>
      <c r="AR492" s="31">
        <f t="shared" si="346"/>
        <v>1.5707069396387778</v>
      </c>
      <c r="AS492" s="58" t="str">
        <f t="shared" si="347"/>
        <v>-0.00782664176533257+0.175192751134033i</v>
      </c>
      <c r="AT492" s="49">
        <f t="shared" si="348"/>
        <v>-15.121018304035502</v>
      </c>
      <c r="AU492" s="61">
        <f t="shared" si="349"/>
        <v>92.557957254188068</v>
      </c>
      <c r="AV492" s="58" t="str">
        <f t="shared" si="326"/>
        <v>-0.000868233047076884+0.000101136310643728i</v>
      </c>
      <c r="AW492" s="64">
        <f t="shared" si="350"/>
        <v>-61.168741402648344</v>
      </c>
      <c r="AX492" s="61">
        <f t="shared" si="351"/>
        <v>173.35583213998768</v>
      </c>
    </row>
    <row r="493" spans="14:50" x14ac:dyDescent="0.3">
      <c r="N493" s="10">
        <v>75</v>
      </c>
      <c r="O493" s="50">
        <f t="shared" si="352"/>
        <v>562341.32519035018</v>
      </c>
      <c r="P493" s="48" t="str">
        <f t="shared" si="317"/>
        <v>51201.9230769231</v>
      </c>
      <c r="Q493" s="17" t="str">
        <f t="shared" si="318"/>
        <v>1+165113.581682613i</v>
      </c>
      <c r="R493" s="17">
        <f t="shared" si="327"/>
        <v>165113.58168564123</v>
      </c>
      <c r="S493" s="17">
        <f t="shared" si="328"/>
        <v>1.5707902703579288</v>
      </c>
      <c r="T493" s="17" t="str">
        <f t="shared" si="319"/>
        <v>1+0.0000105998842561677i</v>
      </c>
      <c r="U493" s="17">
        <f t="shared" si="329"/>
        <v>1.0000000000561786</v>
      </c>
      <c r="V493" s="17">
        <f t="shared" si="330"/>
        <v>1.0599884255770707E-5</v>
      </c>
      <c r="W493" s="31" t="str">
        <f t="shared" si="320"/>
        <v>1-5.72393749833057i</v>
      </c>
      <c r="X493" s="17">
        <f t="shared" si="331"/>
        <v>5.8106333979003368</v>
      </c>
      <c r="Y493" s="17">
        <f t="shared" si="332"/>
        <v>-1.3978369936291901</v>
      </c>
      <c r="Z493" s="31" t="str">
        <f t="shared" si="321"/>
        <v>-125.491106406736+349.295303206738i</v>
      </c>
      <c r="AA493" s="17">
        <f t="shared" si="333"/>
        <v>371.15391231869529</v>
      </c>
      <c r="AB493" s="17">
        <f t="shared" si="334"/>
        <v>1.9157049599471034</v>
      </c>
      <c r="AC493" s="66" t="str">
        <f t="shared" si="335"/>
        <v>0.000830595266675993+0.00478323785159849i</v>
      </c>
      <c r="AD493" s="64">
        <f t="shared" si="336"/>
        <v>-46.276541846264777</v>
      </c>
      <c r="AE493" s="61">
        <f t="shared" si="337"/>
        <v>80.148985157452913</v>
      </c>
      <c r="AF493" s="31" t="str">
        <f t="shared" si="322"/>
        <v>-0.332666666666667</v>
      </c>
      <c r="AG493" s="31" t="str">
        <f t="shared" si="338"/>
        <v>3533294.75205591i</v>
      </c>
      <c r="AH493" s="31">
        <f t="shared" si="339"/>
        <v>3533294.75205591</v>
      </c>
      <c r="AI493" s="31">
        <f t="shared" si="340"/>
        <v>1.5707963267948966</v>
      </c>
      <c r="AJ493" s="31" t="str">
        <f t="shared" si="323"/>
        <v>-666068.017040884+29137.1985741023i</v>
      </c>
      <c r="AK493" s="31">
        <f t="shared" si="341"/>
        <v>666705.01697941497</v>
      </c>
      <c r="AL493" s="31">
        <f t="shared" si="342"/>
        <v>3.0978754457650748</v>
      </c>
      <c r="AM493" s="31" t="str">
        <f t="shared" si="324"/>
        <v>1+106010290.436674i</v>
      </c>
      <c r="AN493" s="31">
        <f t="shared" si="343"/>
        <v>106010290.436674</v>
      </c>
      <c r="AO493" s="31">
        <f t="shared" si="344"/>
        <v>1.5707963173618502</v>
      </c>
      <c r="AP493" s="31" t="str">
        <f t="shared" si="325"/>
        <v>1+11447.8749966611i</v>
      </c>
      <c r="AQ493" s="31">
        <f t="shared" si="345"/>
        <v>11447.875040337327</v>
      </c>
      <c r="AR493" s="31">
        <f t="shared" si="346"/>
        <v>1.5707089743388514</v>
      </c>
      <c r="AS493" s="58" t="str">
        <f t="shared" si="347"/>
        <v>-0.00747505660517401+0.171220245256893i</v>
      </c>
      <c r="AT493" s="49">
        <f t="shared" si="348"/>
        <v>-15.320628008782473</v>
      </c>
      <c r="AU493" s="61">
        <f t="shared" si="349"/>
        <v>92.499806032917405</v>
      </c>
      <c r="AV493" s="58" t="str">
        <f t="shared" si="326"/>
        <v>-0.00082519590470714+0.000106459751572768i</v>
      </c>
      <c r="AW493" s="64">
        <f t="shared" si="350"/>
        <v>-61.597169855047255</v>
      </c>
      <c r="AX493" s="61">
        <f t="shared" si="351"/>
        <v>172.64879119037036</v>
      </c>
    </row>
    <row r="494" spans="14:50" x14ac:dyDescent="0.3">
      <c r="N494" s="10">
        <v>76</v>
      </c>
      <c r="O494" s="50">
        <f t="shared" si="352"/>
        <v>575439.93733715697</v>
      </c>
      <c r="P494" s="48" t="str">
        <f t="shared" si="317"/>
        <v>51201.9230769231</v>
      </c>
      <c r="Q494" s="17" t="str">
        <f t="shared" si="318"/>
        <v>1+168959.571066193i</v>
      </c>
      <c r="R494" s="17">
        <f t="shared" si="327"/>
        <v>168959.5710691523</v>
      </c>
      <c r="S494" s="17">
        <f t="shared" si="328"/>
        <v>1.5707904082192654</v>
      </c>
      <c r="T494" s="17" t="str">
        <f t="shared" si="319"/>
        <v>1+0.0000108467872783235i</v>
      </c>
      <c r="U494" s="17">
        <f t="shared" si="329"/>
        <v>1.0000000000588263</v>
      </c>
      <c r="V494" s="17">
        <f t="shared" si="330"/>
        <v>1.0846787277898115E-5</v>
      </c>
      <c r="W494" s="31" t="str">
        <f t="shared" si="320"/>
        <v>1-5.85726513029469i</v>
      </c>
      <c r="X494" s="17">
        <f t="shared" si="331"/>
        <v>5.9420160557310906</v>
      </c>
      <c r="Y494" s="17">
        <f t="shared" si="332"/>
        <v>-1.4016985639512707</v>
      </c>
      <c r="Z494" s="31" t="str">
        <f t="shared" si="321"/>
        <v>-131.452448593037+357.431436008035i</v>
      </c>
      <c r="AA494" s="17">
        <f t="shared" si="333"/>
        <v>380.83720628093977</v>
      </c>
      <c r="AB494" s="17">
        <f t="shared" si="334"/>
        <v>1.9232130770578244</v>
      </c>
      <c r="AC494" s="66" t="str">
        <f t="shared" si="335"/>
        <v>0.000861848434558888+0.00464901143203016i</v>
      </c>
      <c r="AD494" s="64">
        <f t="shared" si="336"/>
        <v>-46.50604150317271</v>
      </c>
      <c r="AE494" s="61">
        <f t="shared" si="337"/>
        <v>79.497556300798863</v>
      </c>
      <c r="AF494" s="31" t="str">
        <f t="shared" si="322"/>
        <v>-0.332666666666667</v>
      </c>
      <c r="AG494" s="31" t="str">
        <f t="shared" si="338"/>
        <v>3615595.75944117i</v>
      </c>
      <c r="AH494" s="31">
        <f t="shared" si="339"/>
        <v>3615595.7594411699</v>
      </c>
      <c r="AI494" s="31">
        <f t="shared" si="340"/>
        <v>1.5707963267948966</v>
      </c>
      <c r="AJ494" s="31" t="str">
        <f t="shared" si="323"/>
        <v>-697458.882715711+29815.8911155716i</v>
      </c>
      <c r="AK494" s="31">
        <f t="shared" si="341"/>
        <v>698095.89630799554</v>
      </c>
      <c r="AL494" s="31">
        <f t="shared" si="342"/>
        <v>3.0988693492407977</v>
      </c>
      <c r="AM494" s="31" t="str">
        <f t="shared" si="324"/>
        <v>1+108479587.313496i</v>
      </c>
      <c r="AN494" s="31">
        <f t="shared" si="343"/>
        <v>108479587.31349599</v>
      </c>
      <c r="AO494" s="31">
        <f t="shared" si="344"/>
        <v>1.5707963175765725</v>
      </c>
      <c r="AP494" s="31" t="str">
        <f t="shared" si="325"/>
        <v>1+11714.5302605894i</v>
      </c>
      <c r="AQ494" s="31">
        <f t="shared" si="345"/>
        <v>11714.530303271435</v>
      </c>
      <c r="AR494" s="31">
        <f t="shared" si="346"/>
        <v>1.5707109627234976</v>
      </c>
      <c r="AS494" s="58" t="str">
        <f t="shared" si="347"/>
        <v>-0.00713923638516599+0.167337141425081i</v>
      </c>
      <c r="AT494" s="49">
        <f t="shared" si="348"/>
        <v>-15.520255246963385</v>
      </c>
      <c r="AU494" s="61">
        <f t="shared" si="349"/>
        <v>92.442973496866074</v>
      </c>
      <c r="AV494" s="58" t="str">
        <f t="shared" si="326"/>
        <v>-0.00078410522319095+0.000111028861810163i</v>
      </c>
      <c r="AW494" s="64">
        <f t="shared" si="350"/>
        <v>-62.026296750136105</v>
      </c>
      <c r="AX494" s="61">
        <f t="shared" si="351"/>
        <v>171.94052979766494</v>
      </c>
    </row>
    <row r="495" spans="14:50" x14ac:dyDescent="0.3">
      <c r="N495" s="10">
        <v>77</v>
      </c>
      <c r="O495" s="50">
        <f t="shared" si="352"/>
        <v>588843.65535558888</v>
      </c>
      <c r="P495" s="48" t="str">
        <f t="shared" si="317"/>
        <v>51201.9230769231</v>
      </c>
      <c r="Q495" s="17" t="str">
        <f t="shared" si="318"/>
        <v>1+172895.145050798i</v>
      </c>
      <c r="R495" s="17">
        <f t="shared" si="327"/>
        <v>172895.14505368995</v>
      </c>
      <c r="S495" s="17">
        <f t="shared" si="328"/>
        <v>1.5707905429424946</v>
      </c>
      <c r="T495" s="17" t="str">
        <f t="shared" si="319"/>
        <v>1+0.0000110994414106685i</v>
      </c>
      <c r="U495" s="17">
        <f t="shared" si="329"/>
        <v>1.0000000000615987</v>
      </c>
      <c r="V495" s="17">
        <f t="shared" si="330"/>
        <v>1.1099441410212691E-5</v>
      </c>
      <c r="W495" s="31" t="str">
        <f t="shared" si="320"/>
        <v>1-5.99369836176098i</v>
      </c>
      <c r="X495" s="17">
        <f t="shared" si="331"/>
        <v>6.0765467209407875</v>
      </c>
      <c r="Y495" s="17">
        <f t="shared" si="332"/>
        <v>-1.4054771606146181</v>
      </c>
      <c r="Z495" s="31" t="str">
        <f t="shared" si="321"/>
        <v>-137.694740181013+365.757083687869i</v>
      </c>
      <c r="AA495" s="17">
        <f t="shared" si="333"/>
        <v>390.81720246346816</v>
      </c>
      <c r="AB495" s="17">
        <f t="shared" si="334"/>
        <v>1.9308507608151189</v>
      </c>
      <c r="AC495" s="66" t="str">
        <f t="shared" si="335"/>
        <v>0.000890934400280232+0.00451752841670039i</v>
      </c>
      <c r="AD495" s="64">
        <f t="shared" si="336"/>
        <v>-46.73626711438223</v>
      </c>
      <c r="AE495" s="61">
        <f t="shared" si="337"/>
        <v>78.843458371901292</v>
      </c>
      <c r="AF495" s="31" t="str">
        <f t="shared" si="322"/>
        <v>-0.332666666666667</v>
      </c>
      <c r="AG495" s="31" t="str">
        <f t="shared" si="338"/>
        <v>3699813.80355616i</v>
      </c>
      <c r="AH495" s="31">
        <f t="shared" si="339"/>
        <v>3699813.8035561601</v>
      </c>
      <c r="AI495" s="31">
        <f t="shared" si="340"/>
        <v>1.5707963267948966</v>
      </c>
      <c r="AJ495" s="31" t="str">
        <f t="shared" si="323"/>
        <v>-730329.154311851+30510.3924371704i</v>
      </c>
      <c r="AK495" s="31">
        <f t="shared" si="341"/>
        <v>730966.18094446312</v>
      </c>
      <c r="AL495" s="31">
        <f t="shared" si="342"/>
        <v>3.0998407101374794</v>
      </c>
      <c r="AM495" s="31" t="str">
        <f t="shared" si="324"/>
        <v>1+111006401.503408i</v>
      </c>
      <c r="AN495" s="31">
        <f t="shared" si="343"/>
        <v>111006401.503408</v>
      </c>
      <c r="AO495" s="31">
        <f t="shared" si="344"/>
        <v>1.570796317786407</v>
      </c>
      <c r="AP495" s="31" t="str">
        <f t="shared" si="325"/>
        <v>1+11987.396723522i</v>
      </c>
      <c r="AQ495" s="31">
        <f t="shared" si="345"/>
        <v>11987.396765232475</v>
      </c>
      <c r="AR495" s="31">
        <f t="shared" si="346"/>
        <v>1.570712905846984</v>
      </c>
      <c r="AS495" s="58" t="str">
        <f t="shared" si="347"/>
        <v>-0.00681847674350043+0.163541472622186i</v>
      </c>
      <c r="AT495" s="49">
        <f t="shared" si="348"/>
        <v>-15.71989923231998</v>
      </c>
      <c r="AU495" s="61">
        <f t="shared" si="349"/>
        <v>92.387429961899656</v>
      </c>
      <c r="AV495" s="58" t="str">
        <f t="shared" si="326"/>
        <v>-0.000744878065368049+0.000114902061384219i</v>
      </c>
      <c r="AW495" s="64">
        <f t="shared" si="350"/>
        <v>-62.456166346702211</v>
      </c>
      <c r="AX495" s="61">
        <f t="shared" si="351"/>
        <v>171.23088833380098</v>
      </c>
    </row>
    <row r="496" spans="14:50" x14ac:dyDescent="0.3">
      <c r="N496" s="10">
        <v>78</v>
      </c>
      <c r="O496" s="50">
        <f t="shared" si="352"/>
        <v>602559.58607435878</v>
      </c>
      <c r="P496" s="48" t="str">
        <f t="shared" si="317"/>
        <v>51201.9230769231</v>
      </c>
      <c r="Q496" s="17" t="str">
        <f t="shared" si="318"/>
        <v>1+176922.390329846i</v>
      </c>
      <c r="R496" s="17">
        <f t="shared" si="327"/>
        <v>176922.3903326721</v>
      </c>
      <c r="S496" s="17">
        <f t="shared" si="328"/>
        <v>1.570790674599049</v>
      </c>
      <c r="T496" s="17" t="str">
        <f t="shared" si="319"/>
        <v>1+0.0000113579806137679i</v>
      </c>
      <c r="U496" s="17">
        <f t="shared" si="329"/>
        <v>1.0000000000645017</v>
      </c>
      <c r="V496" s="17">
        <f t="shared" si="330"/>
        <v>1.1357980613279493E-5</v>
      </c>
      <c r="W496" s="31" t="str">
        <f t="shared" si="320"/>
        <v>1-6.13330953143464i</v>
      </c>
      <c r="X496" s="17">
        <f t="shared" si="331"/>
        <v>6.2142968876926856</v>
      </c>
      <c r="Y496" s="17">
        <f t="shared" si="332"/>
        <v>-1.4091743552639207</v>
      </c>
      <c r="Z496" s="31" t="str">
        <f t="shared" si="321"/>
        <v>-144.231221908041+374.276660614842i</v>
      </c>
      <c r="AA496" s="17">
        <f t="shared" si="333"/>
        <v>401.10555226035478</v>
      </c>
      <c r="AB496" s="17">
        <f t="shared" si="334"/>
        <v>1.9386185840209058</v>
      </c>
      <c r="AC496" s="66" t="str">
        <f t="shared" si="335"/>
        <v>0.000917928328688013+0.00438873519353071i</v>
      </c>
      <c r="AD496" s="64">
        <f t="shared" si="336"/>
        <v>-46.967264027534355</v>
      </c>
      <c r="AE496" s="61">
        <f t="shared" si="337"/>
        <v>78.18656850660274</v>
      </c>
      <c r="AF496" s="31" t="str">
        <f t="shared" si="322"/>
        <v>-0.332666666666667</v>
      </c>
      <c r="AG496" s="31" t="str">
        <f t="shared" si="338"/>
        <v>3785993.53792262i</v>
      </c>
      <c r="AH496" s="31">
        <f t="shared" si="339"/>
        <v>3785993.5379226198</v>
      </c>
      <c r="AI496" s="31">
        <f t="shared" si="340"/>
        <v>1.5707963267948966</v>
      </c>
      <c r="AJ496" s="31" t="str">
        <f t="shared" si="323"/>
        <v>-764748.554082356+31221.0707726923i</v>
      </c>
      <c r="AK496" s="31">
        <f t="shared" si="341"/>
        <v>765385.59316938254</v>
      </c>
      <c r="AL496" s="31">
        <f t="shared" si="342"/>
        <v>3.1007900361644878</v>
      </c>
      <c r="AM496" s="31" t="str">
        <f t="shared" si="324"/>
        <v>1+113592072.756742i</v>
      </c>
      <c r="AN496" s="31">
        <f t="shared" si="343"/>
        <v>113592072.756742</v>
      </c>
      <c r="AO496" s="31">
        <f t="shared" si="344"/>
        <v>1.5707963179914655</v>
      </c>
      <c r="AP496" s="31" t="str">
        <f t="shared" si="325"/>
        <v>1+12266.6190628693i</v>
      </c>
      <c r="AQ496" s="31">
        <f t="shared" si="345"/>
        <v>12266.619103630326</v>
      </c>
      <c r="AR496" s="31">
        <f t="shared" si="346"/>
        <v>1.5707148047395805</v>
      </c>
      <c r="AS496" s="58" t="str">
        <f t="shared" si="347"/>
        <v>-0.00651210456610444+0.159831312096i</v>
      </c>
      <c r="AT496" s="49">
        <f t="shared" si="348"/>
        <v>-15.919559213728867</v>
      </c>
      <c r="AU496" s="61">
        <f t="shared" si="349"/>
        <v>92.333146397450648</v>
      </c>
      <c r="AV496" s="58" t="str">
        <f t="shared" si="326"/>
        <v>-0.000707434949684512+0.000118133786691079i</v>
      </c>
      <c r="AW496" s="64">
        <f t="shared" si="350"/>
        <v>-62.886823241263215</v>
      </c>
      <c r="AX496" s="61">
        <f t="shared" si="351"/>
        <v>170.51971490405339</v>
      </c>
    </row>
    <row r="497" spans="14:50" x14ac:dyDescent="0.3">
      <c r="N497" s="10">
        <v>79</v>
      </c>
      <c r="O497" s="50">
        <f t="shared" si="352"/>
        <v>616595.00186148309</v>
      </c>
      <c r="P497" s="48" t="str">
        <f t="shared" si="317"/>
        <v>51201.9230769231</v>
      </c>
      <c r="Q497" s="17" t="str">
        <f t="shared" si="318"/>
        <v>1+181043.442202091i</v>
      </c>
      <c r="R497" s="17">
        <f t="shared" si="327"/>
        <v>181043.44220485276</v>
      </c>
      <c r="S497" s="17">
        <f t="shared" si="328"/>
        <v>1.5707908032587341</v>
      </c>
      <c r="T497" s="17" t="str">
        <f t="shared" si="319"/>
        <v>1+0.0000116225419685293i</v>
      </c>
      <c r="U497" s="17">
        <f t="shared" si="329"/>
        <v>1.0000000000675417</v>
      </c>
      <c r="V497" s="17">
        <f t="shared" si="330"/>
        <v>1.1622541968005962E-5</v>
      </c>
      <c r="W497" s="31" t="str">
        <f t="shared" si="320"/>
        <v>1-6.27617266300583i</v>
      </c>
      <c r="X497" s="17">
        <f t="shared" si="331"/>
        <v>6.355339746690313</v>
      </c>
      <c r="Y497" s="17">
        <f t="shared" si="332"/>
        <v>-1.4127917036931308</v>
      </c>
      <c r="Z497" s="31" t="str">
        <f t="shared" si="321"/>
        <v>-151.075758528225+382.99468398141i</v>
      </c>
      <c r="AA497" s="17">
        <f t="shared" si="333"/>
        <v>411.71447967359455</v>
      </c>
      <c r="AB497" s="17">
        <f t="shared" si="334"/>
        <v>1.9465170041299142</v>
      </c>
      <c r="AC497" s="66" t="str">
        <f t="shared" si="335"/>
        <v>0.000942901908264098+0.00426258012950068i</v>
      </c>
      <c r="AD497" s="64">
        <f t="shared" si="336"/>
        <v>-47.199077886433244</v>
      </c>
      <c r="AE497" s="61">
        <f t="shared" si="337"/>
        <v>77.526771358105393</v>
      </c>
      <c r="AF497" s="31" t="str">
        <f t="shared" si="322"/>
        <v>-0.332666666666667</v>
      </c>
      <c r="AG497" s="31" t="str">
        <f t="shared" si="338"/>
        <v>3874180.65617644i</v>
      </c>
      <c r="AH497" s="31">
        <f t="shared" si="339"/>
        <v>3874180.65617644</v>
      </c>
      <c r="AI497" s="31">
        <f t="shared" si="340"/>
        <v>1.5707963267948966</v>
      </c>
      <c r="AJ497" s="31" t="str">
        <f t="shared" si="323"/>
        <v>-800790.090188833+31948.3029331975i</v>
      </c>
      <c r="AK497" s="31">
        <f t="shared" si="341"/>
        <v>801427.1411706435</v>
      </c>
      <c r="AL497" s="31">
        <f t="shared" si="342"/>
        <v>3.1017178238348806</v>
      </c>
      <c r="AM497" s="31" t="str">
        <f t="shared" si="324"/>
        <v>1+116237972.030619i</v>
      </c>
      <c r="AN497" s="31">
        <f t="shared" si="343"/>
        <v>116237972.030619</v>
      </c>
      <c r="AO497" s="31">
        <f t="shared" si="344"/>
        <v>1.5707963181918561</v>
      </c>
      <c r="AP497" s="31" t="str">
        <f t="shared" si="325"/>
        <v>1+12552.3453260117i</v>
      </c>
      <c r="AQ497" s="31">
        <f t="shared" si="345"/>
        <v>12552.345365844893</v>
      </c>
      <c r="AR497" s="31">
        <f t="shared" si="346"/>
        <v>1.5707166604081049</v>
      </c>
      <c r="AS497" s="58" t="str">
        <f t="shared" si="347"/>
        <v>-0.00621947661995794+0.156204772739833i</v>
      </c>
      <c r="AT497" s="49">
        <f t="shared" si="348"/>
        <v>-16.119234473642752</v>
      </c>
      <c r="AU497" s="61">
        <f t="shared" si="349"/>
        <v>92.280094413109026</v>
      </c>
      <c r="AV497" s="58" t="str">
        <f t="shared" si="326"/>
        <v>-0.000671699716787344+0.000120774760840222i</v>
      </c>
      <c r="AW497" s="64">
        <f t="shared" si="350"/>
        <v>-63.318312360075993</v>
      </c>
      <c r="AX497" s="61">
        <f t="shared" si="351"/>
        <v>169.80686577121438</v>
      </c>
    </row>
    <row r="498" spans="14:50" x14ac:dyDescent="0.3">
      <c r="N498" s="10">
        <v>80</v>
      </c>
      <c r="O498" s="50">
        <f t="shared" si="352"/>
        <v>630957.34448019415</v>
      </c>
      <c r="P498" s="48" t="str">
        <f t="shared" si="317"/>
        <v>51201.9230769231</v>
      </c>
      <c r="Q498" s="17" t="str">
        <f t="shared" si="318"/>
        <v>1+185260.485703786i</v>
      </c>
      <c r="R498" s="17">
        <f t="shared" si="327"/>
        <v>185260.48570648488</v>
      </c>
      <c r="S498" s="17">
        <f t="shared" si="328"/>
        <v>1.5707909289897672</v>
      </c>
      <c r="T498" s="17" t="str">
        <f t="shared" si="319"/>
        <v>1+0.000011893265748885i</v>
      </c>
      <c r="U498" s="17">
        <f t="shared" si="329"/>
        <v>1.0000000000707248</v>
      </c>
      <c r="V498" s="17">
        <f t="shared" si="330"/>
        <v>1.1893265748324233E-5</v>
      </c>
      <c r="W498" s="31" t="str">
        <f t="shared" si="320"/>
        <v>1-6.4223635043979i</v>
      </c>
      <c r="X498" s="17">
        <f t="shared" si="331"/>
        <v>6.4997502246334111</v>
      </c>
      <c r="Y498" s="17">
        <f t="shared" si="332"/>
        <v>-1.4163307450054154</v>
      </c>
      <c r="Z498" s="31" t="str">
        <f t="shared" si="321"/>
        <v>-158.242868221399+391.915776198958i</v>
      </c>
      <c r="AA498" s="17">
        <f t="shared" si="333"/>
        <v>422.6568122916828</v>
      </c>
      <c r="AB498" s="17">
        <f t="shared" si="334"/>
        <v>1.9545463564645593</v>
      </c>
      <c r="AC498" s="66" t="str">
        <f t="shared" si="335"/>
        <v>0.000965923556979276+0.00413901354662535i</v>
      </c>
      <c r="AD498" s="64">
        <f t="shared" si="336"/>
        <v>-47.43175462042818</v>
      </c>
      <c r="AE498" s="61">
        <f t="shared" si="337"/>
        <v>76.863959533862825</v>
      </c>
      <c r="AF498" s="31" t="str">
        <f t="shared" si="322"/>
        <v>-0.332666666666667</v>
      </c>
      <c r="AG498" s="31" t="str">
        <f t="shared" si="338"/>
        <v>3964421.916295i</v>
      </c>
      <c r="AH498" s="31">
        <f t="shared" si="339"/>
        <v>3964421.9162949999</v>
      </c>
      <c r="AI498" s="31">
        <f t="shared" si="340"/>
        <v>1.5707963267948966</v>
      </c>
      <c r="AJ498" s="31" t="str">
        <f t="shared" si="323"/>
        <v>-838530.211561527+32692.4745068036i</v>
      </c>
      <c r="AK498" s="31">
        <f t="shared" si="341"/>
        <v>839167.27390359866</v>
      </c>
      <c r="AL498" s="31">
        <f t="shared" si="342"/>
        <v>3.1026245586963461</v>
      </c>
      <c r="AM498" s="31" t="str">
        <f t="shared" si="324"/>
        <v>1+118945502.215859i</v>
      </c>
      <c r="AN498" s="31">
        <f t="shared" si="343"/>
        <v>118945502.215859</v>
      </c>
      <c r="AO498" s="31">
        <f t="shared" si="344"/>
        <v>1.570796318387685</v>
      </c>
      <c r="AP498" s="31" t="str">
        <f t="shared" si="325"/>
        <v>1+12844.7270087958i</v>
      </c>
      <c r="AQ498" s="31">
        <f t="shared" si="345"/>
        <v>12844.727047722279</v>
      </c>
      <c r="AR498" s="31">
        <f t="shared" si="346"/>
        <v>1.5707184738364572</v>
      </c>
      <c r="AS498" s="58" t="str">
        <f t="shared" si="347"/>
        <v>-0.00593997824445841+0.152660006468398i</v>
      </c>
      <c r="AT498" s="49">
        <f t="shared" si="348"/>
        <v>-16.31892432659884</v>
      </c>
      <c r="AU498" s="61">
        <f t="shared" si="349"/>
        <v>92.228246245420905</v>
      </c>
      <c r="AV498" s="58" t="str">
        <f t="shared" si="326"/>
        <v>-0.00063759939971488+0.000122872246035961i</v>
      </c>
      <c r="AW498" s="64">
        <f t="shared" si="350"/>
        <v>-63.750678947027019</v>
      </c>
      <c r="AX498" s="61">
        <f t="shared" si="351"/>
        <v>169.09220577928374</v>
      </c>
    </row>
    <row r="499" spans="14:50" x14ac:dyDescent="0.3">
      <c r="N499" s="10">
        <v>81</v>
      </c>
      <c r="O499" s="50">
        <f t="shared" si="352"/>
        <v>645654.22903465747</v>
      </c>
      <c r="P499" s="48" t="str">
        <f t="shared" si="317"/>
        <v>51201.9230769231</v>
      </c>
      <c r="Q499" s="17" t="str">
        <f t="shared" si="318"/>
        <v>1+189575.756767213i</v>
      </c>
      <c r="R499" s="17">
        <f t="shared" si="327"/>
        <v>189575.75676985044</v>
      </c>
      <c r="S499" s="17">
        <f t="shared" si="328"/>
        <v>1.5707910518588128</v>
      </c>
      <c r="T499" s="17" t="str">
        <f t="shared" si="319"/>
        <v>1+0.0000121702954961668i</v>
      </c>
      <c r="U499" s="17">
        <f t="shared" si="329"/>
        <v>1.0000000000740581</v>
      </c>
      <c r="V499" s="17">
        <f t="shared" si="330"/>
        <v>1.2170295495565929E-5</v>
      </c>
      <c r="W499" s="31" t="str">
        <f t="shared" si="320"/>
        <v>1-6.57195956793005i</v>
      </c>
      <c r="X499" s="17">
        <f t="shared" si="331"/>
        <v>6.6476050245563885</v>
      </c>
      <c r="Y499" s="17">
        <f t="shared" si="332"/>
        <v>-1.4197930008591708</v>
      </c>
      <c r="Z499" s="31" t="str">
        <f t="shared" si="321"/>
        <v>-165.747753388135+401.044667348667i</v>
      </c>
      <c r="AA499" s="17">
        <f t="shared" si="333"/>
        <v>433.94601387962655</v>
      </c>
      <c r="AB499" s="17">
        <f t="shared" si="334"/>
        <v>1.9627068473772684</v>
      </c>
      <c r="AC499" s="66" t="str">
        <f t="shared" si="335"/>
        <v>0.000987058622459454+0.00401798769605047i</v>
      </c>
      <c r="AD499" s="64">
        <f t="shared" si="336"/>
        <v>-47.665340429405525</v>
      </c>
      <c r="AE499" s="61">
        <f t="shared" si="337"/>
        <v>76.198034030552748</v>
      </c>
      <c r="AF499" s="31" t="str">
        <f t="shared" si="322"/>
        <v>-0.332666666666667</v>
      </c>
      <c r="AG499" s="31" t="str">
        <f t="shared" si="338"/>
        <v>4056765.16538892i</v>
      </c>
      <c r="AH499" s="31">
        <f t="shared" si="339"/>
        <v>4056765.1653889199</v>
      </c>
      <c r="AI499" s="31">
        <f t="shared" si="340"/>
        <v>1.5707963267948966</v>
      </c>
      <c r="AJ499" s="31" t="str">
        <f t="shared" si="323"/>
        <v>-878048.970057788+33453.9800631294i</v>
      </c>
      <c r="AK499" s="31">
        <f t="shared" si="341"/>
        <v>878686.04324958217</v>
      </c>
      <c r="AL499" s="31">
        <f t="shared" si="342"/>
        <v>3.1035107155584676</v>
      </c>
      <c r="AM499" s="31" t="str">
        <f t="shared" si="324"/>
        <v>1+121716098.880804i</v>
      </c>
      <c r="AN499" s="31">
        <f t="shared" si="343"/>
        <v>121716098.880804</v>
      </c>
      <c r="AO499" s="31">
        <f t="shared" si="344"/>
        <v>1.5707963185790565</v>
      </c>
      <c r="AP499" s="31" t="str">
        <f t="shared" si="325"/>
        <v>1+13143.9191358601i</v>
      </c>
      <c r="AQ499" s="31">
        <f t="shared" si="345"/>
        <v>13143.919173900504</v>
      </c>
      <c r="AR499" s="31">
        <f t="shared" si="346"/>
        <v>1.5707202459861414</v>
      </c>
      <c r="AS499" s="58" t="str">
        <f t="shared" si="347"/>
        <v>-0.00567302209852106+0.149195203589614i</v>
      </c>
      <c r="AT499" s="49">
        <f t="shared" si="348"/>
        <v>-16.518628117793771</v>
      </c>
      <c r="AU499" s="61">
        <f t="shared" si="349"/>
        <v>92.1775747448971</v>
      </c>
      <c r="AV499" s="58" t="str">
        <f t="shared" si="326"/>
        <v>-0.000605064097710562+0.000124470279141442i</v>
      </c>
      <c r="AW499" s="64">
        <f t="shared" si="350"/>
        <v>-64.183968547199299</v>
      </c>
      <c r="AX499" s="61">
        <f t="shared" si="351"/>
        <v>168.37560877544988</v>
      </c>
    </row>
    <row r="500" spans="14:50" x14ac:dyDescent="0.3">
      <c r="N500" s="10">
        <v>82</v>
      </c>
      <c r="O500" s="50">
        <f t="shared" si="352"/>
        <v>660693.44800759677</v>
      </c>
      <c r="P500" s="48" t="str">
        <f t="shared" si="317"/>
        <v>51201.9230769231</v>
      </c>
      <c r="Q500" s="17" t="str">
        <f t="shared" si="318"/>
        <v>1+193991.54340621i</v>
      </c>
      <c r="R500" s="17">
        <f t="shared" si="327"/>
        <v>193991.54340878743</v>
      </c>
      <c r="S500" s="17">
        <f t="shared" si="328"/>
        <v>1.5707911719310172</v>
      </c>
      <c r="T500" s="17" t="str">
        <f t="shared" si="319"/>
        <v>1+0.0000124537780952135i</v>
      </c>
      <c r="U500" s="17">
        <f t="shared" si="329"/>
        <v>1.0000000000775482</v>
      </c>
      <c r="V500" s="17">
        <f t="shared" si="330"/>
        <v>1.2453778094569654E-5</v>
      </c>
      <c r="W500" s="31" t="str">
        <f t="shared" si="320"/>
        <v>1-6.72504017141526i</v>
      </c>
      <c r="X500" s="17">
        <f t="shared" si="331"/>
        <v>6.7989826670722575</v>
      </c>
      <c r="Y500" s="17">
        <f t="shared" si="332"/>
        <v>-1.4231799747949885</v>
      </c>
      <c r="Z500" s="31" t="str">
        <f t="shared" si="321"/>
        <v>-173.606332896067+410.386197689457i</v>
      </c>
      <c r="AA500" s="17">
        <f t="shared" si="333"/>
        <v>445.59621865050661</v>
      </c>
      <c r="AB500" s="17">
        <f t="shared" si="334"/>
        <v>1.9709985473899361</v>
      </c>
      <c r="AC500" s="66" t="str">
        <f t="shared" si="335"/>
        <v>0.00100636957668911+0.00389945673001483i</v>
      </c>
      <c r="AD500" s="64">
        <f t="shared" si="336"/>
        <v>-47.89988176419903</v>
      </c>
      <c r="AE500" s="61">
        <f t="shared" si="337"/>
        <v>75.528904665721043</v>
      </c>
      <c r="AF500" s="31" t="str">
        <f t="shared" si="322"/>
        <v>-0.332666666666667</v>
      </c>
      <c r="AG500" s="31" t="str">
        <f t="shared" si="338"/>
        <v>4151259.36507115i</v>
      </c>
      <c r="AH500" s="31">
        <f t="shared" si="339"/>
        <v>4151259.36507115</v>
      </c>
      <c r="AI500" s="31">
        <f t="shared" si="340"/>
        <v>1.5707963267948966</v>
      </c>
      <c r="AJ500" s="31" t="str">
        <f t="shared" si="323"/>
        <v>-919430.190262743+34233.2233625003i</v>
      </c>
      <c r="AK500" s="31">
        <f t="shared" si="341"/>
        <v>920067.27381663269</v>
      </c>
      <c r="AL500" s="31">
        <f t="shared" si="342"/>
        <v>3.1043767587162887</v>
      </c>
      <c r="AM500" s="31" t="str">
        <f t="shared" si="324"/>
        <v>1+124551231.032478i</v>
      </c>
      <c r="AN500" s="31">
        <f t="shared" si="343"/>
        <v>124551231.032478</v>
      </c>
      <c r="AO500" s="31">
        <f t="shared" si="344"/>
        <v>1.5707963187660718</v>
      </c>
      <c r="AP500" s="31" t="str">
        <f t="shared" si="325"/>
        <v>1+13450.0803428305i</v>
      </c>
      <c r="AQ500" s="31">
        <f t="shared" si="345"/>
        <v>13450.080380004998</v>
      </c>
      <c r="AR500" s="31">
        <f t="shared" si="346"/>
        <v>1.570721977796774</v>
      </c>
      <c r="AS500" s="58" t="str">
        <f t="shared" si="347"/>
        <v>-0.005418046961182+0.145808592173643i</v>
      </c>
      <c r="AT500" s="49">
        <f t="shared" si="348"/>
        <v>-16.718345221720284</v>
      </c>
      <c r="AU500" s="61">
        <f t="shared" si="349"/>
        <v>92.128053363233136</v>
      </c>
      <c r="AV500" s="58" t="str">
        <f t="shared" si="326"/>
        <v>-0.000574026853672306+0.000125609891497107i</v>
      </c>
      <c r="AW500" s="64">
        <f t="shared" si="350"/>
        <v>-64.618226985919321</v>
      </c>
      <c r="AX500" s="61">
        <f t="shared" si="351"/>
        <v>167.65695802895416</v>
      </c>
    </row>
    <row r="501" spans="14:50" x14ac:dyDescent="0.3">
      <c r="N501" s="10">
        <v>83</v>
      </c>
      <c r="O501" s="50">
        <f t="shared" si="352"/>
        <v>676082.97539198259</v>
      </c>
      <c r="P501" s="48" t="str">
        <f t="shared" si="317"/>
        <v>51201.9230769231</v>
      </c>
      <c r="Q501" s="17" t="str">
        <f t="shared" si="318"/>
        <v>1+198510.186929302i</v>
      </c>
      <c r="R501" s="17">
        <f t="shared" si="327"/>
        <v>198510.18693182076</v>
      </c>
      <c r="S501" s="17">
        <f t="shared" si="328"/>
        <v>1.5707912892700449</v>
      </c>
      <c r="T501" s="17" t="str">
        <f t="shared" si="319"/>
        <v>1+0.0000127438638522515i</v>
      </c>
      <c r="U501" s="17">
        <f t="shared" si="329"/>
        <v>1.000000000081203</v>
      </c>
      <c r="V501" s="17">
        <f t="shared" si="330"/>
        <v>1.2743863851561608E-5</v>
      </c>
      <c r="W501" s="31" t="str">
        <f t="shared" si="320"/>
        <v>1-6.8816864802158i</v>
      </c>
      <c r="X501" s="17">
        <f t="shared" si="331"/>
        <v>6.9539635325463802</v>
      </c>
      <c r="Y501" s="17">
        <f t="shared" si="332"/>
        <v>-1.4264931516386763</v>
      </c>
      <c r="Z501" s="31" t="str">
        <f t="shared" si="321"/>
        <v>-181.835275845951+419.945320224365i</v>
      </c>
      <c r="AA501" s="17">
        <f t="shared" si="333"/>
        <v>457.62226729074001</v>
      </c>
      <c r="AB501" s="17">
        <f t="shared" si="334"/>
        <v>1.9794213843431496</v>
      </c>
      <c r="AC501" s="66" t="str">
        <f t="shared" si="335"/>
        <v>0.00102391620543479+0.0037833766714274i</v>
      </c>
      <c r="AD501" s="64">
        <f t="shared" si="336"/>
        <v>-48.135425302240911</v>
      </c>
      <c r="AE501" s="61">
        <f t="shared" si="337"/>
        <v>74.85649050450985</v>
      </c>
      <c r="AF501" s="31" t="str">
        <f t="shared" si="322"/>
        <v>-0.332666666666667</v>
      </c>
      <c r="AG501" s="31" t="str">
        <f t="shared" si="338"/>
        <v>4247954.61741716i</v>
      </c>
      <c r="AH501" s="31">
        <f t="shared" si="339"/>
        <v>4247954.6174171604</v>
      </c>
      <c r="AI501" s="31">
        <f t="shared" si="340"/>
        <v>1.5707963267948966</v>
      </c>
      <c r="AJ501" s="31" t="str">
        <f t="shared" si="323"/>
        <v>-962761.647292539+35030.6175700284i</v>
      </c>
      <c r="AK501" s="31">
        <f t="shared" si="341"/>
        <v>963398.74074278341</v>
      </c>
      <c r="AL501" s="31">
        <f t="shared" si="342"/>
        <v>3.1052231421701721</v>
      </c>
      <c r="AM501" s="31" t="str">
        <f t="shared" si="324"/>
        <v>1+127452401.895475i</v>
      </c>
      <c r="AN501" s="31">
        <f t="shared" si="343"/>
        <v>127452401.895475</v>
      </c>
      <c r="AO501" s="31">
        <f t="shared" si="344"/>
        <v>1.5707963189488303</v>
      </c>
      <c r="AP501" s="31" t="str">
        <f t="shared" si="325"/>
        <v>1+13763.3729604316i</v>
      </c>
      <c r="AQ501" s="31">
        <f t="shared" si="345"/>
        <v>13763.372996759903</v>
      </c>
      <c r="AR501" s="31">
        <f t="shared" si="346"/>
        <v>1.5707236701865845</v>
      </c>
      <c r="AS501" s="58" t="str">
        <f t="shared" si="347"/>
        <v>-0.0051745165835463+0.142498437420312i</v>
      </c>
      <c r="AT501" s="49">
        <f t="shared" si="348"/>
        <v>-16.918075040864167</v>
      </c>
      <c r="AU501" s="61">
        <f t="shared" si="349"/>
        <v>92.079656140740624</v>
      </c>
      <c r="AV501" s="58" t="str">
        <f t="shared" si="326"/>
        <v>-0.00054442353523605+0.000126329313995689i</v>
      </c>
      <c r="AW501" s="64">
        <f t="shared" si="350"/>
        <v>-65.053500343105085</v>
      </c>
      <c r="AX501" s="61">
        <f t="shared" si="351"/>
        <v>166.93614664525052</v>
      </c>
    </row>
    <row r="502" spans="14:50" x14ac:dyDescent="0.3">
      <c r="N502" s="10">
        <v>84</v>
      </c>
      <c r="O502" s="50">
        <f t="shared" si="352"/>
        <v>691830.97091893724</v>
      </c>
      <c r="P502" s="48" t="str">
        <f t="shared" si="317"/>
        <v>51201.9230769231</v>
      </c>
      <c r="Q502" s="17" t="str">
        <f t="shared" si="318"/>
        <v>1+203134.083181097i</v>
      </c>
      <c r="R502" s="17">
        <f t="shared" si="327"/>
        <v>203134.08318355845</v>
      </c>
      <c r="S502" s="17">
        <f t="shared" si="328"/>
        <v>1.5707914039381099</v>
      </c>
      <c r="T502" s="17" t="str">
        <f t="shared" si="319"/>
        <v>1+0.000013040706574589i</v>
      </c>
      <c r="U502" s="17">
        <f t="shared" si="329"/>
        <v>1.00000000008503</v>
      </c>
      <c r="V502" s="17">
        <f t="shared" si="330"/>
        <v>1.3040706573849765E-5</v>
      </c>
      <c r="W502" s="31" t="str">
        <f t="shared" si="320"/>
        <v>1-7.04198155027803i</v>
      </c>
      <c r="X502" s="17">
        <f t="shared" si="331"/>
        <v>7.1126299042236241</v>
      </c>
      <c r="Y502" s="17">
        <f t="shared" si="332"/>
        <v>-1.4297339969756111</v>
      </c>
      <c r="Z502" s="31" t="str">
        <f t="shared" si="321"/>
        <v>-190.452036929056+429.72710332669i</v>
      </c>
      <c r="AA502" s="17">
        <f t="shared" si="333"/>
        <v>470.0397448131107</v>
      </c>
      <c r="AB502" s="17">
        <f t="shared" si="334"/>
        <v>1.9879751365906912</v>
      </c>
      <c r="AC502" s="66" t="str">
        <f t="shared" si="335"/>
        <v>0.00103975579252686+0.00366970538080685i</v>
      </c>
      <c r="AD502" s="64">
        <f t="shared" si="336"/>
        <v>-48.37201791829537</v>
      </c>
      <c r="AE502" s="61">
        <f t="shared" si="337"/>
        <v>74.180720279703166</v>
      </c>
      <c r="AF502" s="31" t="str">
        <f t="shared" si="322"/>
        <v>-0.332666666666667</v>
      </c>
      <c r="AG502" s="31" t="str">
        <f t="shared" si="338"/>
        <v>4346902.19152965i</v>
      </c>
      <c r="AH502" s="31">
        <f t="shared" si="339"/>
        <v>4346902.1915296502</v>
      </c>
      <c r="AI502" s="31">
        <f t="shared" si="340"/>
        <v>1.5707963267948966</v>
      </c>
      <c r="AJ502" s="31" t="str">
        <f t="shared" si="323"/>
        <v>-1008135.25297708+35846.5854746771i</v>
      </c>
      <c r="AK502" s="31">
        <f t="shared" si="341"/>
        <v>1008772.3558788446</v>
      </c>
      <c r="AL502" s="31">
        <f t="shared" si="342"/>
        <v>3.1060503098419425</v>
      </c>
      <c r="AM502" s="31" t="str">
        <f t="shared" si="324"/>
        <v>1+130421149.70899i</v>
      </c>
      <c r="AN502" s="31">
        <f t="shared" si="343"/>
        <v>130421149.70898999</v>
      </c>
      <c r="AO502" s="31">
        <f t="shared" si="344"/>
        <v>1.5707963191274286</v>
      </c>
      <c r="AP502" s="31" t="str">
        <f t="shared" si="325"/>
        <v>1+14083.9631005561i</v>
      </c>
      <c r="AQ502" s="31">
        <f t="shared" si="345"/>
        <v>14083.963136057469</v>
      </c>
      <c r="AR502" s="31">
        <f t="shared" si="346"/>
        <v>1.5707253240529</v>
      </c>
      <c r="AS502" s="58" t="str">
        <f t="shared" si="347"/>
        <v>-0.00494191859000062+0.139263041026012i</v>
      </c>
      <c r="AT502" s="49">
        <f t="shared" si="348"/>
        <v>-17.117817004457937</v>
      </c>
      <c r="AU502" s="61">
        <f t="shared" si="349"/>
        <v>92.032357693991187</v>
      </c>
      <c r="AV502" s="58" t="str">
        <f t="shared" si="326"/>
        <v>-0.000516192719480831+0.000126664168350467i</v>
      </c>
      <c r="AW502" s="64">
        <f t="shared" si="350"/>
        <v>-65.489834922753303</v>
      </c>
      <c r="AX502" s="61">
        <f t="shared" si="351"/>
        <v>166.21307797369437</v>
      </c>
    </row>
    <row r="503" spans="14:50" x14ac:dyDescent="0.3">
      <c r="N503" s="10">
        <v>85</v>
      </c>
      <c r="O503" s="50">
        <f t="shared" si="352"/>
        <v>707945.78438413853</v>
      </c>
      <c r="P503" s="48" t="str">
        <f t="shared" si="317"/>
        <v>51201.9230769231</v>
      </c>
      <c r="Q503" s="17" t="str">
        <f t="shared" si="318"/>
        <v>1+207865.683812593i</v>
      </c>
      <c r="R503" s="17">
        <f t="shared" si="327"/>
        <v>207865.6838149984</v>
      </c>
      <c r="S503" s="17">
        <f t="shared" si="328"/>
        <v>1.5707915159960113</v>
      </c>
      <c r="T503" s="17" t="str">
        <f t="shared" si="319"/>
        <v>1+0.0000133444636521665i</v>
      </c>
      <c r="U503" s="17">
        <f t="shared" si="329"/>
        <v>1.0000000000890372</v>
      </c>
      <c r="V503" s="17">
        <f t="shared" si="330"/>
        <v>1.3344463651374396E-5</v>
      </c>
      <c r="W503" s="31" t="str">
        <f t="shared" si="320"/>
        <v>1-7.20601037216988i</v>
      </c>
      <c r="X503" s="17">
        <f t="shared" si="331"/>
        <v>7.2750660123341762</v>
      </c>
      <c r="Y503" s="17">
        <f t="shared" si="332"/>
        <v>-1.432903956691935</v>
      </c>
      <c r="Z503" s="31" t="str">
        <f t="shared" si="321"/>
        <v>-199.47489345091+439.73673342731i</v>
      </c>
      <c r="AA503" s="17">
        <f t="shared" si="333"/>
        <v>482.86502031372385</v>
      </c>
      <c r="AB503" s="17">
        <f t="shared" si="334"/>
        <v>1.9966594262778168</v>
      </c>
      <c r="AC503" s="66" t="str">
        <f t="shared" si="335"/>
        <v>0.00105394329909282+0.00355840252033528i</v>
      </c>
      <c r="AD503" s="64">
        <f t="shared" si="336"/>
        <v>-48.609706650135692</v>
      </c>
      <c r="AE503" s="61">
        <f t="shared" si="337"/>
        <v>73.501532803143732</v>
      </c>
      <c r="AF503" s="31" t="str">
        <f t="shared" si="322"/>
        <v>-0.332666666666667</v>
      </c>
      <c r="AG503" s="31" t="str">
        <f t="shared" si="338"/>
        <v>4448154.55072215i</v>
      </c>
      <c r="AH503" s="31">
        <f t="shared" si="339"/>
        <v>4448154.5507221501</v>
      </c>
      <c r="AI503" s="31">
        <f t="shared" si="340"/>
        <v>1.5707963267948966</v>
      </c>
      <c r="AJ503" s="31" t="str">
        <f t="shared" si="323"/>
        <v>-1055647.25081736+36681.5597134301i</v>
      </c>
      <c r="AK503" s="31">
        <f t="shared" si="341"/>
        <v>1056284.3627457805</v>
      </c>
      <c r="AL503" s="31">
        <f t="shared" si="342"/>
        <v>3.1068586957873117</v>
      </c>
      <c r="AM503" s="31" t="str">
        <f t="shared" si="324"/>
        <v>1+133459048.542409i</v>
      </c>
      <c r="AN503" s="31">
        <f t="shared" si="343"/>
        <v>133459048.542409</v>
      </c>
      <c r="AO503" s="31">
        <f t="shared" si="344"/>
        <v>1.5707963193019614</v>
      </c>
      <c r="AP503" s="31" t="str">
        <f t="shared" si="325"/>
        <v>1+14412.0207443398i</v>
      </c>
      <c r="AQ503" s="31">
        <f t="shared" si="345"/>
        <v>14412.020779033059</v>
      </c>
      <c r="AR503" s="31">
        <f t="shared" si="346"/>
        <v>1.5707269402726223</v>
      </c>
      <c r="AS503" s="58" t="str">
        <f t="shared" si="347"/>
        <v>-0.00471976342668166+0.136100740551035i</v>
      </c>
      <c r="AT503" s="49">
        <f t="shared" si="348"/>
        <v>-17.317570567290296</v>
      </c>
      <c r="AU503" s="61">
        <f t="shared" si="349"/>
        <v>91.986133203672694</v>
      </c>
      <c r="AV503" s="58" t="str">
        <f t="shared" si="326"/>
        <v>-0.000489275581233155+0.000126647645432443i</v>
      </c>
      <c r="AW503" s="64">
        <f t="shared" si="350"/>
        <v>-65.927277217425996</v>
      </c>
      <c r="AX503" s="61">
        <f t="shared" si="351"/>
        <v>165.48766600681645</v>
      </c>
    </row>
    <row r="504" spans="14:50" x14ac:dyDescent="0.3">
      <c r="N504" s="10">
        <v>86</v>
      </c>
      <c r="O504" s="50">
        <f t="shared" si="352"/>
        <v>724435.96007499192</v>
      </c>
      <c r="P504" s="48" t="str">
        <f t="shared" si="317"/>
        <v>51201.9230769231</v>
      </c>
      <c r="Q504" s="17" t="str">
        <f t="shared" si="318"/>
        <v>1+212707.497581074i</v>
      </c>
      <c r="R504" s="17">
        <f t="shared" si="327"/>
        <v>212707.49758342467</v>
      </c>
      <c r="S504" s="17">
        <f t="shared" si="328"/>
        <v>1.5707916255031633</v>
      </c>
      <c r="T504" s="17" t="str">
        <f t="shared" si="319"/>
        <v>1+0.0000136552961410072i</v>
      </c>
      <c r="U504" s="17">
        <f t="shared" si="329"/>
        <v>1.0000000000932334</v>
      </c>
      <c r="V504" s="17">
        <f t="shared" si="330"/>
        <v>1.3655296140158445E-5</v>
      </c>
      <c r="W504" s="31" t="str">
        <f t="shared" si="320"/>
        <v>1-7.37385991614388i</v>
      </c>
      <c r="X504" s="17">
        <f t="shared" si="331"/>
        <v>7.4413580792025753</v>
      </c>
      <c r="Y504" s="17">
        <f t="shared" si="332"/>
        <v>-1.4360044565782739</v>
      </c>
      <c r="Z504" s="31" t="str">
        <f t="shared" si="321"/>
        <v>-208.922984099911+449.979517764597i</v>
      </c>
      <c r="AA504" s="17">
        <f t="shared" si="333"/>
        <v>496.11528871107259</v>
      </c>
      <c r="AB504" s="17">
        <f t="shared" si="334"/>
        <v>2.0054737127445375</v>
      </c>
      <c r="AC504" s="66" t="str">
        <f t="shared" si="335"/>
        <v>0.00106653153778934+0.00344942951478492i</v>
      </c>
      <c r="AD504" s="64">
        <f t="shared" si="336"/>
        <v>-48.848538659051542</v>
      </c>
      <c r="AE504" s="61">
        <f t="shared" si="337"/>
        <v>72.818877366405417</v>
      </c>
      <c r="AF504" s="31" t="str">
        <f t="shared" si="322"/>
        <v>-0.332666666666667</v>
      </c>
      <c r="AG504" s="31" t="str">
        <f t="shared" si="338"/>
        <v>4551765.38033573i</v>
      </c>
      <c r="AH504" s="31">
        <f t="shared" si="339"/>
        <v>4551765.3803357296</v>
      </c>
      <c r="AI504" s="31">
        <f t="shared" si="340"/>
        <v>1.5707963267948966</v>
      </c>
      <c r="AJ504" s="31" t="str">
        <f t="shared" si="323"/>
        <v>-1105398.42013086+37535.9830006811i</v>
      </c>
      <c r="AK504" s="31">
        <f t="shared" si="341"/>
        <v>1106035.5406801486</v>
      </c>
      <c r="AL504" s="31">
        <f t="shared" si="342"/>
        <v>3.1076487244045961</v>
      </c>
      <c r="AM504" s="31" t="str">
        <f t="shared" si="324"/>
        <v>1+136567709.129904i</v>
      </c>
      <c r="AN504" s="31">
        <f t="shared" si="343"/>
        <v>136567709.129904</v>
      </c>
      <c r="AO504" s="31">
        <f t="shared" si="344"/>
        <v>1.5707963194725214</v>
      </c>
      <c r="AP504" s="31" t="str">
        <f t="shared" si="325"/>
        <v>1+14747.7198322878i</v>
      </c>
      <c r="AQ504" s="31">
        <f t="shared" si="345"/>
        <v>14747.719866191344</v>
      </c>
      <c r="AR504" s="31">
        <f t="shared" si="346"/>
        <v>1.5707285197026926</v>
      </c>
      <c r="AS504" s="58" t="str">
        <f t="shared" si="347"/>
        <v>-0.00450758335526558+0.133009908788272i</v>
      </c>
      <c r="AT504" s="49">
        <f t="shared" si="348"/>
        <v>-17.517335208567637</v>
      </c>
      <c r="AU504" s="61">
        <f t="shared" si="349"/>
        <v>91.940958402657202</v>
      </c>
      <c r="AV504" s="58" t="str">
        <f t="shared" si="326"/>
        <v>-0.000463615784940721+0.000126310671495169i</v>
      </c>
      <c r="AW504" s="64">
        <f t="shared" si="350"/>
        <v>-66.365873867619186</v>
      </c>
      <c r="AX504" s="61">
        <f t="shared" si="351"/>
        <v>164.75983576906268</v>
      </c>
    </row>
    <row r="505" spans="14:50" x14ac:dyDescent="0.3">
      <c r="N505" s="10">
        <v>87</v>
      </c>
      <c r="O505" s="50">
        <f t="shared" si="352"/>
        <v>741310.24130091805</v>
      </c>
      <c r="P505" s="48" t="str">
        <f t="shared" si="317"/>
        <v>51201.9230769231</v>
      </c>
      <c r="Q505" s="17" t="str">
        <f t="shared" si="318"/>
        <v>1+217662.091680287i</v>
      </c>
      <c r="R505" s="17">
        <f t="shared" si="327"/>
        <v>217662.09168258417</v>
      </c>
      <c r="S505" s="17">
        <f t="shared" si="328"/>
        <v>1.5707917325176282</v>
      </c>
      <c r="T505" s="17" t="str">
        <f t="shared" si="319"/>
        <v>1+0.0000139733688486111i</v>
      </c>
      <c r="U505" s="17">
        <f t="shared" si="329"/>
        <v>1.0000000000976277</v>
      </c>
      <c r="V505" s="17">
        <f t="shared" si="330"/>
        <v>1.3973368847701642E-5</v>
      </c>
      <c r="W505" s="31" t="str">
        <f t="shared" si="320"/>
        <v>1-7.54561917824996i</v>
      </c>
      <c r="X505" s="17">
        <f t="shared" si="331"/>
        <v>7.6115943653858489</v>
      </c>
      <c r="Y505" s="17">
        <f t="shared" si="332"/>
        <v>-1.4390369019918794</v>
      </c>
      <c r="Z505" s="31" t="str">
        <f t="shared" si="321"/>
        <v>-218.81634954305+460.460887198384i</v>
      </c>
      <c r="AA505" s="17">
        <f t="shared" si="333"/>
        <v>509.80861454752716</v>
      </c>
      <c r="AB505" s="17">
        <f t="shared" si="334"/>
        <v>2.0144172860979319</v>
      </c>
      <c r="AC505" s="66" t="str">
        <f t="shared" si="335"/>
        <v>0.00107757134203465+0.00334274950908816i</v>
      </c>
      <c r="AD505" s="64">
        <f t="shared" si="336"/>
        <v>-49.088561185099103</v>
      </c>
      <c r="AE505" s="61">
        <f t="shared" si="337"/>
        <v>72.132714128433349</v>
      </c>
      <c r="AF505" s="31" t="str">
        <f t="shared" si="322"/>
        <v>-0.332666666666667</v>
      </c>
      <c r="AG505" s="31" t="str">
        <f t="shared" si="338"/>
        <v>4657789.61620368i</v>
      </c>
      <c r="AH505" s="31">
        <f t="shared" si="339"/>
        <v>4657789.6162036797</v>
      </c>
      <c r="AI505" s="31">
        <f t="shared" si="340"/>
        <v>1.5707963267948966</v>
      </c>
      <c r="AJ505" s="31" t="str">
        <f t="shared" si="323"/>
        <v>-1157494.28981792+38410.3083629664i</v>
      </c>
      <c r="AK505" s="31">
        <f t="shared" si="341"/>
        <v>1158131.4186005096</v>
      </c>
      <c r="AL505" s="31">
        <f t="shared" si="342"/>
        <v>3.1084208106397311</v>
      </c>
      <c r="AM505" s="31" t="str">
        <f t="shared" si="324"/>
        <v>1+139748779.724467i</v>
      </c>
      <c r="AN505" s="31">
        <f t="shared" si="343"/>
        <v>139748779.72446701</v>
      </c>
      <c r="AO505" s="31">
        <f t="shared" si="344"/>
        <v>1.570796319639199</v>
      </c>
      <c r="AP505" s="31" t="str">
        <f t="shared" si="325"/>
        <v>1+15091.2383564999i</v>
      </c>
      <c r="AQ505" s="31">
        <f t="shared" si="345"/>
        <v>15091.238389631706</v>
      </c>
      <c r="AR505" s="31">
        <f t="shared" si="346"/>
        <v>1.5707300631805454</v>
      </c>
      <c r="AS505" s="58" t="str">
        <f t="shared" si="347"/>
        <v>-0.00430493149021385+0.129988953134098i</v>
      </c>
      <c r="AT505" s="49">
        <f t="shared" si="348"/>
        <v>-17.717110430824896</v>
      </c>
      <c r="AU505" s="61">
        <f t="shared" si="349"/>
        <v>91.896809564280474</v>
      </c>
      <c r="AV505" s="58" t="str">
        <f t="shared" si="326"/>
        <v>-0.000439159380079167+0.000125682063052819i</v>
      </c>
      <c r="AW505" s="64">
        <f t="shared" si="350"/>
        <v>-66.805671615923984</v>
      </c>
      <c r="AX505" s="61">
        <f t="shared" si="351"/>
        <v>164.02952369271378</v>
      </c>
    </row>
    <row r="506" spans="14:50" x14ac:dyDescent="0.3">
      <c r="N506" s="10">
        <v>88</v>
      </c>
      <c r="O506" s="50">
        <f t="shared" si="352"/>
        <v>758577.57502918423</v>
      </c>
      <c r="P506" s="48" t="str">
        <f t="shared" si="317"/>
        <v>51201.9230769231</v>
      </c>
      <c r="Q506" s="17" t="str">
        <f t="shared" si="318"/>
        <v>1+222732.093101609i</v>
      </c>
      <c r="R506" s="17">
        <f t="shared" si="327"/>
        <v>222732.09310385384</v>
      </c>
      <c r="S506" s="17">
        <f t="shared" si="328"/>
        <v>1.5707918370961467</v>
      </c>
      <c r="T506" s="17" t="str">
        <f t="shared" si="319"/>
        <v>1+0.0000142988504213379i</v>
      </c>
      <c r="U506" s="17">
        <f t="shared" si="329"/>
        <v>1.0000000001022284</v>
      </c>
      <c r="V506" s="17">
        <f t="shared" si="330"/>
        <v>1.4298850420363398E-5</v>
      </c>
      <c r="W506" s="31" t="str">
        <f t="shared" si="320"/>
        <v>1-7.72137922752245i</v>
      </c>
      <c r="X506" s="17">
        <f t="shared" si="331"/>
        <v>7.7858652168667284</v>
      </c>
      <c r="Y506" s="17">
        <f t="shared" si="332"/>
        <v>-1.4420026775732762</v>
      </c>
      <c r="Z506" s="31" t="str">
        <f t="shared" si="321"/>
        <v>-229.175974934864+471.186399089485i</v>
      </c>
      <c r="AA506" s="17">
        <f t="shared" si="333"/>
        <v>523.96397793575557</v>
      </c>
      <c r="AB506" s="17">
        <f t="shared" si="334"/>
        <v>2.0234892610000408</v>
      </c>
      <c r="AC506" s="66" t="str">
        <f t="shared" si="335"/>
        <v>0.00108711173019683+0.00323832732233658i</v>
      </c>
      <c r="AD506" s="64">
        <f t="shared" si="336"/>
        <v>-49.329821497038083</v>
      </c>
      <c r="AE506" s="61">
        <f t="shared" si="337"/>
        <v>71.443014487709547</v>
      </c>
      <c r="AF506" s="31" t="str">
        <f t="shared" si="322"/>
        <v>-0.332666666666667</v>
      </c>
      <c r="AG506" s="31" t="str">
        <f t="shared" si="338"/>
        <v>4766283.47377929i</v>
      </c>
      <c r="AH506" s="31">
        <f t="shared" si="339"/>
        <v>4766283.47377929</v>
      </c>
      <c r="AI506" s="31">
        <f t="shared" si="340"/>
        <v>1.5707963267948966</v>
      </c>
      <c r="AJ506" s="31" t="str">
        <f t="shared" si="323"/>
        <v>-1212045.3622028+39304.9993791664i</v>
      </c>
      <c r="AK506" s="31">
        <f t="shared" si="341"/>
        <v>1212682.4988485295</v>
      </c>
      <c r="AL506" s="31">
        <f t="shared" si="342"/>
        <v>3.1091753601876051</v>
      </c>
      <c r="AM506" s="31" t="str">
        <f t="shared" si="324"/>
        <v>1+143003946.971834i</v>
      </c>
      <c r="AN506" s="31">
        <f t="shared" si="343"/>
        <v>143003946.971834</v>
      </c>
      <c r="AO506" s="31">
        <f t="shared" si="344"/>
        <v>1.5707963198020827</v>
      </c>
      <c r="AP506" s="31" t="str">
        <f t="shared" si="325"/>
        <v>1+15442.7584550449i</v>
      </c>
      <c r="AQ506" s="31">
        <f t="shared" si="345"/>
        <v>15442.758487422532</v>
      </c>
      <c r="AR506" s="31">
        <f t="shared" si="346"/>
        <v>1.5707315715245533</v>
      </c>
      <c r="AS506" s="58" t="str">
        <f t="shared" si="347"/>
        <v>-0.00411138087767797+0.127036314962149i</v>
      </c>
      <c r="AT506" s="49">
        <f t="shared" si="348"/>
        <v>-17.916895758886394</v>
      </c>
      <c r="AU506" s="61">
        <f t="shared" si="349"/>
        <v>91.853663490832034</v>
      </c>
      <c r="AV506" s="58" t="str">
        <f t="shared" si="326"/>
        <v>-0.000415854700050313+0.000124788671127615i</v>
      </c>
      <c r="AW506" s="64">
        <f t="shared" si="350"/>
        <v>-67.246717255924466</v>
      </c>
      <c r="AX506" s="61">
        <f t="shared" si="351"/>
        <v>163.29667797854154</v>
      </c>
    </row>
    <row r="507" spans="14:50" x14ac:dyDescent="0.3">
      <c r="N507" s="10">
        <v>89</v>
      </c>
      <c r="O507" s="50">
        <f t="shared" si="352"/>
        <v>776247.11662869214</v>
      </c>
      <c r="P507" s="48" t="str">
        <f t="shared" si="317"/>
        <v>51201.9230769231</v>
      </c>
      <c r="Q507" s="17" t="str">
        <f t="shared" si="318"/>
        <v>1+227920.190026901i</v>
      </c>
      <c r="R507" s="17">
        <f t="shared" si="327"/>
        <v>227920.19002909478</v>
      </c>
      <c r="S507" s="17">
        <f t="shared" si="328"/>
        <v>1.5707919392941672</v>
      </c>
      <c r="T507" s="17" t="str">
        <f t="shared" si="319"/>
        <v>1+0.0000146319134338258i</v>
      </c>
      <c r="U507" s="17">
        <f t="shared" si="329"/>
        <v>1.0000000001070464</v>
      </c>
      <c r="V507" s="17">
        <f t="shared" si="330"/>
        <v>1.4631913432781603E-5</v>
      </c>
      <c r="W507" s="31" t="str">
        <f t="shared" si="320"/>
        <v>1-7.90123325426591i</v>
      </c>
      <c r="X507" s="17">
        <f t="shared" si="331"/>
        <v>7.9642631133280295</v>
      </c>
      <c r="Y507" s="17">
        <f t="shared" si="332"/>
        <v>-1.4449031470136871</v>
      </c>
      <c r="Z507" s="31" t="str">
        <f t="shared" si="321"/>
        <v>-240.023834429744+482.161740246273i</v>
      </c>
      <c r="AA507" s="17">
        <f t="shared" si="333"/>
        <v>538.60132273479564</v>
      </c>
      <c r="AB507" s="17">
        <f t="shared" si="334"/>
        <v>2.0326885707201772</v>
      </c>
      <c r="AC507" s="66" t="str">
        <f t="shared" si="335"/>
        <v>0.00109520006464869+0.00313612939801586i</v>
      </c>
      <c r="AD507" s="64">
        <f t="shared" si="336"/>
        <v>-49.572366836930762</v>
      </c>
      <c r="AE507" s="61">
        <f t="shared" si="337"/>
        <v>70.749761436359577</v>
      </c>
      <c r="AF507" s="31" t="str">
        <f t="shared" si="322"/>
        <v>-0.332666666666667</v>
      </c>
      <c r="AG507" s="31" t="str">
        <f t="shared" si="338"/>
        <v>4877304.47794192i</v>
      </c>
      <c r="AH507" s="31">
        <f t="shared" si="339"/>
        <v>4877304.47794192</v>
      </c>
      <c r="AI507" s="31">
        <f t="shared" si="340"/>
        <v>1.5707963267948966</v>
      </c>
      <c r="AJ507" s="31" t="str">
        <f t="shared" si="323"/>
        <v>-1269167.34742379+40220.5304263005i</v>
      </c>
      <c r="AK507" s="31">
        <f t="shared" si="341"/>
        <v>1269804.4915791221</v>
      </c>
      <c r="AL507" s="31">
        <f t="shared" si="342"/>
        <v>3.1099127696897213</v>
      </c>
      <c r="AM507" s="31" t="str">
        <f t="shared" si="324"/>
        <v>1+146334936.804766i</v>
      </c>
      <c r="AN507" s="31">
        <f t="shared" si="343"/>
        <v>146334936.804766</v>
      </c>
      <c r="AO507" s="31">
        <f t="shared" si="344"/>
        <v>1.5707963199612585</v>
      </c>
      <c r="AP507" s="31" t="str">
        <f t="shared" si="325"/>
        <v>1+15802.4665085318i</v>
      </c>
      <c r="AQ507" s="31">
        <f t="shared" si="345"/>
        <v>15802.466540172427</v>
      </c>
      <c r="AR507" s="31">
        <f t="shared" si="346"/>
        <v>1.5707330455344601</v>
      </c>
      <c r="AS507" s="58" t="str">
        <f t="shared" si="347"/>
        <v>-0.00392652361433584+0.124150469000734i</v>
      </c>
      <c r="AT507" s="49">
        <f t="shared" si="348"/>
        <v>-18.116690738870464</v>
      </c>
      <c r="AU507" s="61">
        <f t="shared" si="349"/>
        <v>91.811497502254639</v>
      </c>
      <c r="AV507" s="58" t="str">
        <f t="shared" si="326"/>
        <v>-0.000393652264526924+0.000123655515536847i</v>
      </c>
      <c r="AW507" s="64">
        <f t="shared" si="350"/>
        <v>-67.689057575801229</v>
      </c>
      <c r="AX507" s="61">
        <f t="shared" si="351"/>
        <v>162.5612589386142</v>
      </c>
    </row>
    <row r="508" spans="14:50" x14ac:dyDescent="0.3">
      <c r="N508" s="10">
        <v>90</v>
      </c>
      <c r="O508" s="50">
        <f t="shared" si="352"/>
        <v>794328.23472428333</v>
      </c>
      <c r="P508" s="48" t="str">
        <f t="shared" si="317"/>
        <v>51201.9230769231</v>
      </c>
      <c r="Q508" s="17" t="str">
        <f t="shared" si="318"/>
        <v>1+233229.133253827i</v>
      </c>
      <c r="R508" s="17">
        <f t="shared" si="327"/>
        <v>233229.13325597078</v>
      </c>
      <c r="S508" s="17">
        <f t="shared" si="328"/>
        <v>1.570792039165877</v>
      </c>
      <c r="T508" s="17" t="str">
        <f t="shared" si="319"/>
        <v>1+0.0000149727344804926i</v>
      </c>
      <c r="U508" s="17">
        <f t="shared" si="329"/>
        <v>1.0000000001120912</v>
      </c>
      <c r="V508" s="17">
        <f t="shared" si="330"/>
        <v>1.4972734479373724E-5</v>
      </c>
      <c r="W508" s="31" t="str">
        <f t="shared" si="320"/>
        <v>1-8.08527661946598i</v>
      </c>
      <c r="X508" s="17">
        <f t="shared" si="331"/>
        <v>8.1468827175357834</v>
      </c>
      <c r="Y508" s="17">
        <f t="shared" si="332"/>
        <v>-1.4477396528697064</v>
      </c>
      <c r="Z508" s="31" t="str">
        <f t="shared" si="321"/>
        <v>-251.382937792079+493.392729939906i</v>
      </c>
      <c r="AA508" s="17">
        <f t="shared" si="333"/>
        <v>553.74160704296844</v>
      </c>
      <c r="AB508" s="17">
        <f t="shared" si="334"/>
        <v>2.0420139615026942</v>
      </c>
      <c r="AC508" s="66" t="str">
        <f t="shared" si="335"/>
        <v>0.00110188220555586+0.00303612375030613i</v>
      </c>
      <c r="AD508" s="64">
        <f t="shared" si="336"/>
        <v>-49.816244359420203</v>
      </c>
      <c r="AE508" s="61">
        <f t="shared" si="337"/>
        <v>70.052949893477319</v>
      </c>
      <c r="AF508" s="31" t="str">
        <f t="shared" si="322"/>
        <v>-0.332666666666667</v>
      </c>
      <c r="AG508" s="31" t="str">
        <f t="shared" si="338"/>
        <v>4990911.49349752i</v>
      </c>
      <c r="AH508" s="31">
        <f t="shared" si="339"/>
        <v>4990911.4934975198</v>
      </c>
      <c r="AI508" s="31">
        <f t="shared" si="340"/>
        <v>1.5707963267948966</v>
      </c>
      <c r="AJ508" s="31" t="str">
        <f t="shared" si="323"/>
        <v>-1328981.40887004+41157.3869310482i</v>
      </c>
      <c r="AK508" s="31">
        <f t="shared" si="341"/>
        <v>1329618.560197318</v>
      </c>
      <c r="AL508" s="31">
        <f t="shared" si="342"/>
        <v>3.1106334269282212</v>
      </c>
      <c r="AM508" s="31" t="str">
        <f t="shared" si="324"/>
        <v>1+149743515.358165i</v>
      </c>
      <c r="AN508" s="31">
        <f t="shared" si="343"/>
        <v>149743515.358165</v>
      </c>
      <c r="AO508" s="31">
        <f t="shared" si="344"/>
        <v>1.5707963201168111</v>
      </c>
      <c r="AP508" s="31" t="str">
        <f t="shared" si="325"/>
        <v>1+16170.553238932i</v>
      </c>
      <c r="AQ508" s="31">
        <f t="shared" si="345"/>
        <v>16170.5532698524</v>
      </c>
      <c r="AR508" s="31">
        <f t="shared" si="346"/>
        <v>1.5707344859918053</v>
      </c>
      <c r="AS508" s="58" t="str">
        <f t="shared" si="347"/>
        <v>-0.00374997000449353+0.121329922714436i</v>
      </c>
      <c r="AT508" s="49">
        <f t="shared" si="348"/>
        <v>-18.31649493723986</v>
      </c>
      <c r="AU508" s="61">
        <f t="shared" si="349"/>
        <v>91.770289425051999</v>
      </c>
      <c r="AV508" s="58" t="str">
        <f t="shared" si="326"/>
        <v>-0.000372504685195426+0.000122305909846926i</v>
      </c>
      <c r="AW508" s="64">
        <f t="shared" si="350"/>
        <v>-68.132739296660063</v>
      </c>
      <c r="AX508" s="61">
        <f t="shared" si="351"/>
        <v>161.82323931852937</v>
      </c>
    </row>
    <row r="509" spans="14:50" x14ac:dyDescent="0.3">
      <c r="N509" s="10">
        <v>91</v>
      </c>
      <c r="O509" s="50">
        <f t="shared" si="352"/>
        <v>812830.51616410096</v>
      </c>
      <c r="P509" s="48" t="str">
        <f t="shared" si="317"/>
        <v>51201.9230769231</v>
      </c>
      <c r="Q509" s="17" t="str">
        <f t="shared" si="318"/>
        <v>1+238661.737654355i</v>
      </c>
      <c r="R509" s="17">
        <f t="shared" si="327"/>
        <v>238661.73765645004</v>
      </c>
      <c r="S509" s="17">
        <f t="shared" si="328"/>
        <v>1.5707921367642288</v>
      </c>
      <c r="T509" s="17" t="str">
        <f t="shared" si="319"/>
        <v>1+0.0000153214942691685i</v>
      </c>
      <c r="U509" s="17">
        <f t="shared" si="329"/>
        <v>1.0000000001173741</v>
      </c>
      <c r="V509" s="17">
        <f t="shared" si="330"/>
        <v>1.5321494267969602E-5</v>
      </c>
      <c r="W509" s="31" t="str">
        <f t="shared" si="320"/>
        <v>1-8.27360690535096i</v>
      </c>
      <c r="X509" s="17">
        <f t="shared" si="331"/>
        <v>8.3338209258581433</v>
      </c>
      <c r="Y509" s="17">
        <f t="shared" si="332"/>
        <v>-1.4505135164218583</v>
      </c>
      <c r="Z509" s="31" t="str">
        <f t="shared" si="321"/>
        <v>-263.27737920304+504.885322989776i</v>
      </c>
      <c r="AA509" s="17">
        <f t="shared" si="333"/>
        <v>569.40685609721265</v>
      </c>
      <c r="AB509" s="17">
        <f t="shared" si="334"/>
        <v>2.0514639873028315</v>
      </c>
      <c r="AC509" s="66" t="str">
        <f t="shared" si="335"/>
        <v>0.0011072026592229+0.00293827990631015i</v>
      </c>
      <c r="AD509" s="64">
        <f t="shared" si="336"/>
        <v>-50.061501065737701</v>
      </c>
      <c r="AE509" s="61">
        <f t="shared" si="337"/>
        <v>69.352587014846364</v>
      </c>
      <c r="AF509" s="31" t="str">
        <f t="shared" si="322"/>
        <v>-0.332666666666667</v>
      </c>
      <c r="AG509" s="31" t="str">
        <f t="shared" si="338"/>
        <v>5107164.75638948i</v>
      </c>
      <c r="AH509" s="31">
        <f t="shared" si="339"/>
        <v>5107164.7563894801</v>
      </c>
      <c r="AI509" s="31">
        <f t="shared" si="340"/>
        <v>1.5707963267948966</v>
      </c>
      <c r="AJ509" s="31" t="str">
        <f t="shared" si="323"/>
        <v>-1391614.42018527+42116.0656271291i</v>
      </c>
      <c r="AK509" s="31">
        <f t="shared" si="341"/>
        <v>1392251.5783620051</v>
      </c>
      <c r="AL509" s="31">
        <f t="shared" si="342"/>
        <v>3.1113377110162888</v>
      </c>
      <c r="AM509" s="31" t="str">
        <f t="shared" si="324"/>
        <v>1+153231489.905495i</v>
      </c>
      <c r="AN509" s="31">
        <f t="shared" si="343"/>
        <v>153231489.90549499</v>
      </c>
      <c r="AO509" s="31">
        <f t="shared" si="344"/>
        <v>1.5707963202688229</v>
      </c>
      <c r="AP509" s="31" t="str">
        <f t="shared" si="325"/>
        <v>1+16547.2138107019i</v>
      </c>
      <c r="AQ509" s="31">
        <f t="shared" si="345"/>
        <v>16547.213840918463</v>
      </c>
      <c r="AR509" s="31">
        <f t="shared" si="346"/>
        <v>1.5707358936603386</v>
      </c>
      <c r="AS509" s="58" t="str">
        <f t="shared" si="347"/>
        <v>-0.00358134775385364+0.1185732156905i</v>
      </c>
      <c r="AT509" s="49">
        <f t="shared" si="348"/>
        <v>-18.51630793989337</v>
      </c>
      <c r="AU509" s="61">
        <f t="shared" si="349"/>
        <v>91.730017581403075</v>
      </c>
      <c r="AV509" s="58" t="str">
        <f t="shared" si="326"/>
        <v>-0.000352366574846644+0.000120761577582475i</v>
      </c>
      <c r="AW509" s="64">
        <f t="shared" si="350"/>
        <v>-68.577809005631082</v>
      </c>
      <c r="AX509" s="61">
        <f t="shared" si="351"/>
        <v>161.08260459624941</v>
      </c>
    </row>
    <row r="510" spans="14:50" x14ac:dyDescent="0.3">
      <c r="N510" s="10">
        <v>92</v>
      </c>
      <c r="O510" s="50">
        <f t="shared" si="352"/>
        <v>831763.77110267128</v>
      </c>
      <c r="P510" s="48" t="str">
        <f t="shared" si="317"/>
        <v>51201.9230769231</v>
      </c>
      <c r="Q510" s="17" t="str">
        <f t="shared" si="318"/>
        <v>1+244220.883667248i</v>
      </c>
      <c r="R510" s="17">
        <f t="shared" si="327"/>
        <v>244220.88366929532</v>
      </c>
      <c r="S510" s="17">
        <f t="shared" si="328"/>
        <v>1.5707922321409711</v>
      </c>
      <c r="T510" s="17" t="str">
        <f t="shared" si="319"/>
        <v>1+0.0000156783777169098i</v>
      </c>
      <c r="U510" s="17">
        <f t="shared" si="329"/>
        <v>1.0000000001229057</v>
      </c>
      <c r="V510" s="17">
        <f t="shared" si="330"/>
        <v>1.567837771562516E-5</v>
      </c>
      <c r="W510" s="31" t="str">
        <f t="shared" si="320"/>
        <v>1-8.46632396713127i</v>
      </c>
      <c r="X510" s="17">
        <f t="shared" si="331"/>
        <v>8.5251769199484286</v>
      </c>
      <c r="Y510" s="17">
        <f t="shared" si="332"/>
        <v>-1.4532260375738686</v>
      </c>
      <c r="Z510" s="31" t="str">
        <f t="shared" si="321"/>
        <v>-275.732388367576+516.645612920842i</v>
      </c>
      <c r="AA510" s="17">
        <f t="shared" si="333"/>
        <v>585.62021767118006</v>
      </c>
      <c r="AB510" s="17">
        <f t="shared" si="334"/>
        <v>2.0610370049447684</v>
      </c>
      <c r="AC510" s="66" t="str">
        <f t="shared" si="335"/>
        <v>0.00111120472078214+0.00284256884410335i</v>
      </c>
      <c r="AD510" s="64">
        <f t="shared" si="336"/>
        <v>-50.308183732540741</v>
      </c>
      <c r="AE510" s="61">
        <f t="shared" si="337"/>
        <v>68.648692476139516</v>
      </c>
      <c r="AF510" s="31" t="str">
        <f t="shared" si="322"/>
        <v>-0.332666666666667</v>
      </c>
      <c r="AG510" s="31" t="str">
        <f t="shared" si="338"/>
        <v>5226125.90563659i</v>
      </c>
      <c r="AH510" s="31">
        <f t="shared" si="339"/>
        <v>5226125.90563659</v>
      </c>
      <c r="AI510" s="31">
        <f t="shared" si="340"/>
        <v>1.5707963267948966</v>
      </c>
      <c r="AJ510" s="31" t="str">
        <f t="shared" si="323"/>
        <v>-1457199.23438384+43097.0748186774i</v>
      </c>
      <c r="AK510" s="31">
        <f t="shared" si="341"/>
        <v>1457836.3991020313</v>
      </c>
      <c r="AL510" s="31">
        <f t="shared" si="342"/>
        <v>3.1120259925849685</v>
      </c>
      <c r="AM510" s="31" t="str">
        <f t="shared" si="324"/>
        <v>1+156800709.817032i</v>
      </c>
      <c r="AN510" s="31">
        <f t="shared" si="343"/>
        <v>156800709.81703201</v>
      </c>
      <c r="AO510" s="31">
        <f t="shared" si="344"/>
        <v>1.5707963204173745</v>
      </c>
      <c r="AP510" s="31" t="str">
        <f t="shared" si="325"/>
        <v>1+16932.6479342625i</v>
      </c>
      <c r="AQ510" s="31">
        <f t="shared" si="345"/>
        <v>16932.647963791253</v>
      </c>
      <c r="AR510" s="31">
        <f t="shared" si="346"/>
        <v>1.5707372692864243</v>
      </c>
      <c r="AS510" s="58" t="str">
        <f t="shared" si="347"/>
        <v>-0.00342030119840989+0.115878919030503i</v>
      </c>
      <c r="AT510" s="49">
        <f t="shared" si="348"/>
        <v>-18.716129351297081</v>
      </c>
      <c r="AU510" s="61">
        <f t="shared" si="349"/>
        <v>91.690660778481345</v>
      </c>
      <c r="AV510" s="58" t="str">
        <f t="shared" si="326"/>
        <v>-0.000333194459762652+0.000119042760241777i</v>
      </c>
      <c r="AW510" s="64">
        <f t="shared" si="350"/>
        <v>-69.024313083837839</v>
      </c>
      <c r="AX510" s="61">
        <f t="shared" si="351"/>
        <v>160.33935325462085</v>
      </c>
    </row>
    <row r="511" spans="14:50" x14ac:dyDescent="0.3">
      <c r="N511" s="10">
        <v>93</v>
      </c>
      <c r="O511" s="50">
        <f t="shared" si="352"/>
        <v>851138.03820237669</v>
      </c>
      <c r="P511" s="48" t="str">
        <f t="shared" si="317"/>
        <v>51201.9230769231</v>
      </c>
      <c r="Q511" s="17" t="str">
        <f t="shared" si="318"/>
        <v>1+249909.518825309i</v>
      </c>
      <c r="R511" s="17">
        <f t="shared" si="327"/>
        <v>249909.51882730974</v>
      </c>
      <c r="S511" s="17">
        <f t="shared" si="328"/>
        <v>1.5707923253466738</v>
      </c>
      <c r="T511" s="17" t="str">
        <f t="shared" si="319"/>
        <v>1+0.0000160435740480445i</v>
      </c>
      <c r="U511" s="17">
        <f t="shared" si="329"/>
        <v>1.0000000001286982</v>
      </c>
      <c r="V511" s="17">
        <f t="shared" si="330"/>
        <v>1.604357404666798E-5</v>
      </c>
      <c r="W511" s="31" t="str">
        <f t="shared" si="320"/>
        <v>1-8.66352998594402i</v>
      </c>
      <c r="X511" s="17">
        <f t="shared" si="331"/>
        <v>8.7210522196207041</v>
      </c>
      <c r="Y511" s="17">
        <f t="shared" si="332"/>
        <v>-1.4558784947896324</v>
      </c>
      <c r="Z511" s="31" t="str">
        <f t="shared" si="321"/>
        <v>-288.774384029997+528.679835194492i</v>
      </c>
      <c r="AA511" s="17">
        <f t="shared" si="333"/>
        <v>602.40602006717972</v>
      </c>
      <c r="AB511" s="17">
        <f t="shared" si="334"/>
        <v>2.0707311697568498</v>
      </c>
      <c r="AC511" s="66" t="str">
        <f t="shared" si="335"/>
        <v>0.00111393061097445+0.00274896292654238i</v>
      </c>
      <c r="AD511" s="64">
        <f t="shared" si="336"/>
        <v>-50.55633883572041</v>
      </c>
      <c r="AE511" s="61">
        <f t="shared" si="337"/>
        <v>67.941298726615898</v>
      </c>
      <c r="AF511" s="31" t="str">
        <f t="shared" si="322"/>
        <v>-0.332666666666667</v>
      </c>
      <c r="AG511" s="31" t="str">
        <f t="shared" si="338"/>
        <v>5347858.01601483i</v>
      </c>
      <c r="AH511" s="31">
        <f t="shared" si="339"/>
        <v>5347858.0160148302</v>
      </c>
      <c r="AI511" s="31">
        <f t="shared" si="340"/>
        <v>1.5707963267948966</v>
      </c>
      <c r="AJ511" s="31" t="str">
        <f t="shared" si="323"/>
        <v>-1525874.96564978+44100.934649752i</v>
      </c>
      <c r="AK511" s="31">
        <f t="shared" si="341"/>
        <v>1526512.1366152642</v>
      </c>
      <c r="AL511" s="31">
        <f t="shared" si="342"/>
        <v>3.1126986339664295</v>
      </c>
      <c r="AM511" s="31" t="str">
        <f t="shared" si="324"/>
        <v>1+160453067.540417i</v>
      </c>
      <c r="AN511" s="31">
        <f t="shared" si="343"/>
        <v>160453067.54041699</v>
      </c>
      <c r="AO511" s="31">
        <f t="shared" si="344"/>
        <v>1.5707963205625446</v>
      </c>
      <c r="AP511" s="31" t="str">
        <f t="shared" si="325"/>
        <v>1+17327.0599718881i</v>
      </c>
      <c r="AQ511" s="31">
        <f t="shared" si="345"/>
        <v>17327.060000744696</v>
      </c>
      <c r="AR511" s="31">
        <f t="shared" si="346"/>
        <v>1.5707386135994374</v>
      </c>
      <c r="AS511" s="58" t="str">
        <f t="shared" si="347"/>
        <v>-0.00326649056698863+0.113245634747725i</v>
      </c>
      <c r="AT511" s="49">
        <f t="shared" si="348"/>
        <v>-18.915958793655893</v>
      </c>
      <c r="AU511" s="61">
        <f t="shared" si="349"/>
        <v>91.652198297977421</v>
      </c>
      <c r="AV511" s="58" t="str">
        <f t="shared" si="326"/>
        <v>-0.000314946695347284+0.000117168317636171i</v>
      </c>
      <c r="AW511" s="64">
        <f t="shared" si="350"/>
        <v>-69.472297629376271</v>
      </c>
      <c r="AX511" s="61">
        <f t="shared" si="351"/>
        <v>159.59349702459329</v>
      </c>
    </row>
    <row r="512" spans="14:50" x14ac:dyDescent="0.3">
      <c r="N512" s="10">
        <v>94</v>
      </c>
      <c r="O512" s="50">
        <f t="shared" si="352"/>
        <v>870963.58995608077</v>
      </c>
      <c r="P512" s="48" t="str">
        <f t="shared" si="317"/>
        <v>51201.9230769231</v>
      </c>
      <c r="Q512" s="17" t="str">
        <f t="shared" si="318"/>
        <v>1+255730.659318193i</v>
      </c>
      <c r="R512" s="17">
        <f t="shared" si="327"/>
        <v>255730.65932014817</v>
      </c>
      <c r="S512" s="17">
        <f t="shared" si="328"/>
        <v>1.5707924164307554</v>
      </c>
      <c r="T512" s="17" t="str">
        <f t="shared" si="319"/>
        <v>1+0.0000164172768945013i</v>
      </c>
      <c r="U512" s="17">
        <f t="shared" si="329"/>
        <v>1.0000000001347635</v>
      </c>
      <c r="V512" s="17">
        <f t="shared" si="330"/>
        <v>1.6417276893026335E-5</v>
      </c>
      <c r="W512" s="31" t="str">
        <f t="shared" si="320"/>
        <v>1-8.8653295230307i</v>
      </c>
      <c r="X512" s="17">
        <f t="shared" si="331"/>
        <v>8.9215507369470117</v>
      </c>
      <c r="Y512" s="17">
        <f t="shared" si="332"/>
        <v>-1.4584721450650393</v>
      </c>
      <c r="Z512" s="31" t="str">
        <f t="shared" si="321"/>
        <v>-302.431030011674+540.994370514668i</v>
      </c>
      <c r="AA512" s="17">
        <f t="shared" si="333"/>
        <v>619.78983280018713</v>
      </c>
      <c r="AB512" s="17">
        <f t="shared" si="334"/>
        <v>2.0805444317394191</v>
      </c>
      <c r="AC512" s="66" t="str">
        <f t="shared" si="335"/>
        <v>0.00111542160673767+0.0026574358308115i</v>
      </c>
      <c r="AD512" s="64">
        <f t="shared" si="336"/>
        <v>-50.806012469371602</v>
      </c>
      <c r="AE512" s="61">
        <f t="shared" si="337"/>
        <v>67.230451210307152</v>
      </c>
      <c r="AF512" s="31" t="str">
        <f t="shared" si="322"/>
        <v>-0.332666666666667</v>
      </c>
      <c r="AG512" s="31" t="str">
        <f t="shared" si="338"/>
        <v>5472425.63150043i</v>
      </c>
      <c r="AH512" s="31">
        <f t="shared" si="339"/>
        <v>5472425.6315004304</v>
      </c>
      <c r="AI512" s="31">
        <f t="shared" si="340"/>
        <v>1.5707963267948966</v>
      </c>
      <c r="AJ512" s="31" t="str">
        <f t="shared" si="323"/>
        <v>-1597787.28441662+45128.1773801227i</v>
      </c>
      <c r="AK512" s="31">
        <f t="shared" si="341"/>
        <v>1598424.4613484517</v>
      </c>
      <c r="AL512" s="31">
        <f t="shared" si="342"/>
        <v>3.1133559893737082</v>
      </c>
      <c r="AM512" s="31" t="str">
        <f t="shared" si="324"/>
        <v>1+164190499.604059i</v>
      </c>
      <c r="AN512" s="31">
        <f t="shared" si="343"/>
        <v>164190499.60405901</v>
      </c>
      <c r="AO512" s="31">
        <f t="shared" si="344"/>
        <v>1.5707963207044102</v>
      </c>
      <c r="AP512" s="31" t="str">
        <f t="shared" si="325"/>
        <v>1+17730.6590460614i</v>
      </c>
      <c r="AQ512" s="31">
        <f t="shared" si="345"/>
        <v>17730.659074261141</v>
      </c>
      <c r="AR512" s="31">
        <f t="shared" si="346"/>
        <v>1.5707399273121507</v>
      </c>
      <c r="AS512" s="58" t="str">
        <f t="shared" si="347"/>
        <v>-0.0031195912760153+0.110671995170674i</v>
      </c>
      <c r="AT512" s="49">
        <f t="shared" si="348"/>
        <v>-19.115795906120084</v>
      </c>
      <c r="AU512" s="61">
        <f t="shared" si="349"/>
        <v>91.614609885822532</v>
      </c>
      <c r="AV512" s="58" t="str">
        <f t="shared" si="326"/>
        <v>-0.000297583384947404+0.000115155821039767i</v>
      </c>
      <c r="AW512" s="64">
        <f t="shared" si="350"/>
        <v>-69.921808375491693</v>
      </c>
      <c r="AX512" s="61">
        <f t="shared" si="351"/>
        <v>158.84506109612963</v>
      </c>
    </row>
    <row r="513" spans="14:50" x14ac:dyDescent="0.3">
      <c r="N513" s="10">
        <v>95</v>
      </c>
      <c r="O513" s="50">
        <f t="shared" si="352"/>
        <v>891250.93813374708</v>
      </c>
      <c r="P513" s="48" t="str">
        <f t="shared" si="317"/>
        <v>51201.9230769231</v>
      </c>
      <c r="Q513" s="17" t="str">
        <f t="shared" si="318"/>
        <v>1+261687.391591645i</v>
      </c>
      <c r="R513" s="17">
        <f t="shared" si="327"/>
        <v>261687.39159355563</v>
      </c>
      <c r="S513" s="17">
        <f t="shared" si="328"/>
        <v>1.5707925054415104</v>
      </c>
      <c r="T513" s="17" t="str">
        <f t="shared" si="319"/>
        <v>1+0.000016799684398476i</v>
      </c>
      <c r="U513" s="17">
        <f t="shared" si="329"/>
        <v>1.0000000001411147</v>
      </c>
      <c r="V513" s="17">
        <f t="shared" si="330"/>
        <v>1.6799684396895543E-5</v>
      </c>
      <c r="W513" s="31" t="str">
        <f t="shared" si="320"/>
        <v>1-9.07182957517701i</v>
      </c>
      <c r="X513" s="17">
        <f t="shared" si="331"/>
        <v>9.1267788316062699</v>
      </c>
      <c r="Y513" s="17">
        <f t="shared" si="332"/>
        <v>-1.4610082239319719</v>
      </c>
      <c r="Z513" s="31" t="str">
        <f t="shared" si="321"/>
        <v>-316.731293889714+553.595748210998i</v>
      </c>
      <c r="AA513" s="17">
        <f t="shared" si="333"/>
        <v>637.79853007540476</v>
      </c>
      <c r="AB513" s="17">
        <f t="shared" si="334"/>
        <v>2.0904745323205614</v>
      </c>
      <c r="AC513" s="66" t="str">
        <f t="shared" si="335"/>
        <v>0.00111571816529128+0.00256796247373604i</v>
      </c>
      <c r="AD513" s="64">
        <f t="shared" si="336"/>
        <v>-51.057250260167436</v>
      </c>
      <c r="AE513" s="61">
        <f t="shared" si="337"/>
        <v>66.516208551675106</v>
      </c>
      <c r="AF513" s="31" t="str">
        <f t="shared" si="322"/>
        <v>-0.332666666666667</v>
      </c>
      <c r="AG513" s="31" t="str">
        <f t="shared" si="338"/>
        <v>5599894.79949198i</v>
      </c>
      <c r="AH513" s="31">
        <f t="shared" si="339"/>
        <v>5599894.7994919801</v>
      </c>
      <c r="AI513" s="31">
        <f t="shared" si="340"/>
        <v>1.5707963267948966</v>
      </c>
      <c r="AJ513" s="31" t="str">
        <f t="shared" si="323"/>
        <v>-1673088.72635392+46179.3476674825i</v>
      </c>
      <c r="AK513" s="31">
        <f t="shared" si="341"/>
        <v>1673725.9089837787</v>
      </c>
      <c r="AL513" s="31">
        <f t="shared" si="342"/>
        <v>3.1139984050769662</v>
      </c>
      <c r="AM513" s="31" t="str">
        <f t="shared" si="324"/>
        <v>1+168014987.64391i</v>
      </c>
      <c r="AN513" s="31">
        <f t="shared" si="343"/>
        <v>168014987.64390999</v>
      </c>
      <c r="AO513" s="31">
        <f t="shared" si="344"/>
        <v>1.5707963208430467</v>
      </c>
      <c r="AP513" s="31" t="str">
        <f t="shared" si="325"/>
        <v>1+18143.659150354i</v>
      </c>
      <c r="AQ513" s="31">
        <f t="shared" si="345"/>
        <v>18143.659177911835</v>
      </c>
      <c r="AR513" s="31">
        <f t="shared" si="346"/>
        <v>1.5707412111211121</v>
      </c>
      <c r="AS513" s="58" t="str">
        <f t="shared" si="347"/>
        <v>-0.00297929325514046+0.108156662353089i</v>
      </c>
      <c r="AT513" s="49">
        <f t="shared" si="348"/>
        <v>-19.315640344027667</v>
      </c>
      <c r="AU513" s="61">
        <f t="shared" si="349"/>
        <v>91.57787574211136</v>
      </c>
      <c r="AV513" s="58" t="str">
        <f t="shared" si="326"/>
        <v>-0.000281066301811762+0.000113021639607161i</v>
      </c>
      <c r="AW513" s="64">
        <f t="shared" si="350"/>
        <v>-70.372890604195106</v>
      </c>
      <c r="AX513" s="61">
        <f t="shared" si="351"/>
        <v>158.09408429378652</v>
      </c>
    </row>
    <row r="514" spans="14:50" x14ac:dyDescent="0.3">
      <c r="N514" s="10">
        <v>96</v>
      </c>
      <c r="O514" s="50">
        <f t="shared" si="352"/>
        <v>912010.83935591124</v>
      </c>
      <c r="P514" s="48" t="str">
        <f t="shared" si="317"/>
        <v>51201.9230769231</v>
      </c>
      <c r="Q514" s="17" t="str">
        <f t="shared" si="318"/>
        <v>1+267782.873983959i</v>
      </c>
      <c r="R514" s="17">
        <f t="shared" si="327"/>
        <v>267782.87398582615</v>
      </c>
      <c r="S514" s="17">
        <f t="shared" si="328"/>
        <v>1.5707925924261332</v>
      </c>
      <c r="T514" s="17" t="str">
        <f t="shared" si="319"/>
        <v>1+0.0000171909993174888i</v>
      </c>
      <c r="U514" s="17">
        <f t="shared" si="329"/>
        <v>1.0000000001477654</v>
      </c>
      <c r="V514" s="17">
        <f t="shared" si="330"/>
        <v>1.7190999315795312E-5</v>
      </c>
      <c r="W514" s="31" t="str">
        <f t="shared" si="320"/>
        <v>1-9.28313963144392i</v>
      </c>
      <c r="X514" s="17">
        <f t="shared" si="331"/>
        <v>9.3368453675149166</v>
      </c>
      <c r="Y514" s="17">
        <f t="shared" si="332"/>
        <v>-1.4634879454919403</v>
      </c>
      <c r="Z514" s="31" t="str">
        <f t="shared" si="321"/>
        <v>-331.70550844107+566.490649700735i</v>
      </c>
      <c r="AA514" s="17">
        <f t="shared" si="333"/>
        <v>656.46035716447466</v>
      </c>
      <c r="AB514" s="17">
        <f t="shared" si="334"/>
        <v>2.1005190017542983</v>
      </c>
      <c r="AC514" s="66" t="str">
        <f t="shared" si="335"/>
        <v>0.00111486004138349+0.00248051893294606i</v>
      </c>
      <c r="AD514" s="64">
        <f t="shared" si="336"/>
        <v>-51.310097277429982</v>
      </c>
      <c r="AE514" s="61">
        <f t="shared" si="337"/>
        <v>65.798642702761484</v>
      </c>
      <c r="AF514" s="31" t="str">
        <f t="shared" si="322"/>
        <v>-0.332666666666667</v>
      </c>
      <c r="AG514" s="31" t="str">
        <f t="shared" si="338"/>
        <v>5730333.10582958i</v>
      </c>
      <c r="AH514" s="31">
        <f t="shared" si="339"/>
        <v>5730333.1058295798</v>
      </c>
      <c r="AI514" s="31">
        <f t="shared" si="340"/>
        <v>1.5707963267948966</v>
      </c>
      <c r="AJ514" s="31" t="str">
        <f t="shared" si="323"/>
        <v>-1751939.01591585+47255.0028562314i</v>
      </c>
      <c r="AK514" s="31">
        <f t="shared" si="341"/>
        <v>1752576.2039874725</v>
      </c>
      <c r="AL514" s="31">
        <f t="shared" si="342"/>
        <v>3.1146262195763086</v>
      </c>
      <c r="AM514" s="31" t="str">
        <f t="shared" si="324"/>
        <v>1+171928559.454151i</v>
      </c>
      <c r="AN514" s="31">
        <f t="shared" si="343"/>
        <v>171928559.454151</v>
      </c>
      <c r="AO514" s="31">
        <f t="shared" si="344"/>
        <v>1.5707963209785274</v>
      </c>
      <c r="AP514" s="31" t="str">
        <f t="shared" si="325"/>
        <v>1+18566.2792628878i</v>
      </c>
      <c r="AQ514" s="31">
        <f t="shared" si="345"/>
        <v>18566.279289818343</v>
      </c>
      <c r="AR514" s="31">
        <f t="shared" si="346"/>
        <v>1.5707424657070139</v>
      </c>
      <c r="AS514" s="58" t="str">
        <f t="shared" si="347"/>
        <v>-0.00284530030241273+0.105698327490745i</v>
      </c>
      <c r="AT514" s="49">
        <f t="shared" si="348"/>
        <v>-19.515491778180895</v>
      </c>
      <c r="AU514" s="61">
        <f t="shared" si="349"/>
        <v>91.54197651122162</v>
      </c>
      <c r="AV514" s="58" t="str">
        <f t="shared" si="326"/>
        <v>-0.000265358814134422+0.000110781020490446i</v>
      </c>
      <c r="AW514" s="64">
        <f t="shared" si="350"/>
        <v>-70.825589055610891</v>
      </c>
      <c r="AX514" s="61">
        <f t="shared" si="351"/>
        <v>157.34061921398302</v>
      </c>
    </row>
    <row r="515" spans="14:50" x14ac:dyDescent="0.3">
      <c r="N515" s="10">
        <v>97</v>
      </c>
      <c r="O515" s="50">
        <f t="shared" si="352"/>
        <v>933254.30079699249</v>
      </c>
      <c r="P515" s="48" t="str">
        <f t="shared" si="317"/>
        <v>51201.9230769231</v>
      </c>
      <c r="Q515" s="17" t="str">
        <f t="shared" si="318"/>
        <v>1+274020.338400586i</v>
      </c>
      <c r="R515" s="17">
        <f t="shared" si="327"/>
        <v>274020.33840241068</v>
      </c>
      <c r="S515" s="17">
        <f t="shared" si="328"/>
        <v>1.5707926774307441</v>
      </c>
      <c r="T515" s="17" t="str">
        <f t="shared" si="319"/>
        <v>1+0.0000175914291318895i</v>
      </c>
      <c r="U515" s="17">
        <f t="shared" si="329"/>
        <v>1.0000000001547291</v>
      </c>
      <c r="V515" s="17">
        <f t="shared" si="330"/>
        <v>1.7591429130074894E-5</v>
      </c>
      <c r="W515" s="31" t="str">
        <f t="shared" si="320"/>
        <v>1-9.49937173122031i</v>
      </c>
      <c r="X515" s="17">
        <f t="shared" si="331"/>
        <v>9.5518617707705307</v>
      </c>
      <c r="Y515" s="17">
        <f t="shared" si="332"/>
        <v>-1.465912502476973</v>
      </c>
      <c r="Z515" s="31" t="str">
        <f t="shared" si="321"/>
        <v>-347.385435982434+579.685912031334i</v>
      </c>
      <c r="AA515" s="17">
        <f t="shared" si="333"/>
        <v>675.80499978936632</v>
      </c>
      <c r="AB515" s="17">
        <f t="shared" si="334"/>
        <v>2.1106751572144633</v>
      </c>
      <c r="AC515" s="66" t="str">
        <f t="shared" si="335"/>
        <v>0.00111288639735079+0.0023950823640298i</v>
      </c>
      <c r="AD515" s="64">
        <f t="shared" si="336"/>
        <v>-51.564597939245083</v>
      </c>
      <c r="AE515" s="61">
        <f t="shared" si="337"/>
        <v>65.077839048916843</v>
      </c>
      <c r="AF515" s="31" t="str">
        <f t="shared" si="322"/>
        <v>-0.332666666666667</v>
      </c>
      <c r="AG515" s="31" t="str">
        <f t="shared" si="338"/>
        <v>5863809.71062982i</v>
      </c>
      <c r="AH515" s="31">
        <f t="shared" si="339"/>
        <v>5863809.7106298199</v>
      </c>
      <c r="AI515" s="31">
        <f t="shared" si="340"/>
        <v>1.5707963267948966</v>
      </c>
      <c r="AJ515" s="31" t="str">
        <f t="shared" si="323"/>
        <v>-1834505.40513824+48355.7132729886i</v>
      </c>
      <c r="AK515" s="31">
        <f t="shared" si="341"/>
        <v>1835142.5984068809</v>
      </c>
      <c r="AL515" s="31">
        <f t="shared" si="342"/>
        <v>3.1152397637711955</v>
      </c>
      <c r="AM515" s="31" t="str">
        <f t="shared" si="324"/>
        <v>1+175933290.062357i</v>
      </c>
      <c r="AN515" s="31">
        <f t="shared" si="343"/>
        <v>175933290.06235701</v>
      </c>
      <c r="AO515" s="31">
        <f t="shared" si="344"/>
        <v>1.5707963211109239</v>
      </c>
      <c r="AP515" s="31" t="str">
        <f t="shared" si="325"/>
        <v>1+18998.7434624406i</v>
      </c>
      <c r="AQ515" s="31">
        <f t="shared" si="345"/>
        <v>18998.743488758129</v>
      </c>
      <c r="AR515" s="31">
        <f t="shared" si="346"/>
        <v>1.5707436917350541</v>
      </c>
      <c r="AS515" s="58" t="str">
        <f t="shared" si="347"/>
        <v>-0.00271732946773952+0.103295710345353i</v>
      </c>
      <c r="AT515" s="49">
        <f t="shared" si="348"/>
        <v>-19.715349894154347</v>
      </c>
      <c r="AU515" s="61">
        <f t="shared" si="349"/>
        <v>91.506893272127883</v>
      </c>
      <c r="AV515" s="58" t="str">
        <f t="shared" si="326"/>
        <v>-0.000250425813129853+0.000108448163062589i</v>
      </c>
      <c r="AW515" s="64">
        <f t="shared" si="350"/>
        <v>-71.279947833399447</v>
      </c>
      <c r="AX515" s="61">
        <f t="shared" si="351"/>
        <v>156.58473232104475</v>
      </c>
    </row>
    <row r="516" spans="14:50" x14ac:dyDescent="0.3">
      <c r="N516" s="10">
        <v>98</v>
      </c>
      <c r="O516" s="50">
        <f t="shared" si="352"/>
        <v>954992.58602143743</v>
      </c>
      <c r="P516" s="48" t="str">
        <f t="shared" si="317"/>
        <v>51201.9230769231</v>
      </c>
      <c r="Q516" s="17" t="str">
        <f t="shared" si="318"/>
        <v>1+280403.09202772i</v>
      </c>
      <c r="R516" s="17">
        <f t="shared" si="327"/>
        <v>280403.0920295032</v>
      </c>
      <c r="S516" s="17">
        <f t="shared" si="328"/>
        <v>1.5707927605004139</v>
      </c>
      <c r="T516" s="17" t="str">
        <f t="shared" si="319"/>
        <v>1+0.000018001186154866i</v>
      </c>
      <c r="U516" s="17">
        <f t="shared" si="329"/>
        <v>1.0000000001620215</v>
      </c>
      <c r="V516" s="17">
        <f t="shared" si="330"/>
        <v>1.8001186152921615E-5</v>
      </c>
      <c r="W516" s="31" t="str">
        <f t="shared" si="320"/>
        <v>1-9.72064052362763i</v>
      </c>
      <c r="X516" s="17">
        <f t="shared" si="331"/>
        <v>9.7719420889397224</v>
      </c>
      <c r="Y516" s="17">
        <f t="shared" si="332"/>
        <v>-1.4682830663355133</v>
      </c>
      <c r="Z516" s="31" t="str">
        <f t="shared" si="321"/>
        <v>-363.804335742365+593.188531505541i</v>
      </c>
      <c r="AA516" s="17">
        <f t="shared" si="333"/>
        <v>695.86365662724745</v>
      </c>
      <c r="AB516" s="17">
        <f t="shared" si="334"/>
        <v>2.1209401016353402</v>
      </c>
      <c r="AC516" s="66" t="str">
        <f t="shared" si="335"/>
        <v>0.00110983590563103+0.00231163091387765i</v>
      </c>
      <c r="AD516" s="64">
        <f t="shared" si="336"/>
        <v>-51.820795915019815</v>
      </c>
      <c r="AE516" s="61">
        <f t="shared" si="337"/>
        <v>64.353896470310289</v>
      </c>
      <c r="AF516" s="31" t="str">
        <f t="shared" si="322"/>
        <v>-0.332666666666667</v>
      </c>
      <c r="AG516" s="31" t="str">
        <f t="shared" si="338"/>
        <v>6000395.38495533i</v>
      </c>
      <c r="AH516" s="31">
        <f t="shared" si="339"/>
        <v>6000395.3849553298</v>
      </c>
      <c r="AI516" s="31">
        <f t="shared" si="340"/>
        <v>1.5707963267948966</v>
      </c>
      <c r="AJ516" s="31" t="str">
        <f t="shared" si="323"/>
        <v>-1920963.02840248+49482.0625289867i</v>
      </c>
      <c r="AK516" s="31">
        <f t="shared" si="341"/>
        <v>1921600.2266343927</v>
      </c>
      <c r="AL516" s="31">
        <f t="shared" si="342"/>
        <v>3.115839361126493</v>
      </c>
      <c r="AM516" s="31" t="str">
        <f t="shared" si="324"/>
        <v>1+180031302.829707i</v>
      </c>
      <c r="AN516" s="31">
        <f t="shared" si="343"/>
        <v>180031302.829707</v>
      </c>
      <c r="AO516" s="31">
        <f t="shared" si="344"/>
        <v>1.5707963212403071</v>
      </c>
      <c r="AP516" s="31" t="str">
        <f t="shared" si="325"/>
        <v>1+19441.2810472553i</v>
      </c>
      <c r="AQ516" s="31">
        <f t="shared" si="345"/>
        <v>19441.281072973768</v>
      </c>
      <c r="AR516" s="31">
        <f t="shared" si="346"/>
        <v>1.5707448898552892</v>
      </c>
      <c r="AS516" s="58" t="str">
        <f t="shared" si="347"/>
        <v>-0.00259511046342731+0.100947558675796i</v>
      </c>
      <c r="AT516" s="49">
        <f t="shared" si="348"/>
        <v>-19.915214391633636</v>
      </c>
      <c r="AU516" s="61">
        <f t="shared" si="349"/>
        <v>91.472607528908057</v>
      </c>
      <c r="AV516" s="58" t="str">
        <f t="shared" si="326"/>
        <v>-0.000236233644086838+0.000106036287632008i</v>
      </c>
      <c r="AW516" s="64">
        <f t="shared" si="350"/>
        <v>-71.736010306653455</v>
      </c>
      <c r="AX516" s="61">
        <f t="shared" si="351"/>
        <v>155.82650399921823</v>
      </c>
    </row>
    <row r="517" spans="14:50" x14ac:dyDescent="0.3">
      <c r="N517" s="10">
        <v>99</v>
      </c>
      <c r="O517" s="50">
        <f t="shared" si="352"/>
        <v>977237.22095581202</v>
      </c>
      <c r="P517" s="48" t="str">
        <f t="shared" si="317"/>
        <v>51201.9230769231</v>
      </c>
      <c r="Q517" s="17" t="str">
        <f t="shared" si="318"/>
        <v>1+286934.519085822i</v>
      </c>
      <c r="R517" s="17">
        <f t="shared" si="327"/>
        <v>286934.51908756449</v>
      </c>
      <c r="S517" s="17">
        <f t="shared" si="328"/>
        <v>1.5707928416791874</v>
      </c>
      <c r="T517" s="17" t="str">
        <f t="shared" si="319"/>
        <v>1+0.0000184204876450157i</v>
      </c>
      <c r="U517" s="17">
        <f t="shared" si="329"/>
        <v>1.0000000001696572</v>
      </c>
      <c r="V517" s="17">
        <f t="shared" si="330"/>
        <v>1.8420487642932253E-5</v>
      </c>
      <c r="W517" s="31" t="str">
        <f t="shared" si="320"/>
        <v>1-9.94706332830848i</v>
      </c>
      <c r="X517" s="17">
        <f t="shared" si="331"/>
        <v>9.9972030517229875</v>
      </c>
      <c r="Y517" s="17">
        <f t="shared" si="332"/>
        <v>-1.470600787341215</v>
      </c>
      <c r="Z517" s="31" t="str">
        <f t="shared" si="321"/>
        <v>-380.997034408576+607.005667390932i</v>
      </c>
      <c r="AA517" s="17">
        <f t="shared" si="333"/>
        <v>716.6691150543885</v>
      </c>
      <c r="AB517" s="17">
        <f t="shared" si="334"/>
        <v>2.1313107233473874</v>
      </c>
      <c r="AC517" s="66" t="str">
        <f t="shared" si="335"/>
        <v>0.00110574684336952+0.0022301436304795i</v>
      </c>
      <c r="AD517" s="64">
        <f t="shared" si="336"/>
        <v>-52.078734024936352</v>
      </c>
      <c r="AE517" s="61">
        <f t="shared" si="337"/>
        <v>63.626927356572253</v>
      </c>
      <c r="AF517" s="31" t="str">
        <f t="shared" si="322"/>
        <v>-0.332666666666667</v>
      </c>
      <c r="AG517" s="31" t="str">
        <f t="shared" si="338"/>
        <v>6140162.54833857i</v>
      </c>
      <c r="AH517" s="31">
        <f t="shared" si="339"/>
        <v>6140162.5483385697</v>
      </c>
      <c r="AI517" s="31">
        <f t="shared" si="340"/>
        <v>1.5707963267948966</v>
      </c>
      <c r="AJ517" s="31" t="str">
        <f t="shared" si="323"/>
        <v>-2011495.2739191+50634.6478295101i</v>
      </c>
      <c r="AK517" s="31">
        <f t="shared" si="341"/>
        <v>2012132.4768910455</v>
      </c>
      <c r="AL517" s="31">
        <f t="shared" si="342"/>
        <v>3.1164253278352083</v>
      </c>
      <c r="AM517" s="31" t="str">
        <f t="shared" si="324"/>
        <v>1+184224770.576814i</v>
      </c>
      <c r="AN517" s="31">
        <f t="shared" si="343"/>
        <v>184224770.576814</v>
      </c>
      <c r="AO517" s="31">
        <f t="shared" si="344"/>
        <v>1.5707963213667449</v>
      </c>
      <c r="AP517" s="31" t="str">
        <f t="shared" si="325"/>
        <v>1+19894.126656617i</v>
      </c>
      <c r="AQ517" s="31">
        <f t="shared" si="345"/>
        <v>19894.126681750044</v>
      </c>
      <c r="AR517" s="31">
        <f t="shared" si="346"/>
        <v>1.5707460607029782</v>
      </c>
      <c r="AS517" s="58" t="str">
        <f t="shared" si="347"/>
        <v>-0.00247838510064+0.0986526476769058i</v>
      </c>
      <c r="AT517" s="49">
        <f t="shared" si="348"/>
        <v>-20.115084983784101</v>
      </c>
      <c r="AU517" s="61">
        <f t="shared" si="349"/>
        <v>91.439101201438888</v>
      </c>
      <c r="AV517" s="58" t="str">
        <f t="shared" si="326"/>
        <v>-0.000222750040348276+0.000103557699012716i</v>
      </c>
      <c r="AW517" s="64">
        <f t="shared" si="350"/>
        <v>-72.193819008720482</v>
      </c>
      <c r="AX517" s="61">
        <f t="shared" si="351"/>
        <v>155.0660285580112</v>
      </c>
    </row>
    <row r="518" spans="14:50" x14ac:dyDescent="0.3">
      <c r="N518" s="10">
        <v>100</v>
      </c>
      <c r="O518" s="50">
        <f t="shared" si="352"/>
        <v>1000000</v>
      </c>
      <c r="P518" s="48" t="str">
        <f t="shared" si="317"/>
        <v>51201.9230769231</v>
      </c>
      <c r="Q518" s="17" t="str">
        <f t="shared" si="318"/>
        <v>1+293618.082623969i</v>
      </c>
      <c r="R518" s="17">
        <f t="shared" si="327"/>
        <v>293618.08262567193</v>
      </c>
      <c r="S518" s="17">
        <f t="shared" si="328"/>
        <v>1.5707929210101061</v>
      </c>
      <c r="T518" s="17" t="str">
        <f t="shared" si="319"/>
        <v>1+0.0000188495559215388i</v>
      </c>
      <c r="U518" s="17">
        <f t="shared" si="329"/>
        <v>1.000000000177653</v>
      </c>
      <c r="V518" s="17">
        <f t="shared" si="330"/>
        <v>1.8849555919306345E-5</v>
      </c>
      <c r="W518" s="31" t="str">
        <f t="shared" si="320"/>
        <v>1-10.1787601976309i</v>
      </c>
      <c r="X518" s="17">
        <f t="shared" si="331"/>
        <v>10.227764133029028</v>
      </c>
      <c r="Y518" s="17">
        <f t="shared" si="332"/>
        <v>-1.4728667947226506</v>
      </c>
      <c r="Z518" s="31" t="str">
        <f t="shared" si="321"/>
        <v>-399.000000000001+621.144645715842i</v>
      </c>
      <c r="AA518" s="17">
        <f t="shared" si="333"/>
        <v>738.2558302522641</v>
      </c>
      <c r="AB518" s="17">
        <f t="shared" si="334"/>
        <v>2.1417836965528307</v>
      </c>
      <c r="AC518" s="66" t="str">
        <f t="shared" si="335"/>
        <v>0.00110065717876454+0.00215060036950303i</v>
      </c>
      <c r="AD518" s="64">
        <f t="shared" si="336"/>
        <v>-52.338454136806433</v>
      </c>
      <c r="AE518" s="61">
        <f t="shared" si="337"/>
        <v>62.897057572119799</v>
      </c>
      <c r="AF518" s="31" t="str">
        <f t="shared" si="322"/>
        <v>-0.332666666666667</v>
      </c>
      <c r="AG518" s="31" t="str">
        <f t="shared" si="338"/>
        <v>6283185.30717959i</v>
      </c>
      <c r="AH518" s="31">
        <f t="shared" si="339"/>
        <v>6283185.3071795898</v>
      </c>
      <c r="AI518" s="31">
        <f t="shared" si="340"/>
        <v>1.5707963267948966</v>
      </c>
      <c r="AJ518" s="31" t="str">
        <f t="shared" si="323"/>
        <v>-2106294.17271869+51814.0802905416i</v>
      </c>
      <c r="AK518" s="31">
        <f t="shared" si="341"/>
        <v>2106931.3802174632</v>
      </c>
      <c r="AL518" s="31">
        <f t="shared" si="342"/>
        <v>3.1169979729779516</v>
      </c>
      <c r="AM518" s="31" t="str">
        <f t="shared" si="324"/>
        <v>1+188515916.735783i</v>
      </c>
      <c r="AN518" s="31">
        <f t="shared" si="343"/>
        <v>188515916.73578301</v>
      </c>
      <c r="AO518" s="31">
        <f t="shared" si="344"/>
        <v>1.5707963214903047</v>
      </c>
      <c r="AP518" s="31" t="str">
        <f t="shared" si="325"/>
        <v>1+20357.5203952619i</v>
      </c>
      <c r="AQ518" s="31">
        <f t="shared" si="345"/>
        <v>20357.520419822849</v>
      </c>
      <c r="AR518" s="31">
        <f t="shared" si="346"/>
        <v>1.5707472048989202</v>
      </c>
      <c r="AS518" s="58" t="str">
        <f t="shared" si="347"/>
        <v>-0.00236690675066339+0.0964097794259741i</v>
      </c>
      <c r="AT518" s="49">
        <f t="shared" si="348"/>
        <v>-20.314961396647561</v>
      </c>
      <c r="AU518" s="61">
        <f t="shared" si="349"/>
        <v>91.406356616278885</v>
      </c>
      <c r="AV518" s="58" t="str">
        <f t="shared" si="326"/>
        <v>-0.000209944060163789+0.000101023845295748i</v>
      </c>
      <c r="AW518" s="64">
        <f t="shared" si="350"/>
        <v>-72.653415533454023</v>
      </c>
      <c r="AX518" s="61">
        <f t="shared" si="351"/>
        <v>154.3034141883987</v>
      </c>
    </row>
    <row r="519" spans="14:50" x14ac:dyDescent="0.3">
      <c r="N519" s="10">
        <v>1</v>
      </c>
      <c r="O519" s="50">
        <f>10^(6+(N519/100))</f>
        <v>1023292.9922807553</v>
      </c>
      <c r="P519" s="48" t="str">
        <f t="shared" si="317"/>
        <v>51201.9230769231</v>
      </c>
      <c r="Q519" s="17" t="str">
        <f t="shared" si="318"/>
        <v>1+300457.32635602i</v>
      </c>
      <c r="R519" s="17">
        <f t="shared" si="327"/>
        <v>300457.32635768416</v>
      </c>
      <c r="S519" s="17">
        <f t="shared" si="328"/>
        <v>1.5707929985352329</v>
      </c>
      <c r="T519" s="17" t="str">
        <f t="shared" si="319"/>
        <v>1+0.0000192886184821149i</v>
      </c>
      <c r="U519" s="17">
        <f t="shared" si="329"/>
        <v>1.0000000001860254</v>
      </c>
      <c r="V519" s="17">
        <f t="shared" si="330"/>
        <v>1.9288618479722784E-5</v>
      </c>
      <c r="W519" s="31" t="str">
        <f t="shared" si="320"/>
        <v>1-10.415853980342i</v>
      </c>
      <c r="X519" s="17">
        <f t="shared" si="331"/>
        <v>10.46374761449292</v>
      </c>
      <c r="Y519" s="17">
        <f t="shared" si="332"/>
        <v>-1.475082196812078</v>
      </c>
      <c r="Z519" s="31" t="str">
        <f t="shared" si="321"/>
        <v>-417.851419220362+635.612963153734i</v>
      </c>
      <c r="AA519" s="17">
        <f t="shared" si="333"/>
        <v>760.66000780476213</v>
      </c>
      <c r="AB519" s="17">
        <f t="shared" si="334"/>
        <v>2.1523554826815943</v>
      </c>
      <c r="AC519" s="66" t="str">
        <f t="shared" si="335"/>
        <v>0.00109460464881408+0.00207298169804443i</v>
      </c>
      <c r="AD519" s="64">
        <f t="shared" si="336"/>
        <v>-52.599997060882693</v>
      </c>
      <c r="AE519" s="61">
        <f t="shared" si="337"/>
        <v>62.164426369947208</v>
      </c>
      <c r="AF519" s="31" t="str">
        <f t="shared" si="322"/>
        <v>-0.332666666666667</v>
      </c>
      <c r="AG519" s="31" t="str">
        <f t="shared" si="338"/>
        <v>6429539.49403828i</v>
      </c>
      <c r="AH519" s="31">
        <f t="shared" si="339"/>
        <v>6429539.4940382801</v>
      </c>
      <c r="AI519" s="31">
        <f t="shared" si="340"/>
        <v>1.5707963267948966</v>
      </c>
      <c r="AJ519" s="31" t="str">
        <f t="shared" si="323"/>
        <v>-2205560.80597555+53020.9852627836i</v>
      </c>
      <c r="AK519" s="31">
        <f t="shared" si="341"/>
        <v>2206198.0177975306</v>
      </c>
      <c r="AL519" s="31">
        <f t="shared" si="342"/>
        <v>3.1175575986791717</v>
      </c>
      <c r="AM519" s="31" t="str">
        <f t="shared" si="324"/>
        <v>1+192907016.529109i</v>
      </c>
      <c r="AN519" s="31">
        <f t="shared" si="343"/>
        <v>192907016.529109</v>
      </c>
      <c r="AO519" s="31">
        <f t="shared" si="344"/>
        <v>1.5707963216110521</v>
      </c>
      <c r="AP519" s="31" t="str">
        <f t="shared" si="325"/>
        <v>1+20831.707960684i</v>
      </c>
      <c r="AQ519" s="31">
        <f t="shared" si="345"/>
        <v>20831.707984685872</v>
      </c>
      <c r="AR519" s="31">
        <f t="shared" si="346"/>
        <v>1.5707483230497827</v>
      </c>
      <c r="AS519" s="58" t="str">
        <f t="shared" si="347"/>
        <v>-0.00226043982990779+0.094217782337159i</v>
      </c>
      <c r="AT519" s="49">
        <f t="shared" si="348"/>
        <v>-20.514843368565302</v>
      </c>
      <c r="AU519" s="61">
        <f t="shared" si="349"/>
        <v>91.374356497735519</v>
      </c>
      <c r="AV519" s="58" t="str">
        <f t="shared" si="326"/>
        <v>-0.000197786026361446+0.0000984453721502778i</v>
      </c>
      <c r="AW519" s="64">
        <f t="shared" si="350"/>
        <v>-73.114840429447995</v>
      </c>
      <c r="AX519" s="61">
        <f t="shared" si="351"/>
        <v>153.53878286768273</v>
      </c>
    </row>
    <row r="520" spans="14:50" x14ac:dyDescent="0.3">
      <c r="N520" s="10">
        <v>2</v>
      </c>
      <c r="O520" s="50">
        <f t="shared" ref="O520:O560" si="353">10^(6+(N520/100))</f>
        <v>1047128.5480509007</v>
      </c>
      <c r="P520" s="48" t="str">
        <f t="shared" si="317"/>
        <v>51201.9230769231</v>
      </c>
      <c r="Q520" s="17" t="str">
        <f t="shared" si="318"/>
        <v>1+307455.876539526i</v>
      </c>
      <c r="R520" s="17">
        <f t="shared" si="327"/>
        <v>307455.87654115219</v>
      </c>
      <c r="S520" s="17">
        <f t="shared" si="328"/>
        <v>1.5707930742956722</v>
      </c>
      <c r="T520" s="17" t="str">
        <f t="shared" si="319"/>
        <v>1+0.0000197379081235252i</v>
      </c>
      <c r="U520" s="17">
        <f t="shared" si="329"/>
        <v>1.0000000001947926</v>
      </c>
      <c r="V520" s="17">
        <f t="shared" si="330"/>
        <v>1.9737908120962005E-5</v>
      </c>
      <c r="W520" s="31" t="str">
        <f t="shared" si="320"/>
        <v>1-10.6584703867036i</v>
      </c>
      <c r="X520" s="17">
        <f t="shared" si="331"/>
        <v>10.705278650471344</v>
      </c>
      <c r="Y520" s="17">
        <f t="shared" si="332"/>
        <v>-1.4772480812115099</v>
      </c>
      <c r="Z520" s="31" t="str">
        <f t="shared" si="321"/>
        <v>-437.591278457276+650.418290998021i</v>
      </c>
      <c r="AA520" s="17">
        <f t="shared" si="333"/>
        <v>783.91968992152476</v>
      </c>
      <c r="AB520" s="17">
        <f t="shared" si="334"/>
        <v>2.1630223326629787</v>
      </c>
      <c r="AC520" s="66" t="str">
        <f t="shared" si="335"/>
        <v>0.00108762682815002+0.00199726879600806i</v>
      </c>
      <c r="AD520" s="64">
        <f t="shared" si="336"/>
        <v>-52.863402443227415</v>
      </c>
      <c r="AE520" s="61">
        <f t="shared" si="337"/>
        <v>61.42918625196036</v>
      </c>
      <c r="AF520" s="31" t="str">
        <f t="shared" si="322"/>
        <v>-0.332666666666667</v>
      </c>
      <c r="AG520" s="31" t="str">
        <f t="shared" si="338"/>
        <v>6579302.70784171i</v>
      </c>
      <c r="AH520" s="31">
        <f t="shared" si="339"/>
        <v>6579302.7078417102</v>
      </c>
      <c r="AI520" s="31">
        <f t="shared" si="340"/>
        <v>1.5707963267948966</v>
      </c>
      <c r="AJ520" s="31" t="str">
        <f t="shared" si="323"/>
        <v>-2309505.73152769+54256.0026632276i</v>
      </c>
      <c r="AK520" s="31">
        <f t="shared" si="341"/>
        <v>2310142.9474784113</v>
      </c>
      <c r="AL520" s="31">
        <f t="shared" si="342"/>
        <v>3.1181045002602099</v>
      </c>
      <c r="AM520" s="31" t="str">
        <f t="shared" si="324"/>
        <v>1+197400398.176025i</v>
      </c>
      <c r="AN520" s="31">
        <f t="shared" si="343"/>
        <v>197400398.176025</v>
      </c>
      <c r="AO520" s="31">
        <f t="shared" si="344"/>
        <v>1.5707963217290508</v>
      </c>
      <c r="AP520" s="31" t="str">
        <f t="shared" si="325"/>
        <v>1+21316.9407734071i</v>
      </c>
      <c r="AQ520" s="31">
        <f t="shared" si="345"/>
        <v>21316.940796862622</v>
      </c>
      <c r="AR520" s="31">
        <f t="shared" si="346"/>
        <v>1.5707494157484245</v>
      </c>
      <c r="AS520" s="58" t="str">
        <f t="shared" si="347"/>
        <v>-0.00215875930762502+0.0920755106239073i</v>
      </c>
      <c r="AT520" s="49">
        <f t="shared" si="348"/>
        <v>-20.714730649627256</v>
      </c>
      <c r="AU520" s="61">
        <f t="shared" si="349"/>
        <v>91.343083959114267</v>
      </c>
      <c r="AV520" s="58" t="str">
        <f t="shared" si="326"/>
        <v>-0.00018624746878413+0.0000958321729669624i</v>
      </c>
      <c r="AW520" s="64">
        <f t="shared" si="350"/>
        <v>-73.578133092854671</v>
      </c>
      <c r="AX520" s="61">
        <f t="shared" si="351"/>
        <v>152.77227021107456</v>
      </c>
    </row>
    <row r="521" spans="14:50" x14ac:dyDescent="0.3">
      <c r="N521" s="10">
        <v>3</v>
      </c>
      <c r="O521" s="50">
        <f t="shared" si="353"/>
        <v>1071519.3052376076</v>
      </c>
      <c r="P521" s="48" t="str">
        <f t="shared" si="317"/>
        <v>51201.9230769231</v>
      </c>
      <c r="Q521" s="17" t="str">
        <f t="shared" si="318"/>
        <v>1+314617.443898434i</v>
      </c>
      <c r="R521" s="17">
        <f t="shared" si="327"/>
        <v>314617.44390002324</v>
      </c>
      <c r="S521" s="17">
        <f t="shared" si="328"/>
        <v>1.5707931483315933</v>
      </c>
      <c r="T521" s="17" t="str">
        <f t="shared" si="319"/>
        <v>1+0.0000201976630650846i</v>
      </c>
      <c r="U521" s="17">
        <f t="shared" si="329"/>
        <v>1.0000000002039728</v>
      </c>
      <c r="V521" s="17">
        <f t="shared" si="330"/>
        <v>2.0197663062338085E-5</v>
      </c>
      <c r="W521" s="31" t="str">
        <f t="shared" si="320"/>
        <v>1-10.9067380551457i</v>
      </c>
      <c r="X521" s="17">
        <f t="shared" si="331"/>
        <v>10.952485334551396</v>
      </c>
      <c r="Y521" s="17">
        <f t="shared" si="332"/>
        <v>-1.479365514974468</v>
      </c>
      <c r="Z521" s="31" t="str">
        <f t="shared" si="321"/>
        <v>-458.261448598754+665.568479229499i</v>
      </c>
      <c r="AA521" s="17">
        <f t="shared" si="333"/>
        <v>808.07484542936766</v>
      </c>
      <c r="AB521" s="17">
        <f t="shared" si="334"/>
        <v>2.1737802901427301</v>
      </c>
      <c r="AC521" s="66" t="str">
        <f t="shared" si="335"/>
        <v>0.00107976118867951+0.00192344335563198i</v>
      </c>
      <c r="AD521" s="64">
        <f t="shared" si="336"/>
        <v>-53.128708658287771</v>
      </c>
      <c r="AE521" s="61">
        <f t="shared" si="337"/>
        <v>60.691502774245556</v>
      </c>
      <c r="AF521" s="31" t="str">
        <f t="shared" si="322"/>
        <v>-0.332666666666667</v>
      </c>
      <c r="AG521" s="31" t="str">
        <f t="shared" si="338"/>
        <v>6732554.35502821i</v>
      </c>
      <c r="AH521" s="31">
        <f t="shared" si="339"/>
        <v>6732554.3550282102</v>
      </c>
      <c r="AI521" s="31">
        <f t="shared" si="340"/>
        <v>1.5707963267948966</v>
      </c>
      <c r="AJ521" s="31" t="str">
        <f t="shared" si="323"/>
        <v>-2418349.43049837+55519.7873144468i</v>
      </c>
      <c r="AK521" s="31">
        <f t="shared" si="341"/>
        <v>2418986.6503921081</v>
      </c>
      <c r="AL521" s="31">
        <f t="shared" si="342"/>
        <v>3.1186389663892262</v>
      </c>
      <c r="AM521" s="31" t="str">
        <f t="shared" si="324"/>
        <v>1+201998444.126957i</v>
      </c>
      <c r="AN521" s="31">
        <f t="shared" si="343"/>
        <v>201998444.126957</v>
      </c>
      <c r="AO521" s="31">
        <f t="shared" si="344"/>
        <v>1.5707963218443635</v>
      </c>
      <c r="AP521" s="31" t="str">
        <f t="shared" si="325"/>
        <v>1+21813.4761102914i</v>
      </c>
      <c r="AQ521" s="31">
        <f t="shared" si="345"/>
        <v>21813.476133213011</v>
      </c>
      <c r="AR521" s="31">
        <f t="shared" si="346"/>
        <v>1.5707504835742085</v>
      </c>
      <c r="AS521" s="58" t="str">
        <f t="shared" si="347"/>
        <v>-0.00206165023535785+0.0899818437695011i</v>
      </c>
      <c r="AT521" s="49">
        <f t="shared" si="348"/>
        <v>-20.914623001146087</v>
      </c>
      <c r="AU521" s="61">
        <f t="shared" si="349"/>
        <v>91.312522494146549</v>
      </c>
      <c r="AV521" s="58" t="str">
        <f t="shared" si="326"/>
        <v>-0.000175301069434733+0.0000931934351412943i</v>
      </c>
      <c r="AW521" s="64">
        <f t="shared" si="350"/>
        <v>-74.043331659433861</v>
      </c>
      <c r="AX521" s="61">
        <f t="shared" si="351"/>
        <v>152.0040252683921</v>
      </c>
    </row>
    <row r="522" spans="14:50" x14ac:dyDescent="0.3">
      <c r="N522" s="10">
        <v>4</v>
      </c>
      <c r="O522" s="50">
        <f t="shared" si="353"/>
        <v>1096478.196143186</v>
      </c>
      <c r="P522" s="48" t="str">
        <f t="shared" si="317"/>
        <v>51201.9230769231</v>
      </c>
      <c r="Q522" s="17" t="str">
        <f t="shared" si="318"/>
        <v>1+321945.825590551i</v>
      </c>
      <c r="R522" s="17">
        <f t="shared" si="327"/>
        <v>321945.82559210405</v>
      </c>
      <c r="S522" s="17">
        <f t="shared" si="328"/>
        <v>1.5707932206822512</v>
      </c>
      <c r="T522" s="17" t="str">
        <f t="shared" si="319"/>
        <v>1+0.0000206681270749489i</v>
      </c>
      <c r="U522" s="17">
        <f t="shared" si="329"/>
        <v>1.0000000002135856</v>
      </c>
      <c r="V522" s="17">
        <f t="shared" si="330"/>
        <v>2.0668127072005956E-5</v>
      </c>
      <c r="W522" s="31" t="str">
        <f t="shared" si="320"/>
        <v>1-11.1607886204724i</v>
      </c>
      <c r="X522" s="17">
        <f t="shared" si="331"/>
        <v>11.205498767608082</v>
      </c>
      <c r="Y522" s="17">
        <f t="shared" si="332"/>
        <v>-1.481435544801883</v>
      </c>
      <c r="Z522" s="31" t="str">
        <f t="shared" si="321"/>
        <v>-479.905773846967+681.071560678505i</v>
      </c>
      <c r="AA522" s="17">
        <f t="shared" si="333"/>
        <v>833.16746368104816</v>
      </c>
      <c r="AB522" s="17">
        <f t="shared" si="334"/>
        <v>2.1846251956686018</v>
      </c>
      <c r="AC522" s="66" t="str">
        <f t="shared" si="335"/>
        <v>0.00107104514979669+0.00185148747973642i</v>
      </c>
      <c r="AD522" s="64">
        <f t="shared" si="336"/>
        <v>-53.395952701360429</v>
      </c>
      <c r="AE522" s="61">
        <f t="shared" si="337"/>
        <v>59.951554296032796</v>
      </c>
      <c r="AF522" s="31" t="str">
        <f t="shared" si="322"/>
        <v>-0.332666666666667</v>
      </c>
      <c r="AG522" s="31" t="str">
        <f t="shared" si="338"/>
        <v>6889375.69164964i</v>
      </c>
      <c r="AH522" s="31">
        <f t="shared" si="339"/>
        <v>6889375.69164964</v>
      </c>
      <c r="AI522" s="31">
        <f t="shared" si="340"/>
        <v>1.5707963267948966</v>
      </c>
      <c r="AJ522" s="31" t="str">
        <f t="shared" si="323"/>
        <v>-2532322.77496603+56813.0092917913i</v>
      </c>
      <c r="AK522" s="31">
        <f t="shared" si="341"/>
        <v>2532959.9986254112</v>
      </c>
      <c r="AL522" s="31">
        <f t="shared" si="342"/>
        <v>3.1191612792280354</v>
      </c>
      <c r="AM522" s="31" t="str">
        <f t="shared" si="324"/>
        <v>1+206703592.32673i</v>
      </c>
      <c r="AN522" s="31">
        <f t="shared" si="343"/>
        <v>206703592.32673001</v>
      </c>
      <c r="AO522" s="31">
        <f t="shared" si="344"/>
        <v>1.5707963219570513</v>
      </c>
      <c r="AP522" s="31" t="str">
        <f t="shared" si="325"/>
        <v>1+22321.5772409448i</v>
      </c>
      <c r="AQ522" s="31">
        <f t="shared" si="345"/>
        <v>22321.57726334465</v>
      </c>
      <c r="AR522" s="31">
        <f t="shared" si="346"/>
        <v>1.5707515270933103</v>
      </c>
      <c r="AS522" s="58" t="str">
        <f t="shared" si="347"/>
        <v>-0.0019689072971814+0.0879356860058301i</v>
      </c>
      <c r="AT522" s="49">
        <f t="shared" si="348"/>
        <v>-21.11452019515378</v>
      </c>
      <c r="AU522" s="61">
        <f t="shared" si="349"/>
        <v>91.282655968594227</v>
      </c>
      <c r="AV522" s="58" t="str">
        <f t="shared" si="326"/>
        <v>-0.000164920610272873+0.000090537682781096i</v>
      </c>
      <c r="AW522" s="64">
        <f t="shared" si="350"/>
        <v>-74.510472896514216</v>
      </c>
      <c r="AX522" s="61">
        <f t="shared" si="351"/>
        <v>151.23421026462702</v>
      </c>
    </row>
    <row r="523" spans="14:50" x14ac:dyDescent="0.3">
      <c r="N523" s="10">
        <v>5</v>
      </c>
      <c r="O523" s="50">
        <f t="shared" si="353"/>
        <v>1122018.4543019643</v>
      </c>
      <c r="P523" s="48" t="str">
        <f t="shared" si="317"/>
        <v>51201.9230769231</v>
      </c>
      <c r="Q523" s="17" t="str">
        <f t="shared" si="318"/>
        <v>1+329444.907220852i</v>
      </c>
      <c r="R523" s="17">
        <f t="shared" si="327"/>
        <v>329444.90722236974</v>
      </c>
      <c r="S523" s="17">
        <f t="shared" si="328"/>
        <v>1.570793291386007</v>
      </c>
      <c r="T523" s="17" t="str">
        <f t="shared" si="319"/>
        <v>1+0.0000211495495993634i</v>
      </c>
      <c r="U523" s="17">
        <f t="shared" si="329"/>
        <v>1.0000000002236518</v>
      </c>
      <c r="V523" s="17">
        <f t="shared" si="330"/>
        <v>2.1149549596209977E-5</v>
      </c>
      <c r="W523" s="31" t="str">
        <f t="shared" si="320"/>
        <v>1-11.4207567836562i</v>
      </c>
      <c r="X523" s="17">
        <f t="shared" si="331"/>
        <v>11.464453127446992</v>
      </c>
      <c r="Y523" s="17">
        <f t="shared" si="332"/>
        <v>-1.4834591972507125</v>
      </c>
      <c r="Z523" s="31" t="str">
        <f t="shared" si="321"/>
        <v>-502.570164717668+696.93575528403i</v>
      </c>
      <c r="AA523" s="17">
        <f t="shared" si="333"/>
        <v>859.24165253883336</v>
      </c>
      <c r="AB523" s="17">
        <f t="shared" si="334"/>
        <v>2.1955526918603603</v>
      </c>
      <c r="AC523" s="66" t="str">
        <f t="shared" si="335"/>
        <v>0.00106151611897851+0.00178138357932531i</v>
      </c>
      <c r="AD523" s="64">
        <f t="shared" si="336"/>
        <v>-53.665170081667398</v>
      </c>
      <c r="AE523" s="61">
        <f t="shared" si="337"/>
        <v>59.209531671532417</v>
      </c>
      <c r="AF523" s="31" t="str">
        <f t="shared" si="322"/>
        <v>-0.332666666666667</v>
      </c>
      <c r="AG523" s="31" t="str">
        <f t="shared" si="338"/>
        <v>7049849.86645445i</v>
      </c>
      <c r="AH523" s="31">
        <f t="shared" si="339"/>
        <v>7049849.8664544504</v>
      </c>
      <c r="AI523" s="31">
        <f t="shared" si="340"/>
        <v>1.5707963267948966</v>
      </c>
      <c r="AJ523" s="31" t="str">
        <f t="shared" si="323"/>
        <v>-2651667.51767494+58136.3542786713i</v>
      </c>
      <c r="AK523" s="31">
        <f t="shared" si="341"/>
        <v>2652304.7449305658</v>
      </c>
      <c r="AL523" s="31">
        <f t="shared" si="342"/>
        <v>3.1196717145759099</v>
      </c>
      <c r="AM523" s="31" t="str">
        <f t="shared" si="324"/>
        <v>1+211518337.507201i</v>
      </c>
      <c r="AN523" s="31">
        <f t="shared" si="343"/>
        <v>211518337.50720099</v>
      </c>
      <c r="AO523" s="31">
        <f t="shared" si="344"/>
        <v>1.5707963220671741</v>
      </c>
      <c r="AP523" s="31" t="str">
        <f t="shared" si="325"/>
        <v>1+22841.5135673124i</v>
      </c>
      <c r="AQ523" s="31">
        <f t="shared" si="345"/>
        <v>22841.513589202368</v>
      </c>
      <c r="AR523" s="31">
        <f t="shared" si="346"/>
        <v>1.5707525468590173</v>
      </c>
      <c r="AS523" s="58" t="str">
        <f t="shared" si="347"/>
        <v>-0.00188033437983429+0.0859359658004381i</v>
      </c>
      <c r="AT523" s="49">
        <f t="shared" si="348"/>
        <v>-21.314422013921394</v>
      </c>
      <c r="AU523" s="61">
        <f t="shared" si="349"/>
        <v>91.253468612027405</v>
      </c>
      <c r="AV523" s="58" t="str">
        <f t="shared" si="326"/>
        <v>-0.000155080923603625+0.0000878728161092734i</v>
      </c>
      <c r="AW523" s="64">
        <f t="shared" si="350"/>
        <v>-74.979592095588814</v>
      </c>
      <c r="AX523" s="61">
        <f t="shared" si="351"/>
        <v>150.46300028355975</v>
      </c>
    </row>
    <row r="524" spans="14:50" x14ac:dyDescent="0.3">
      <c r="N524" s="10">
        <v>6</v>
      </c>
      <c r="O524" s="50">
        <f t="shared" si="353"/>
        <v>1148153.6214968837</v>
      </c>
      <c r="P524" s="48" t="str">
        <f t="shared" si="317"/>
        <v>51201.9230769231</v>
      </c>
      <c r="Q524" s="17" t="str">
        <f t="shared" si="318"/>
        <v>1+337118.664901681i</v>
      </c>
      <c r="R524" s="17">
        <f t="shared" si="327"/>
        <v>337118.6649031642</v>
      </c>
      <c r="S524" s="17">
        <f t="shared" si="328"/>
        <v>1.570793360480349</v>
      </c>
      <c r="T524" s="17" t="str">
        <f t="shared" si="319"/>
        <v>1+0.0000216421858949228i</v>
      </c>
      <c r="U524" s="17">
        <f t="shared" si="329"/>
        <v>1.0000000002341922</v>
      </c>
      <c r="V524" s="17">
        <f t="shared" si="330"/>
        <v>2.1642185891543847E-5</v>
      </c>
      <c r="W524" s="31" t="str">
        <f t="shared" si="320"/>
        <v>1-11.6867803832583i</v>
      </c>
      <c r="X524" s="17">
        <f t="shared" si="331"/>
        <v>11.729485740070237</v>
      </c>
      <c r="Y524" s="17">
        <f t="shared" si="332"/>
        <v>-1.4854374789539477</v>
      </c>
      <c r="Z524" s="31" t="str">
        <f t="shared" si="321"/>
        <v>-526.302695422564+713.169474452043i</v>
      </c>
      <c r="AA524" s="17">
        <f t="shared" si="333"/>
        <v>886.34374059913091</v>
      </c>
      <c r="AB524" s="17">
        <f t="shared" si="334"/>
        <v>2.2065582295724515</v>
      </c>
      <c r="AC524" s="66" t="str">
        <f t="shared" si="335"/>
        <v>0.00105121152263992+0.0017131142712195i</v>
      </c>
      <c r="AD524" s="64">
        <f t="shared" si="336"/>
        <v>-53.936394716789152</v>
      </c>
      <c r="AE524" s="61">
        <f t="shared" si="337"/>
        <v>58.465637884240763</v>
      </c>
      <c r="AF524" s="31" t="str">
        <f t="shared" si="322"/>
        <v>-0.332666666666667</v>
      </c>
      <c r="AG524" s="31" t="str">
        <f t="shared" si="338"/>
        <v>7214061.96497425i</v>
      </c>
      <c r="AH524" s="31">
        <f t="shared" si="339"/>
        <v>7214061.9649742497</v>
      </c>
      <c r="AI524" s="31">
        <f t="shared" si="340"/>
        <v>1.5707963267948966</v>
      </c>
      <c r="AJ524" s="31" t="str">
        <f t="shared" si="323"/>
        <v>-2776636.80482525+59490.5239301156i</v>
      </c>
      <c r="AK524" s="31">
        <f t="shared" si="341"/>
        <v>2777274.0355153382</v>
      </c>
      <c r="AL524" s="31">
        <f t="shared" si="342"/>
        <v>3.1201705420103969</v>
      </c>
      <c r="AM524" s="31" t="str">
        <f t="shared" si="324"/>
        <v>1+216445232.509994i</v>
      </c>
      <c r="AN524" s="31">
        <f t="shared" si="343"/>
        <v>216445232.509994</v>
      </c>
      <c r="AO524" s="31">
        <f t="shared" si="344"/>
        <v>1.5707963221747903</v>
      </c>
      <c r="AP524" s="31" t="str">
        <f t="shared" si="325"/>
        <v>1+23373.5607665166i</v>
      </c>
      <c r="AQ524" s="31">
        <f t="shared" si="345"/>
        <v>23373.560787908289</v>
      </c>
      <c r="AR524" s="31">
        <f t="shared" si="346"/>
        <v>1.5707535434120232</v>
      </c>
      <c r="AS524" s="58" t="str">
        <f t="shared" si="347"/>
        <v>-0.00179574416187503+0.0839816353518974i</v>
      </c>
      <c r="AT524" s="49">
        <f t="shared" si="348"/>
        <v>-21.514328249500416</v>
      </c>
      <c r="AU524" s="61">
        <f t="shared" si="349"/>
        <v>91.224945009773194</v>
      </c>
      <c r="AV524" s="58" t="str">
        <f t="shared" si="326"/>
        <v>-0.000145757844996364+0.0000852061478208914i</v>
      </c>
      <c r="AW524" s="64">
        <f t="shared" si="350"/>
        <v>-75.450722966289561</v>
      </c>
      <c r="AX524" s="61">
        <f t="shared" si="351"/>
        <v>149.690582894014</v>
      </c>
    </row>
    <row r="525" spans="14:50" x14ac:dyDescent="0.3">
      <c r="N525" s="10">
        <v>7</v>
      </c>
      <c r="O525" s="50">
        <f t="shared" si="353"/>
        <v>1174897.5549395324</v>
      </c>
      <c r="P525" s="48" t="str">
        <f t="shared" si="317"/>
        <v>51201.9230769231</v>
      </c>
      <c r="Q525" s="17" t="str">
        <f t="shared" si="318"/>
        <v>1+344971.167360935i</v>
      </c>
      <c r="R525" s="17">
        <f t="shared" si="327"/>
        <v>344971.16736238444</v>
      </c>
      <c r="S525" s="17">
        <f t="shared" si="328"/>
        <v>1.5707934280019116</v>
      </c>
      <c r="T525" s="17" t="str">
        <f t="shared" si="319"/>
        <v>1+0.0000221462971639119i</v>
      </c>
      <c r="U525" s="17">
        <f t="shared" si="329"/>
        <v>1.0000000002452292</v>
      </c>
      <c r="V525" s="17">
        <f t="shared" si="330"/>
        <v>2.2146297160291289E-5</v>
      </c>
      <c r="W525" s="31" t="str">
        <f t="shared" si="320"/>
        <v>1-11.9590004685124i</v>
      </c>
      <c r="X525" s="17">
        <f t="shared" si="331"/>
        <v>12.000737152603577</v>
      </c>
      <c r="Y525" s="17">
        <f t="shared" si="332"/>
        <v>-1.4873713768507602</v>
      </c>
      <c r="Z525" s="31" t="str">
        <f t="shared" si="321"/>
        <v>-551.153705841158+729.781325515325i</v>
      </c>
      <c r="AA525" s="17">
        <f t="shared" si="333"/>
        <v>914.52238383395854</v>
      </c>
      <c r="AB525" s="17">
        <f t="shared" si="334"/>
        <v>2.2176370750491903</v>
      </c>
      <c r="AC525" s="66" t="str">
        <f t="shared" si="335"/>
        <v>0.00104016882719122+0.00164666227644128i</v>
      </c>
      <c r="AD525" s="64">
        <f t="shared" si="336"/>
        <v>-54.20965882922183</v>
      </c>
      <c r="AE525" s="61">
        <f t="shared" si="337"/>
        <v>57.720087623796829</v>
      </c>
      <c r="AF525" s="31" t="str">
        <f t="shared" si="322"/>
        <v>-0.332666666666667</v>
      </c>
      <c r="AG525" s="31" t="str">
        <f t="shared" si="338"/>
        <v>7382099.05463729i</v>
      </c>
      <c r="AH525" s="31">
        <f t="shared" si="339"/>
        <v>7382099.0546372896</v>
      </c>
      <c r="AI525" s="31">
        <f t="shared" si="340"/>
        <v>1.5707963267948966</v>
      </c>
      <c r="AJ525" s="31" t="str">
        <f t="shared" si="323"/>
        <v>-2907495.71302991+60876.236244798i</v>
      </c>
      <c r="AK525" s="31">
        <f t="shared" si="341"/>
        <v>2908132.9469999536</v>
      </c>
      <c r="AL525" s="31">
        <f t="shared" si="342"/>
        <v>3.1206580250251941</v>
      </c>
      <c r="AM525" s="31" t="str">
        <f t="shared" si="324"/>
        <v>1+221486889.640056i</v>
      </c>
      <c r="AN525" s="31">
        <f t="shared" si="343"/>
        <v>221486889.64005601</v>
      </c>
      <c r="AO525" s="31">
        <f t="shared" si="344"/>
        <v>1.5707963222799568</v>
      </c>
      <c r="AP525" s="31" t="str">
        <f t="shared" si="325"/>
        <v>1+23918.0009370248i</v>
      </c>
      <c r="AQ525" s="31">
        <f t="shared" si="345"/>
        <v>23918.000957929558</v>
      </c>
      <c r="AR525" s="31">
        <f t="shared" si="346"/>
        <v>1.5707545172807131</v>
      </c>
      <c r="AS525" s="58" t="str">
        <f t="shared" si="347"/>
        <v>-0.00171495772103623+0.0820716700935553i</v>
      </c>
      <c r="AT525" s="49">
        <f t="shared" si="348"/>
        <v>-21.714238703283712</v>
      </c>
      <c r="AU525" s="61">
        <f t="shared" si="349"/>
        <v>91.197070095032331</v>
      </c>
      <c r="AV525" s="58" t="str">
        <f t="shared" si="326"/>
        <v>-0.000136928168668964+0.0000825444366419161i</v>
      </c>
      <c r="AW525" s="64">
        <f t="shared" si="350"/>
        <v>-75.923897532505563</v>
      </c>
      <c r="AX525" s="61">
        <f t="shared" si="351"/>
        <v>148.91715771882909</v>
      </c>
    </row>
    <row r="526" spans="14:50" x14ac:dyDescent="0.3">
      <c r="N526" s="10">
        <v>8</v>
      </c>
      <c r="O526" s="50">
        <f t="shared" si="353"/>
        <v>1202264.4346174158</v>
      </c>
      <c r="P526" s="48" t="str">
        <f t="shared" si="317"/>
        <v>51201.9230769231</v>
      </c>
      <c r="Q526" s="17" t="str">
        <f t="shared" si="318"/>
        <v>1+353006.578099356i</v>
      </c>
      <c r="R526" s="17">
        <f t="shared" si="327"/>
        <v>353006.57810077234</v>
      </c>
      <c r="S526" s="17">
        <f t="shared" si="328"/>
        <v>1.5707934939864958</v>
      </c>
      <c r="T526" s="17" t="str">
        <f t="shared" si="319"/>
        <v>1+0.0000226621506927982i</v>
      </c>
      <c r="U526" s="17">
        <f t="shared" si="329"/>
        <v>1.0000000002567866</v>
      </c>
      <c r="V526" s="17">
        <f t="shared" si="330"/>
        <v>2.2662150688918643E-5</v>
      </c>
      <c r="W526" s="31" t="str">
        <f t="shared" si="320"/>
        <v>1-12.237561374111i</v>
      </c>
      <c r="X526" s="17">
        <f t="shared" si="331"/>
        <v>12.278351207924194</v>
      </c>
      <c r="Y526" s="17">
        <f t="shared" si="332"/>
        <v>-1.4892618584256319</v>
      </c>
      <c r="Z526" s="31" t="str">
        <f t="shared" si="321"/>
        <v>-577.175908298375+746.780116297192i</v>
      </c>
      <c r="AA526" s="17">
        <f t="shared" si="333"/>
        <v>943.82867683542111</v>
      </c>
      <c r="AB526" s="17">
        <f t="shared" si="334"/>
        <v>2.2287843180636644</v>
      </c>
      <c r="AC526" s="66" t="str">
        <f t="shared" si="335"/>
        <v>0.00102842555031534+0.00158201032010168i</v>
      </c>
      <c r="AD526" s="64">
        <f t="shared" si="336"/>
        <v>-54.484992845840168</v>
      </c>
      <c r="AE526" s="61">
        <f t="shared" si="337"/>
        <v>56.973106805965116</v>
      </c>
      <c r="AF526" s="31" t="str">
        <f t="shared" si="322"/>
        <v>-0.332666666666667</v>
      </c>
      <c r="AG526" s="31" t="str">
        <f t="shared" si="338"/>
        <v>7554050.23093272i</v>
      </c>
      <c r="AH526" s="31">
        <f t="shared" si="339"/>
        <v>7554050.23093272</v>
      </c>
      <c r="AI526" s="31">
        <f t="shared" si="340"/>
        <v>1.5707963267948966</v>
      </c>
      <c r="AJ526" s="31" t="str">
        <f t="shared" si="323"/>
        <v>-3044521.81157777+62294.2259457294i</v>
      </c>
      <c r="AK526" s="31">
        <f t="shared" si="341"/>
        <v>3045159.0486802105</v>
      </c>
      <c r="AL526" s="31">
        <f t="shared" si="342"/>
        <v>3.1211344211651384</v>
      </c>
      <c r="AM526" s="31" t="str">
        <f t="shared" si="324"/>
        <v>1+226645982.05073i</v>
      </c>
      <c r="AN526" s="31">
        <f t="shared" si="343"/>
        <v>226645982.05072999</v>
      </c>
      <c r="AO526" s="31">
        <f t="shared" si="344"/>
        <v>1.5707963223827293</v>
      </c>
      <c r="AP526" s="31" t="str">
        <f t="shared" si="325"/>
        <v>1+24475.122748222i</v>
      </c>
      <c r="AQ526" s="31">
        <f t="shared" si="345"/>
        <v>24475.122768650901</v>
      </c>
      <c r="AR526" s="31">
        <f t="shared" si="346"/>
        <v>1.5707554689814454</v>
      </c>
      <c r="AS526" s="58" t="str">
        <f t="shared" si="347"/>
        <v>-0.00163780415898259+0.0802050682056485i</v>
      </c>
      <c r="AT526" s="49">
        <f t="shared" si="348"/>
        <v>-21.914153185587054</v>
      </c>
      <c r="AU526" s="61">
        <f t="shared" si="349"/>
        <v>91.169829141160946</v>
      </c>
      <c r="AV526" s="58" t="str">
        <f t="shared" si="326"/>
        <v>-0.000128569605269305+0.0000798939183256575i</v>
      </c>
      <c r="AW526" s="64">
        <f t="shared" si="350"/>
        <v>-76.39914603142725</v>
      </c>
      <c r="AX526" s="61">
        <f t="shared" si="351"/>
        <v>148.14293594712598</v>
      </c>
    </row>
    <row r="527" spans="14:50" x14ac:dyDescent="0.3">
      <c r="N527" s="10">
        <v>9</v>
      </c>
      <c r="O527" s="50">
        <f t="shared" si="353"/>
        <v>1230268.770812382</v>
      </c>
      <c r="P527" s="48" t="str">
        <f t="shared" si="317"/>
        <v>51201.9230769231</v>
      </c>
      <c r="Q527" s="17" t="str">
        <f t="shared" si="318"/>
        <v>1+361229.157598079i</v>
      </c>
      <c r="R527" s="17">
        <f t="shared" si="327"/>
        <v>361229.15759946319</v>
      </c>
      <c r="S527" s="17">
        <f t="shared" si="328"/>
        <v>1.5707935584690875</v>
      </c>
      <c r="T527" s="17" t="str">
        <f t="shared" si="319"/>
        <v>1+0.0000231900199939508i</v>
      </c>
      <c r="U527" s="17">
        <f t="shared" si="329"/>
        <v>1.0000000002688885</v>
      </c>
      <c r="V527" s="17">
        <f t="shared" si="330"/>
        <v>2.3190019989793779E-5</v>
      </c>
      <c r="W527" s="31" t="str">
        <f t="shared" si="320"/>
        <v>1-12.5226107967334i</v>
      </c>
      <c r="X527" s="17">
        <f t="shared" si="331"/>
        <v>12.562475121028655</v>
      </c>
      <c r="Y527" s="17">
        <f t="shared" si="332"/>
        <v>-1.4911098719553828</v>
      </c>
      <c r="Z527" s="31" t="str">
        <f t="shared" si="321"/>
        <v>-604.424499374485+764.174859781522i</v>
      </c>
      <c r="AA527" s="17">
        <f t="shared" si="333"/>
        <v>974.31626886047923</v>
      </c>
      <c r="AB527" s="17">
        <f t="shared" si="334"/>
        <v>2.2399948810225165</v>
      </c>
      <c r="AC527" s="66" t="str">
        <f t="shared" si="335"/>
        <v>0.00101601926256437+0.00151914103356465i</v>
      </c>
      <c r="AD527" s="64">
        <f t="shared" si="336"/>
        <v>-54.762425301050179</v>
      </c>
      <c r="AE527" s="61">
        <f t="shared" si="337"/>
        <v>56.224932036822118</v>
      </c>
      <c r="AF527" s="31" t="str">
        <f t="shared" si="322"/>
        <v>-0.332666666666667</v>
      </c>
      <c r="AG527" s="31" t="str">
        <f t="shared" si="338"/>
        <v>7730006.66465025i</v>
      </c>
      <c r="AH527" s="31">
        <f t="shared" si="339"/>
        <v>7730006.6646502502</v>
      </c>
      <c r="AI527" s="31">
        <f t="shared" si="340"/>
        <v>1.5707963267948966</v>
      </c>
      <c r="AJ527" s="31" t="str">
        <f t="shared" si="323"/>
        <v>-3188005.75119526+63745.2448698187i</v>
      </c>
      <c r="AK527" s="31">
        <f t="shared" si="341"/>
        <v>3188642.9912891733</v>
      </c>
      <c r="AL527" s="31">
        <f t="shared" si="342"/>
        <v>3.1215999821583535</v>
      </c>
      <c r="AM527" s="31" t="str">
        <f t="shared" si="324"/>
        <v>1+231925245.161101i</v>
      </c>
      <c r="AN527" s="31">
        <f t="shared" si="343"/>
        <v>231925245.16110101</v>
      </c>
      <c r="AO527" s="31">
        <f t="shared" si="344"/>
        <v>1.5707963224831625</v>
      </c>
      <c r="AP527" s="31" t="str">
        <f t="shared" si="325"/>
        <v>1+25045.2215934668i</v>
      </c>
      <c r="AQ527" s="31">
        <f t="shared" si="345"/>
        <v>25045.221613430684</v>
      </c>
      <c r="AR527" s="31">
        <f t="shared" si="346"/>
        <v>1.5707563990188242</v>
      </c>
      <c r="AS527" s="58" t="str">
        <f t="shared" si="347"/>
        <v>-0.00156412024271347+0.0783808501358051i</v>
      </c>
      <c r="AT527" s="49">
        <f t="shared" si="348"/>
        <v>-22.114071515248718</v>
      </c>
      <c r="AU527" s="61">
        <f t="shared" si="349"/>
        <v>91.143207754114812</v>
      </c>
      <c r="AV527" s="58" t="str">
        <f t="shared" si="326"/>
        <v>-0.000120660741982547+0.000077260334312014i</v>
      </c>
      <c r="AW527" s="64">
        <f t="shared" si="350"/>
        <v>-76.876496816298868</v>
      </c>
      <c r="AX527" s="61">
        <f t="shared" si="351"/>
        <v>147.36813979093699</v>
      </c>
    </row>
    <row r="528" spans="14:50" x14ac:dyDescent="0.3">
      <c r="N528" s="10">
        <v>10</v>
      </c>
      <c r="O528" s="50">
        <f t="shared" si="353"/>
        <v>1258925.4117941677</v>
      </c>
      <c r="P528" s="48" t="str">
        <f t="shared" si="317"/>
        <v>51201.9230769231</v>
      </c>
      <c r="Q528" s="17" t="str">
        <f t="shared" si="318"/>
        <v>1+369643.265577594i</v>
      </c>
      <c r="R528" s="17">
        <f t="shared" si="327"/>
        <v>369643.26557894662</v>
      </c>
      <c r="S528" s="17">
        <f t="shared" si="328"/>
        <v>1.5707936214838762</v>
      </c>
      <c r="T528" s="17" t="str">
        <f t="shared" si="319"/>
        <v>1+0.0000237301849506604i</v>
      </c>
      <c r="U528" s="17">
        <f t="shared" si="329"/>
        <v>1.000000000281561</v>
      </c>
      <c r="V528" s="17">
        <f t="shared" si="330"/>
        <v>2.3730184946206073E-5</v>
      </c>
      <c r="W528" s="31" t="str">
        <f t="shared" si="320"/>
        <v>1-12.8142998733566i</v>
      </c>
      <c r="X528" s="17">
        <f t="shared" si="331"/>
        <v>12.853259557182644</v>
      </c>
      <c r="Y528" s="17">
        <f t="shared" si="332"/>
        <v>-1.4929163467630981</v>
      </c>
      <c r="Z528" s="31" t="str">
        <f t="shared" si="321"/>
        <v>-632.957276984447+781.974778891558i</v>
      </c>
      <c r="AA528" s="17">
        <f t="shared" si="333"/>
        <v>1006.0414848852243</v>
      </c>
      <c r="AB528" s="17">
        <f t="shared" si="334"/>
        <v>2.2512635290094627</v>
      </c>
      <c r="AC528" s="66" t="str">
        <f t="shared" si="335"/>
        <v>0.00100298757946007+0.00145803685967468i</v>
      </c>
      <c r="AD528" s="64">
        <f t="shared" si="336"/>
        <v>-55.041982744409594</v>
      </c>
      <c r="AE528" s="61">
        <f t="shared" si="337"/>
        <v>55.475810022763625</v>
      </c>
      <c r="AF528" s="31" t="str">
        <f t="shared" si="322"/>
        <v>-0.332666666666667</v>
      </c>
      <c r="AG528" s="31" t="str">
        <f t="shared" si="338"/>
        <v>7910061.65022012i</v>
      </c>
      <c r="AH528" s="31">
        <f t="shared" si="339"/>
        <v>7910061.6502201203</v>
      </c>
      <c r="AI528" s="31">
        <f t="shared" si="340"/>
        <v>1.5707963267948966</v>
      </c>
      <c r="AJ528" s="31" t="str">
        <f t="shared" si="323"/>
        <v>-3338251.88055556+65230.0623665062i</v>
      </c>
      <c r="AK528" s="31">
        <f t="shared" si="341"/>
        <v>3338889.1235063602</v>
      </c>
      <c r="AL528" s="31">
        <f t="shared" si="342"/>
        <v>3.1220549540456077</v>
      </c>
      <c r="AM528" s="31" t="str">
        <f t="shared" si="324"/>
        <v>1+237327478.106351i</v>
      </c>
      <c r="AN528" s="31">
        <f t="shared" si="343"/>
        <v>237327478.10635099</v>
      </c>
      <c r="AO528" s="31">
        <f t="shared" si="344"/>
        <v>1.5707963225813095</v>
      </c>
      <c r="AP528" s="31" t="str">
        <f t="shared" si="325"/>
        <v>1+25628.5997467132i</v>
      </c>
      <c r="AQ528" s="31">
        <f t="shared" si="345"/>
        <v>25628.599766222651</v>
      </c>
      <c r="AR528" s="31">
        <f t="shared" si="346"/>
        <v>1.5707573078859678</v>
      </c>
      <c r="AS528" s="58" t="str">
        <f t="shared" si="347"/>
        <v>-0.00149375006188185+0.0765980581279136i</v>
      </c>
      <c r="AT528" s="49">
        <f t="shared" si="348"/>
        <v>-22.313993519247358</v>
      </c>
      <c r="AU528" s="61">
        <f t="shared" si="349"/>
        <v>91.117191865052902</v>
      </c>
      <c r="AV528" s="58" t="str">
        <f t="shared" si="326"/>
        <v>-0.000113181004888887+0.0000746489582636927i</v>
      </c>
      <c r="AW528" s="64">
        <f t="shared" si="350"/>
        <v>-77.355976263656942</v>
      </c>
      <c r="AX528" s="61">
        <f t="shared" si="351"/>
        <v>146.59300188781654</v>
      </c>
    </row>
    <row r="529" spans="14:50" x14ac:dyDescent="0.3">
      <c r="N529" s="10">
        <v>11</v>
      </c>
      <c r="O529" s="50">
        <f t="shared" si="353"/>
        <v>1288249.5516931366</v>
      </c>
      <c r="P529" s="48" t="str">
        <f t="shared" si="317"/>
        <v>51201.9230769231</v>
      </c>
      <c r="Q529" s="17" t="str">
        <f t="shared" si="318"/>
        <v>1+378253.363309327i</v>
      </c>
      <c r="R529" s="17">
        <f t="shared" si="327"/>
        <v>378253.36331064883</v>
      </c>
      <c r="S529" s="17">
        <f t="shared" si="328"/>
        <v>1.5707936830642732</v>
      </c>
      <c r="T529" s="17" t="str">
        <f t="shared" si="319"/>
        <v>1+0.000024282931965537i</v>
      </c>
      <c r="U529" s="17">
        <f t="shared" si="329"/>
        <v>1.0000000002948304</v>
      </c>
      <c r="V529" s="17">
        <f t="shared" si="330"/>
        <v>2.4282931960764101E-5</v>
      </c>
      <c r="W529" s="31" t="str">
        <f t="shared" si="320"/>
        <v>1-13.11278326139i</v>
      </c>
      <c r="X529" s="17">
        <f t="shared" si="331"/>
        <v>13.150858711893674</v>
      </c>
      <c r="Y529" s="17">
        <f t="shared" si="332"/>
        <v>-1.4946821934780139</v>
      </c>
      <c r="Z529" s="31" t="str">
        <f t="shared" si="321"/>
        <v>-662.834762975027+800.189311380025i</v>
      </c>
      <c r="AA529" s="17">
        <f t="shared" si="333"/>
        <v>1039.0634518906913</v>
      </c>
      <c r="AB529" s="17">
        <f t="shared" si="334"/>
        <v>2.2625848807311422</v>
      </c>
      <c r="AC529" s="66" t="str">
        <f t="shared" si="335"/>
        <v>0.00098936814437163+0.00139867996183376i</v>
      </c>
      <c r="AD529" s="64">
        <f t="shared" si="336"/>
        <v>-55.323689653483719</v>
      </c>
      <c r="AE529" s="61">
        <f t="shared" si="337"/>
        <v>54.725996928470693</v>
      </c>
      <c r="AF529" s="31" t="str">
        <f t="shared" si="322"/>
        <v>-0.332666666666667</v>
      </c>
      <c r="AG529" s="31" t="str">
        <f t="shared" si="338"/>
        <v>8094310.655179i</v>
      </c>
      <c r="AH529" s="31">
        <f t="shared" si="339"/>
        <v>8094310.6551790005</v>
      </c>
      <c r="AI529" s="31">
        <f t="shared" si="340"/>
        <v>1.5707963267948966</v>
      </c>
      <c r="AJ529" s="31" t="str">
        <f t="shared" si="323"/>
        <v>-3495578.89184288+66749.4657056824i</v>
      </c>
      <c r="AK529" s="31">
        <f t="shared" si="341"/>
        <v>3496216.1375220339</v>
      </c>
      <c r="AL529" s="31">
        <f t="shared" si="342"/>
        <v>3.1224995773069297</v>
      </c>
      <c r="AM529" s="31" t="str">
        <f t="shared" si="324"/>
        <v>1+242855545.221893i</v>
      </c>
      <c r="AN529" s="31">
        <f t="shared" si="343"/>
        <v>242855545.22189301</v>
      </c>
      <c r="AO529" s="31">
        <f t="shared" si="344"/>
        <v>1.5707963226772226</v>
      </c>
      <c r="AP529" s="31" t="str">
        <f t="shared" si="325"/>
        <v>1+26225.56652278i</v>
      </c>
      <c r="AQ529" s="31">
        <f t="shared" si="345"/>
        <v>26225.566541845361</v>
      </c>
      <c r="AR529" s="31">
        <f t="shared" si="346"/>
        <v>1.5707581960647694</v>
      </c>
      <c r="AS529" s="58" t="str">
        <f t="shared" si="347"/>
        <v>-0.00142654470133336+0.074855755759343i</v>
      </c>
      <c r="AT529" s="49">
        <f t="shared" si="348"/>
        <v>-22.513919032336744</v>
      </c>
      <c r="AU529" s="61">
        <f t="shared" si="349"/>
        <v>91.091767723098016</v>
      </c>
      <c r="AV529" s="58" t="str">
        <f t="shared" si="326"/>
        <v>-0.000106110623492537+0.000072064620682742i</v>
      </c>
      <c r="AW529" s="64">
        <f t="shared" si="350"/>
        <v>-77.837608685820442</v>
      </c>
      <c r="AX529" s="61">
        <f t="shared" si="351"/>
        <v>145.81776465156884</v>
      </c>
    </row>
    <row r="530" spans="14:50" x14ac:dyDescent="0.3">
      <c r="N530" s="10">
        <v>12</v>
      </c>
      <c r="O530" s="50">
        <f t="shared" si="353"/>
        <v>1318256.7385564097</v>
      </c>
      <c r="P530" s="48" t="str">
        <f t="shared" si="317"/>
        <v>51201.9230769231</v>
      </c>
      <c r="Q530" s="17" t="str">
        <f t="shared" si="318"/>
        <v>1+387064.01598106i</v>
      </c>
      <c r="R530" s="17">
        <f t="shared" si="327"/>
        <v>387064.01598235173</v>
      </c>
      <c r="S530" s="17">
        <f t="shared" si="328"/>
        <v>1.5707937432429293</v>
      </c>
      <c r="T530" s="17" t="str">
        <f t="shared" si="319"/>
        <v>1+0.0000248485541123644i</v>
      </c>
      <c r="U530" s="17">
        <f t="shared" si="329"/>
        <v>1.0000000003087253</v>
      </c>
      <c r="V530" s="17">
        <f t="shared" si="330"/>
        <v>2.4848554107250148E-5</v>
      </c>
      <c r="W530" s="31" t="str">
        <f t="shared" si="320"/>
        <v>1-13.4182192206768i</v>
      </c>
      <c r="X530" s="17">
        <f t="shared" si="331"/>
        <v>13.455430392749996</v>
      </c>
      <c r="Y530" s="17">
        <f t="shared" si="332"/>
        <v>-1.4964083043005001</v>
      </c>
      <c r="Z530" s="31" t="str">
        <f t="shared" si="321"/>
        <v>-694.120331499755+818.828114833143i</v>
      </c>
      <c r="AA530" s="17">
        <f t="shared" si="333"/>
        <v>1073.4442306158846</v>
      </c>
      <c r="AB530" s="17">
        <f t="shared" si="334"/>
        <v>2.2739534203196552</v>
      </c>
      <c r="AC530" s="66" t="str">
        <f t="shared" si="335"/>
        <v>0.00097519860253472+0.00134105213770277i</v>
      </c>
      <c r="AD530" s="64">
        <f t="shared" si="336"/>
        <v>-55.607568352675798</v>
      </c>
      <c r="AE530" s="61">
        <f t="shared" si="337"/>
        <v>53.975757685500035</v>
      </c>
      <c r="AF530" s="31" t="str">
        <f t="shared" si="322"/>
        <v>-0.332666666666667</v>
      </c>
      <c r="AG530" s="31" t="str">
        <f t="shared" si="338"/>
        <v>8282851.37078812i</v>
      </c>
      <c r="AH530" s="31">
        <f t="shared" si="339"/>
        <v>8282851.3707881197</v>
      </c>
      <c r="AI530" s="31">
        <f t="shared" si="340"/>
        <v>1.5707963267948966</v>
      </c>
      <c r="AJ530" s="31" t="str">
        <f t="shared" si="323"/>
        <v>-3660320.49674137+68304.2604951095i</v>
      </c>
      <c r="AK530" s="31">
        <f t="shared" si="341"/>
        <v>3660957.7450261251</v>
      </c>
      <c r="AL530" s="31">
        <f t="shared" si="342"/>
        <v>3.1229340869855311</v>
      </c>
      <c r="AM530" s="31" t="str">
        <f t="shared" si="324"/>
        <v>1+248512377.562085i</v>
      </c>
      <c r="AN530" s="31">
        <f t="shared" si="343"/>
        <v>248512377.562085</v>
      </c>
      <c r="AO530" s="31">
        <f t="shared" si="344"/>
        <v>1.5707963227709523</v>
      </c>
      <c r="AP530" s="31" t="str">
        <f t="shared" si="325"/>
        <v>1+26836.4384413535i</v>
      </c>
      <c r="AQ530" s="31">
        <f t="shared" si="345"/>
        <v>26836.438459984882</v>
      </c>
      <c r="AR530" s="31">
        <f t="shared" si="346"/>
        <v>1.5707590640261533</v>
      </c>
      <c r="AS530" s="58" t="str">
        <f t="shared" si="347"/>
        <v>-0.00136236192819777+0.0731530274864793i</v>
      </c>
      <c r="AT530" s="49">
        <f t="shared" si="348"/>
        <v>-22.713847896696787</v>
      </c>
      <c r="AU530" s="61">
        <f t="shared" si="349"/>
        <v>91.06692188825096</v>
      </c>
      <c r="AV530" s="58" t="str">
        <f t="shared" si="326"/>
        <v>-0.0000994305973386975+0.0000695117317998641i</v>
      </c>
      <c r="AW530" s="64">
        <f t="shared" si="350"/>
        <v>-78.321416249372589</v>
      </c>
      <c r="AX530" s="61">
        <f t="shared" si="351"/>
        <v>145.04267957375097</v>
      </c>
    </row>
    <row r="531" spans="14:50" x14ac:dyDescent="0.3">
      <c r="N531" s="10">
        <v>13</v>
      </c>
      <c r="O531" s="50">
        <f t="shared" si="353"/>
        <v>1348962.8825916562</v>
      </c>
      <c r="P531" s="48" t="str">
        <f t="shared" ref="P531:P560" si="354">COMPLEX(Adc,0)</f>
        <v>51201.9230769231</v>
      </c>
      <c r="Q531" s="17" t="str">
        <f t="shared" ref="Q531:Q560" si="355">IMSUM(COMPLEX(1,0),IMDIV(COMPLEX(0,2*PI()*O531),COMPLEX(wp_lf,0)))</f>
        <v>1+396079.895117464i</v>
      </c>
      <c r="R531" s="17">
        <f t="shared" si="327"/>
        <v>396079.89511872642</v>
      </c>
      <c r="S531" s="17">
        <f t="shared" si="328"/>
        <v>1.5707938020517518</v>
      </c>
      <c r="T531" s="17" t="str">
        <f t="shared" ref="T531:T560" si="356">IMSUM(COMPLEX(1,0),IMDIV(COMPLEX(0,2*PI()*O531),COMPLEX(wz_esr,0)))</f>
        <v>1+0.0000254273512914916i</v>
      </c>
      <c r="U531" s="17">
        <f t="shared" si="329"/>
        <v>1.0000000003232752</v>
      </c>
      <c r="V531" s="17">
        <f t="shared" si="330"/>
        <v>2.542735128601158E-5</v>
      </c>
      <c r="W531" s="31" t="str">
        <f t="shared" ref="W531:W560" si="357">IMSUB(COMPLEX(1,0),IMDIV(COMPLEX(0,2*PI()*O531),COMPLEX(wz_rhp,0)))</f>
        <v>1-13.7307696974054i</v>
      </c>
      <c r="X531" s="17">
        <f t="shared" si="331"/>
        <v>13.767136103169257</v>
      </c>
      <c r="Y531" s="17">
        <f t="shared" si="332"/>
        <v>-1.4980955532713331</v>
      </c>
      <c r="Z531" s="31" t="str">
        <f t="shared" ref="Z531:Z560" si="358">IMSUM(COMPLEX(1,0),IMDIV(COMPLEX(0,2*PI()*O531),COMPLEX(Q*(wsl/2),0)),IMDIV(IMPOWER(COMPLEX(0,2*PI()*O531),2),IMPOWER(COMPLEX(wsl/2,0),2)))</f>
        <v>-726.880343443997+837.901071791215i</v>
      </c>
      <c r="AA531" s="17">
        <f t="shared" si="333"/>
        <v>1109.2489530281875</v>
      </c>
      <c r="AB531" s="17">
        <f t="shared" si="334"/>
        <v>2.2853635099370524</v>
      </c>
      <c r="AC531" s="66" t="str">
        <f t="shared" si="335"/>
        <v>0.000960516566665231+0.00128513473827718i</v>
      </c>
      <c r="AD531" s="64">
        <f t="shared" si="336"/>
        <v>-55.893638938743024</v>
      </c>
      <c r="AE531" s="61">
        <f t="shared" si="337"/>
        <v>53.225365254678771</v>
      </c>
      <c r="AF531" s="31" t="str">
        <f t="shared" ref="AF531:AF560" si="359">COMPLEX(Adc_ea_iso,0)</f>
        <v>-0.332666666666667</v>
      </c>
      <c r="AG531" s="31" t="str">
        <f t="shared" si="338"/>
        <v>8475783.76383051i</v>
      </c>
      <c r="AH531" s="31">
        <f t="shared" si="339"/>
        <v>8475783.7638305109</v>
      </c>
      <c r="AI531" s="31">
        <f t="shared" si="340"/>
        <v>1.5707963267948966</v>
      </c>
      <c r="AJ531" s="31" t="str">
        <f t="shared" ref="AJ531:AJ560" si="360">IMSUM(IMPRODUCT(COMPLEX(wpA_ea_iso,0),IMPOWER(COMPLEX(0,2*PI()*O531),2)),COMPLEX(0,wpB_ea_iso*2*PI()*O531),COMPLEX(1,0))</f>
        <v>-3832826.13428228+69895.2711075646i</v>
      </c>
      <c r="AK531" s="31">
        <f t="shared" si="341"/>
        <v>3833463.3850554051</v>
      </c>
      <c r="AL531" s="31">
        <f t="shared" si="342"/>
        <v>3.1233587128090861</v>
      </c>
      <c r="AM531" s="31" t="str">
        <f t="shared" ref="AM531:AM560" si="361">IMSUM(COMPLEX(1,0),IMDIV(COMPLEX(0,2*PI()*O531),COMPLEX(wz1_ea_iso,0)))</f>
        <v>1+254300974.454311i</v>
      </c>
      <c r="AN531" s="31">
        <f t="shared" si="343"/>
        <v>254300974.45431101</v>
      </c>
      <c r="AO531" s="31">
        <f t="shared" si="344"/>
        <v>1.5707963228625483</v>
      </c>
      <c r="AP531" s="31" t="str">
        <f t="shared" ref="AP531:AP560" si="362">IMSUM(COMPLEX(1,0),IMDIV(COMPLEX(0,2*PI()*O531),COMPLEX(wz2_ea_iso,0)))</f>
        <v>1+27461.5393948109i</v>
      </c>
      <c r="AQ531" s="31">
        <f t="shared" si="345"/>
        <v>27461.539413018178</v>
      </c>
      <c r="AR531" s="31">
        <f t="shared" si="346"/>
        <v>1.570759912230324</v>
      </c>
      <c r="AS531" s="58" t="str">
        <f t="shared" si="347"/>
        <v>-0.00130106589289452+0.0714889781985355i</v>
      </c>
      <c r="AT531" s="49">
        <f t="shared" si="348"/>
        <v>-22.913779961600195</v>
      </c>
      <c r="AU531" s="61">
        <f t="shared" si="349"/>
        <v>91.042641224456219</v>
      </c>
      <c r="AV531" s="58" t="str">
        <f t="shared" ref="AV531:AV560" si="363">IMPRODUCT(AC531,AS531)</f>
        <v>-0.0000931226646313262+0.0000669943029179165i</v>
      </c>
      <c r="AW531" s="64">
        <f t="shared" si="350"/>
        <v>-78.807418900343208</v>
      </c>
      <c r="AX531" s="61">
        <f t="shared" si="351"/>
        <v>144.26800647913498</v>
      </c>
    </row>
    <row r="532" spans="14:50" x14ac:dyDescent="0.3">
      <c r="N532" s="10">
        <v>14</v>
      </c>
      <c r="O532" s="50">
        <f t="shared" si="353"/>
        <v>1380384.2646028849</v>
      </c>
      <c r="P532" s="48" t="str">
        <f t="shared" si="354"/>
        <v>51201.9230769231</v>
      </c>
      <c r="Q532" s="17" t="str">
        <f t="shared" si="355"/>
        <v>1+405305.781056997i</v>
      </c>
      <c r="R532" s="17">
        <f t="shared" ref="R532:R560" si="364">IMABS(Q532)</f>
        <v>405305.78105823067</v>
      </c>
      <c r="S532" s="17">
        <f t="shared" ref="S532:S560" si="365">IMARGUMENT(Q532)</f>
        <v>1.5707938595219222</v>
      </c>
      <c r="T532" s="17" t="str">
        <f t="shared" si="356"/>
        <v>1+0.0000260196303888442i</v>
      </c>
      <c r="U532" s="17">
        <f t="shared" ref="U532:U560" si="366">IMABS(T532)</f>
        <v>1.0000000003385106</v>
      </c>
      <c r="V532" s="17">
        <f t="shared" ref="V532:V560" si="367">IMARGUMENT(T532)</f>
        <v>2.6019630382972252E-5</v>
      </c>
      <c r="W532" s="31" t="str">
        <f t="shared" si="357"/>
        <v>1-14.0506004099759i</v>
      </c>
      <c r="X532" s="17">
        <f t="shared" ref="X532:X560" si="368">IMABS(W532)</f>
        <v>14.086141128102293</v>
      </c>
      <c r="Y532" s="17">
        <f t="shared" ref="Y532:Y560" si="369">IMARGUMENT(W532)</f>
        <v>-1.4997447965445179</v>
      </c>
      <c r="Z532" s="31" t="str">
        <f t="shared" si="358"/>
        <v>-761.1842871853+857.418294988482i</v>
      </c>
      <c r="AA532" s="17">
        <f t="shared" ref="AA532:AA560" si="370">IMABS(Z532)</f>
        <v>1146.5459657766664</v>
      </c>
      <c r="AB532" s="17">
        <f t="shared" ref="AB532:AB560" si="371">IMARGUMENT(Z532)</f>
        <v>2.2968094031184276</v>
      </c>
      <c r="AC532" s="66" t="str">
        <f t="shared" ref="AC532:AC560" si="372">(IMDIV(IMPRODUCT(P532,T532,W532),IMPRODUCT(Q532,Z532)))</f>
        <v>0.000945359574709626+0.00123090859305121i</v>
      </c>
      <c r="AD532" s="64">
        <f t="shared" ref="AD532:AD560" si="373">20*LOG(IMABS(AC532))</f>
        <v>-56.18191921366008</v>
      </c>
      <c r="AE532" s="61">
        <f t="shared" ref="AE532:AE560" si="374">(180/PI())*IMARGUMENT(AC532)</f>
        <v>52.47509984597901</v>
      </c>
      <c r="AF532" s="31" t="str">
        <f t="shared" si="359"/>
        <v>-0.332666666666667</v>
      </c>
      <c r="AG532" s="31" t="str">
        <f t="shared" ref="AG532:AG560" si="375">COMPLEX(0,1*2*PI()*O532)</f>
        <v>8673210.12961474i</v>
      </c>
      <c r="AH532" s="31">
        <f t="shared" ref="AH532:AH560" si="376">IMABS(AG532)</f>
        <v>8673210.1296147406</v>
      </c>
      <c r="AI532" s="31">
        <f t="shared" ref="AI532:AI560" si="377">IMARGUMENT(AG532)</f>
        <v>1.5707963267948966</v>
      </c>
      <c r="AJ532" s="31" t="str">
        <f t="shared" si="360"/>
        <v>-4013461.71205108+71523.3411179342i</v>
      </c>
      <c r="AK532" s="31">
        <f t="shared" ref="AK532:AK560" si="378">IMABS(AJ532)</f>
        <v>4014098.9652006165</v>
      </c>
      <c r="AL532" s="31">
        <f t="shared" ref="AL532:AL560" si="379">IMARGUMENT(AJ532)</f>
        <v>3.1237736793084134</v>
      </c>
      <c r="AM532" s="31" t="str">
        <f t="shared" si="361"/>
        <v>1+260224405.089263i</v>
      </c>
      <c r="AN532" s="31">
        <f t="shared" ref="AN532:AN560" si="380">IMABS(AM532)</f>
        <v>260224405.08926299</v>
      </c>
      <c r="AO532" s="31">
        <f t="shared" ref="AO532:AO560" si="381">IMARGUMENT(AM532)</f>
        <v>1.5707963229520596</v>
      </c>
      <c r="AP532" s="31" t="str">
        <f t="shared" si="362"/>
        <v>1+28101.2008199518i</v>
      </c>
      <c r="AQ532" s="31">
        <f t="shared" ref="AQ532:AQ560" si="382">IMABS(AP532)</f>
        <v>28101.200837744629</v>
      </c>
      <c r="AR532" s="31">
        <f t="shared" ref="AR532:AR560" si="383">IMARGUMENT(AP532)</f>
        <v>1.5707607411270106</v>
      </c>
      <c r="AS532" s="58" t="str">
        <f t="shared" ref="AS532:AS560" si="384">IMDIV(IMPRODUCT(AF532,AM532,AP532),IMPRODUCT(AG532,AJ532))</f>
        <v>-0.00124252684344072+0.0698627327795804i</v>
      </c>
      <c r="AT532" s="49">
        <f t="shared" ref="AT532:AT560" si="385">20*LOG(IMABS(AS532))</f>
        <v>-23.113715083094611</v>
      </c>
      <c r="AU532" s="61">
        <f t="shared" ref="AU532:AU560" si="386">(180/PI())*IMARGUMENT(AS532)</f>
        <v>91.018912892815848</v>
      </c>
      <c r="AV532" s="58" t="str">
        <f t="shared" si="363"/>
        <v>-0.0000871692727607064+0.0000645159663798684i</v>
      </c>
      <c r="AW532" s="64">
        <f t="shared" ref="AW532:AW560" si="387">20*LOG(IMABS(AV532))</f>
        <v>-79.295634296754685</v>
      </c>
      <c r="AX532" s="61">
        <f t="shared" ref="AX532:AX560" si="388">(180/PI())*IMARGUMENT(AV532)</f>
        <v>143.49401273879485</v>
      </c>
    </row>
    <row r="533" spans="14:50" x14ac:dyDescent="0.3">
      <c r="N533" s="10">
        <v>15</v>
      </c>
      <c r="O533" s="50">
        <f t="shared" si="353"/>
        <v>1412537.5446227565</v>
      </c>
      <c r="P533" s="48" t="str">
        <f t="shared" si="354"/>
        <v>51201.9230769231</v>
      </c>
      <c r="Q533" s="17" t="str">
        <f t="shared" si="355"/>
        <v>1+414746.565486503i</v>
      </c>
      <c r="R533" s="17">
        <f t="shared" si="364"/>
        <v>414746.56548770849</v>
      </c>
      <c r="S533" s="17">
        <f t="shared" si="365"/>
        <v>1.5707939156839117</v>
      </c>
      <c r="T533" s="17" t="str">
        <f t="shared" si="356"/>
        <v>1+0.0000266257054386397i</v>
      </c>
      <c r="U533" s="17">
        <f t="shared" si="366"/>
        <v>1.000000000354464</v>
      </c>
      <c r="V533" s="17">
        <f t="shared" si="367"/>
        <v>2.6625705432347797E-5</v>
      </c>
      <c r="W533" s="31" t="str">
        <f t="shared" si="357"/>
        <v>1-14.3778809368654i</v>
      </c>
      <c r="X533" s="17">
        <f t="shared" si="368"/>
        <v>14.412614621735971</v>
      </c>
      <c r="Y533" s="17">
        <f t="shared" si="369"/>
        <v>-1.5013568726629598</v>
      </c>
      <c r="Z533" s="31" t="str">
        <f t="shared" si="358"/>
        <v>-797.104925987555+877.390132715027i</v>
      </c>
      <c r="AA533" s="17">
        <f t="shared" si="370"/>
        <v>1185.4069799099877</v>
      </c>
      <c r="AB533" s="17">
        <f t="shared" si="371"/>
        <v>2.3082852587820555</v>
      </c>
      <c r="AC533" s="66" t="str">
        <f t="shared" si="372"/>
        <v>0.000929765040357006+0.00117835394193425i</v>
      </c>
      <c r="AD533" s="64">
        <f t="shared" si="373"/>
        <v>-56.472424625447701</v>
      </c>
      <c r="AE533" s="61">
        <f t="shared" si="374"/>
        <v>51.725248100008677</v>
      </c>
      <c r="AF533" s="31" t="str">
        <f t="shared" si="359"/>
        <v>-0.332666666666667</v>
      </c>
      <c r="AG533" s="31" t="str">
        <f t="shared" si="375"/>
        <v>8875235.14621323i</v>
      </c>
      <c r="AH533" s="31">
        <f t="shared" si="376"/>
        <v>8875235.1462132297</v>
      </c>
      <c r="AI533" s="31">
        <f t="shared" si="377"/>
        <v>1.5707963267948966</v>
      </c>
      <c r="AJ533" s="31" t="str">
        <f t="shared" si="360"/>
        <v>-4202610.38232648+73189.3337504881i</v>
      </c>
      <c r="AK533" s="31">
        <f t="shared" si="378"/>
        <v>4203247.6377455043</v>
      </c>
      <c r="AL533" s="31">
        <f t="shared" si="379"/>
        <v>3.1241792059336149</v>
      </c>
      <c r="AM533" s="31" t="str">
        <f t="shared" si="361"/>
        <v>1+266285810.148271i</v>
      </c>
      <c r="AN533" s="31">
        <f t="shared" si="380"/>
        <v>266285810.14827099</v>
      </c>
      <c r="AO533" s="31">
        <f t="shared" si="381"/>
        <v>1.5707963230395332</v>
      </c>
      <c r="AP533" s="31" t="str">
        <f t="shared" si="362"/>
        <v>1+28755.7618737309i</v>
      </c>
      <c r="AQ533" s="31">
        <f t="shared" si="382"/>
        <v>28755.761891118716</v>
      </c>
      <c r="AR533" s="31">
        <f t="shared" si="383"/>
        <v>1.5707615511557051</v>
      </c>
      <c r="AS533" s="58" t="str">
        <f t="shared" si="384"/>
        <v>-0.00118662085247671+0.0682734356787392i</v>
      </c>
      <c r="AT533" s="49">
        <f t="shared" si="385"/>
        <v>-23.313653123698039</v>
      </c>
      <c r="AU533" s="61">
        <f t="shared" si="386"/>
        <v>90.995724344948982</v>
      </c>
      <c r="AV533" s="58" t="str">
        <f t="shared" si="363"/>
        <v>-0.0000815535506462283+0.0000620799943200571i</v>
      </c>
      <c r="AW533" s="64">
        <f t="shared" si="387"/>
        <v>-79.786077749145733</v>
      </c>
      <c r="AX533" s="61">
        <f t="shared" si="388"/>
        <v>142.72097244495765</v>
      </c>
    </row>
    <row r="534" spans="14:50" x14ac:dyDescent="0.3">
      <c r="N534" s="10">
        <v>16</v>
      </c>
      <c r="O534" s="50">
        <f t="shared" si="353"/>
        <v>1445439.7707459298</v>
      </c>
      <c r="P534" s="48" t="str">
        <f t="shared" si="354"/>
        <v>51201.9230769231</v>
      </c>
      <c r="Q534" s="17" t="str">
        <f t="shared" si="355"/>
        <v>1+424407.25403485i</v>
      </c>
      <c r="R534" s="17">
        <f t="shared" si="364"/>
        <v>424407.25403602817</v>
      </c>
      <c r="S534" s="17">
        <f t="shared" si="365"/>
        <v>1.5707939705674983</v>
      </c>
      <c r="T534" s="17" t="str">
        <f t="shared" si="356"/>
        <v>1+0.0000272458977898916i</v>
      </c>
      <c r="U534" s="17">
        <f t="shared" si="366"/>
        <v>1.0000000003711693</v>
      </c>
      <c r="V534" s="17">
        <f t="shared" si="367"/>
        <v>2.7245897783149703E-5</v>
      </c>
      <c r="W534" s="31" t="str">
        <f t="shared" si="357"/>
        <v>1-14.7127848065415i</v>
      </c>
      <c r="X534" s="17">
        <f t="shared" si="368"/>
        <v>14.746729697244687</v>
      </c>
      <c r="Y534" s="17">
        <f t="shared" si="369"/>
        <v>-1.5029326028363668</v>
      </c>
      <c r="Z534" s="31" t="str">
        <f t="shared" si="358"/>
        <v>-834.71845234162+897.827174303569i</v>
      </c>
      <c r="AA534" s="17">
        <f t="shared" si="370"/>
        <v>1225.9072271577163</v>
      </c>
      <c r="AB534" s="17">
        <f t="shared" si="371"/>
        <v>2.3197851558274909</v>
      </c>
      <c r="AC534" s="66" t="str">
        <f t="shared" si="372"/>
        <v>0.000913770197016836+0.00112745037452374i</v>
      </c>
      <c r="AD534" s="64">
        <f t="shared" si="373"/>
        <v>-56.76516821751504</v>
      </c>
      <c r="AE534" s="61">
        <f t="shared" si="374"/>
        <v>50.976102235688984</v>
      </c>
      <c r="AF534" s="31" t="str">
        <f t="shared" si="359"/>
        <v>-0.332666666666667</v>
      </c>
      <c r="AG534" s="31" t="str">
        <f t="shared" si="375"/>
        <v>9081965.92996386i</v>
      </c>
      <c r="AH534" s="31">
        <f t="shared" si="376"/>
        <v>9081965.9299638607</v>
      </c>
      <c r="AI534" s="31">
        <f t="shared" si="377"/>
        <v>1.5707963267948966</v>
      </c>
      <c r="AJ534" s="31" t="str">
        <f t="shared" si="360"/>
        <v>-4400673.35479772+74894.1323365718i</v>
      </c>
      <c r="AK534" s="31">
        <f t="shared" si="378"/>
        <v>4401310.6123841191</v>
      </c>
      <c r="AL534" s="31">
        <f t="shared" si="379"/>
        <v>3.1245755071677084</v>
      </c>
      <c r="AM534" s="31" t="str">
        <f t="shared" si="361"/>
        <v>1+272488403.468529i</v>
      </c>
      <c r="AN534" s="31">
        <f t="shared" si="380"/>
        <v>272488403.46852899</v>
      </c>
      <c r="AO534" s="31">
        <f t="shared" si="381"/>
        <v>1.5707963231250157</v>
      </c>
      <c r="AP534" s="31" t="str">
        <f t="shared" si="362"/>
        <v>1+29425.5696130829i</v>
      </c>
      <c r="AQ534" s="31">
        <f t="shared" si="382"/>
        <v>29425.569630074919</v>
      </c>
      <c r="AR534" s="31">
        <f t="shared" si="383"/>
        <v>1.5707623427458957</v>
      </c>
      <c r="AS534" s="58" t="str">
        <f t="shared" si="384"/>
        <v>-0.00113322955644891+0.066720250488487i</v>
      </c>
      <c r="AT534" s="49">
        <f t="shared" si="385"/>
        <v>-23.513593952108515</v>
      </c>
      <c r="AU534" s="61">
        <f t="shared" si="386"/>
        <v>90.97306331649439</v>
      </c>
      <c r="AV534" s="58" t="str">
        <f t="shared" si="363"/>
        <v>-0.000076259282796624+0.0000596893163460377i</v>
      </c>
      <c r="AW534" s="64">
        <f t="shared" si="387"/>
        <v>-80.278762169623548</v>
      </c>
      <c r="AX534" s="61">
        <f t="shared" si="388"/>
        <v>141.94916555218339</v>
      </c>
    </row>
    <row r="535" spans="14:50" x14ac:dyDescent="0.3">
      <c r="N535" s="10">
        <v>17</v>
      </c>
      <c r="O535" s="50">
        <f t="shared" si="353"/>
        <v>1479108.3881682095</v>
      </c>
      <c r="P535" s="48" t="str">
        <f t="shared" si="354"/>
        <v>51201.9230769231</v>
      </c>
      <c r="Q535" s="17" t="str">
        <f t="shared" si="355"/>
        <v>1+434292.968926979i</v>
      </c>
      <c r="R535" s="17">
        <f t="shared" si="364"/>
        <v>434292.96892813029</v>
      </c>
      <c r="S535" s="17">
        <f t="shared" si="365"/>
        <v>1.5707940242017819</v>
      </c>
      <c r="T535" s="17" t="str">
        <f t="shared" si="356"/>
        <v>1+0.0000278805362767937i</v>
      </c>
      <c r="U535" s="17">
        <f t="shared" si="366"/>
        <v>1.000000000388662</v>
      </c>
      <c r="V535" s="17">
        <f t="shared" si="367"/>
        <v>2.7880536269569628E-5</v>
      </c>
      <c r="W535" s="31" t="str">
        <f t="shared" si="357"/>
        <v>1-15.0554895894686i</v>
      </c>
      <c r="X535" s="17">
        <f t="shared" si="368"/>
        <v>15.088663518635352</v>
      </c>
      <c r="Y535" s="17">
        <f t="shared" si="369"/>
        <v>-1.5044727912207738</v>
      </c>
      <c r="Z535" s="31" t="str">
        <f t="shared" si="358"/>
        <v>-874.104649579824+918.740255744072i</v>
      </c>
      <c r="AA535" s="17">
        <f t="shared" si="370"/>
        <v>1268.1256230917147</v>
      </c>
      <c r="AB535" s="17">
        <f t="shared" si="371"/>
        <v>2.3313031082358511</v>
      </c>
      <c r="AC535" s="66" t="str">
        <f t="shared" si="372"/>
        <v>0.000897412036036122+0.00107817677726554i</v>
      </c>
      <c r="AD535" s="64">
        <f t="shared" si="373"/>
        <v>-57.06016058700402</v>
      </c>
      <c r="AE535" s="61">
        <f t="shared" si="374"/>
        <v>50.227959169064484</v>
      </c>
      <c r="AF535" s="31" t="str">
        <f t="shared" si="359"/>
        <v>-0.332666666666667</v>
      </c>
      <c r="AG535" s="31" t="str">
        <f t="shared" si="375"/>
        <v>9293512.09226457i</v>
      </c>
      <c r="AH535" s="31">
        <f t="shared" si="376"/>
        <v>9293512.0922645703</v>
      </c>
      <c r="AI535" s="31">
        <f t="shared" si="377"/>
        <v>1.5707963267948966</v>
      </c>
      <c r="AJ535" s="31" t="str">
        <f t="shared" si="360"/>
        <v>-4608070.74758415+76638.6407829614i</v>
      </c>
      <c r="AK535" s="31">
        <f t="shared" si="378"/>
        <v>4608708.0072404034</v>
      </c>
      <c r="AL535" s="31">
        <f t="shared" si="379"/>
        <v>3.1249627926378132</v>
      </c>
      <c r="AM535" s="31" t="str">
        <f t="shared" si="361"/>
        <v>1+278835473.747116i</v>
      </c>
      <c r="AN535" s="31">
        <f t="shared" si="380"/>
        <v>278835473.74711603</v>
      </c>
      <c r="AO535" s="31">
        <f t="shared" si="381"/>
        <v>1.5707963232085524</v>
      </c>
      <c r="AP535" s="31" t="str">
        <f t="shared" si="362"/>
        <v>1+30110.9791789372i</v>
      </c>
      <c r="AQ535" s="31">
        <f t="shared" si="382"/>
        <v>30110.979195542433</v>
      </c>
      <c r="AR535" s="31">
        <f t="shared" si="383"/>
        <v>1.5707631163172935</v>
      </c>
      <c r="AS535" s="58" t="str">
        <f t="shared" si="384"/>
        <v>-0.00108223990641421+0.0652023595309701i</v>
      </c>
      <c r="AT535" s="49">
        <f t="shared" si="385"/>
        <v>-23.713537442926544</v>
      </c>
      <c r="AU535" s="61">
        <f t="shared" si="386"/>
        <v>90.950917820753176</v>
      </c>
      <c r="AV535" s="58" t="str">
        <f t="shared" si="363"/>
        <v>-0.0000712708849871051+0.0000573465362865213i</v>
      </c>
      <c r="AW535" s="64">
        <f t="shared" si="387"/>
        <v>-80.773698029930557</v>
      </c>
      <c r="AX535" s="61">
        <f t="shared" si="388"/>
        <v>141.17887698981767</v>
      </c>
    </row>
    <row r="536" spans="14:50" x14ac:dyDescent="0.3">
      <c r="N536" s="10">
        <v>18</v>
      </c>
      <c r="O536" s="50">
        <f t="shared" si="353"/>
        <v>1513561.2484362102</v>
      </c>
      <c r="P536" s="48" t="str">
        <f t="shared" si="354"/>
        <v>51201.9230769231</v>
      </c>
      <c r="Q536" s="17" t="str">
        <f t="shared" si="355"/>
        <v>1+444408.951699781i</v>
      </c>
      <c r="R536" s="17">
        <f t="shared" si="364"/>
        <v>444408.95170090615</v>
      </c>
      <c r="S536" s="17">
        <f t="shared" si="365"/>
        <v>1.5707940766152002</v>
      </c>
      <c r="T536" s="17" t="str">
        <f t="shared" si="356"/>
        <v>1+0.0000285299573930724i</v>
      </c>
      <c r="U536" s="17">
        <f t="shared" si="366"/>
        <v>1.0000000004069791</v>
      </c>
      <c r="V536" s="17">
        <f t="shared" si="367"/>
        <v>2.8529957385331668E-5</v>
      </c>
      <c r="W536" s="31" t="str">
        <f t="shared" si="357"/>
        <v>1-15.4061769922591i</v>
      </c>
      <c r="X536" s="17">
        <f t="shared" si="368"/>
        <v>15.438597394738087</v>
      </c>
      <c r="Y536" s="17">
        <f t="shared" si="369"/>
        <v>-1.5059782251991696</v>
      </c>
      <c r="Z536" s="31" t="str">
        <f t="shared" si="358"/>
        <v>-915.347061107114+940.140465429138i</v>
      </c>
      <c r="AA536" s="17">
        <f t="shared" si="370"/>
        <v>1312.1449375029981</v>
      </c>
      <c r="AB536" s="17">
        <f t="shared" si="371"/>
        <v>2.3428330805805859</v>
      </c>
      <c r="AC536" s="66" t="str">
        <f t="shared" si="372"/>
        <v>0.000880727239991717+0.00103051128895219i</v>
      </c>
      <c r="AD536" s="64">
        <f t="shared" si="373"/>
        <v>-57.357409852541601</v>
      </c>
      <c r="AE536" s="61">
        <f t="shared" si="374"/>
        <v>49.481119608532431</v>
      </c>
      <c r="AF536" s="31" t="str">
        <f t="shared" si="359"/>
        <v>-0.332666666666667</v>
      </c>
      <c r="AG536" s="31" t="str">
        <f t="shared" si="375"/>
        <v>9509985.79769079i</v>
      </c>
      <c r="AH536" s="31">
        <f t="shared" si="376"/>
        <v>9509985.7976907901</v>
      </c>
      <c r="AI536" s="31">
        <f t="shared" si="377"/>
        <v>1.5707963267948966</v>
      </c>
      <c r="AJ536" s="31" t="str">
        <f t="shared" si="360"/>
        <v>-4825242.47836217+78423.7840511264i</v>
      </c>
      <c r="AK536" s="31">
        <f t="shared" si="378"/>
        <v>4825879.7399951443</v>
      </c>
      <c r="AL536" s="31">
        <f t="shared" si="379"/>
        <v>3.1253412672239294</v>
      </c>
      <c r="AM536" s="31" t="str">
        <f t="shared" si="361"/>
        <v>1+285330386.284709i</v>
      </c>
      <c r="AN536" s="31">
        <f t="shared" si="380"/>
        <v>285330386.28470898</v>
      </c>
      <c r="AO536" s="31">
        <f t="shared" si="381"/>
        <v>1.5707963232901876</v>
      </c>
      <c r="AP536" s="31" t="str">
        <f t="shared" si="362"/>
        <v>1+30812.3539845182i</v>
      </c>
      <c r="AQ536" s="31">
        <f t="shared" si="382"/>
        <v>30812.35400074545</v>
      </c>
      <c r="AR536" s="31">
        <f t="shared" si="383"/>
        <v>1.5707638722800565</v>
      </c>
      <c r="AS536" s="58" t="str">
        <f t="shared" si="384"/>
        <v>-0.00103354392995299+0.0637189634522714i</v>
      </c>
      <c r="AT536" s="49">
        <f t="shared" si="385"/>
        <v>-23.913483476390333</v>
      </c>
      <c r="AU536" s="61">
        <f t="shared" si="386"/>
        <v>90.929276142468922</v>
      </c>
      <c r="AV536" s="58" t="str">
        <f t="shared" si="363"/>
        <v>-0.0000665733814507354+0.0000550539481290075i</v>
      </c>
      <c r="AW536" s="64">
        <f t="shared" si="387"/>
        <v>-81.270893328931919</v>
      </c>
      <c r="AX536" s="61">
        <f t="shared" si="388"/>
        <v>140.41039575100137</v>
      </c>
    </row>
    <row r="537" spans="14:50" x14ac:dyDescent="0.3">
      <c r="N537" s="10">
        <v>19</v>
      </c>
      <c r="O537" s="50">
        <f t="shared" si="353"/>
        <v>1548816.6189124861</v>
      </c>
      <c r="P537" s="48" t="str">
        <f t="shared" si="354"/>
        <v>51201.9230769231</v>
      </c>
      <c r="Q537" s="17" t="str">
        <f t="shared" si="355"/>
        <v>1+454760.565981223i</v>
      </c>
      <c r="R537" s="17">
        <f t="shared" si="364"/>
        <v>454760.56598232244</v>
      </c>
      <c r="S537" s="17">
        <f t="shared" si="365"/>
        <v>1.5707941278355435</v>
      </c>
      <c r="T537" s="17" t="str">
        <f t="shared" si="356"/>
        <v>1+0.0000291945054703995i</v>
      </c>
      <c r="U537" s="17">
        <f t="shared" si="366"/>
        <v>1.0000000004261596</v>
      </c>
      <c r="V537" s="17">
        <f t="shared" si="367"/>
        <v>2.9194505462105154E-5</v>
      </c>
      <c r="W537" s="31" t="str">
        <f t="shared" si="357"/>
        <v>1-15.7650329540157i</v>
      </c>
      <c r="X537" s="17">
        <f t="shared" si="368"/>
        <v>15.796716875389045</v>
      </c>
      <c r="Y537" s="17">
        <f t="shared" si="369"/>
        <v>-1.5074496756627049</v>
      </c>
      <c r="Z537" s="31" t="str">
        <f t="shared" si="358"/>
        <v>-958.533167607804+962.039150033205i</v>
      </c>
      <c r="AA537" s="17">
        <f t="shared" si="370"/>
        <v>1358.0519723489458</v>
      </c>
      <c r="AB537" s="17">
        <f t="shared" si="371"/>
        <v>2.3543690038522831</v>
      </c>
      <c r="AC537" s="66" t="str">
        <f t="shared" si="372"/>
        <v>0.000863752111943714+0.000984431264918358i</v>
      </c>
      <c r="AD537" s="64">
        <f t="shared" si="373"/>
        <v>-57.656921631729155</v>
      </c>
      <c r="AE537" s="61">
        <f t="shared" si="374"/>
        <v>48.735887132044788</v>
      </c>
      <c r="AF537" s="31" t="str">
        <f t="shared" si="359"/>
        <v>-0.332666666666667</v>
      </c>
      <c r="AG537" s="31" t="str">
        <f t="shared" si="375"/>
        <v>9731501.8234665i</v>
      </c>
      <c r="AH537" s="31">
        <f t="shared" si="376"/>
        <v>9731501.8234665003</v>
      </c>
      <c r="AI537" s="31">
        <f t="shared" si="377"/>
        <v>1.5707963267948966</v>
      </c>
      <c r="AJ537" s="31" t="str">
        <f t="shared" si="360"/>
        <v>-5052649.19748947+80250.5086476569i</v>
      </c>
      <c r="AK537" s="31">
        <f t="shared" si="378"/>
        <v>5053286.4610102205</v>
      </c>
      <c r="AL537" s="31">
        <f t="shared" si="379"/>
        <v>3.1257111311653532</v>
      </c>
      <c r="AM537" s="31" t="str">
        <f t="shared" si="361"/>
        <v>1+291976584.769903i</v>
      </c>
      <c r="AN537" s="31">
        <f t="shared" si="380"/>
        <v>291976584.769903</v>
      </c>
      <c r="AO537" s="31">
        <f t="shared" si="381"/>
        <v>1.5707963233699644</v>
      </c>
      <c r="AP537" s="31" t="str">
        <f t="shared" si="362"/>
        <v>1+31530.0659080315i</v>
      </c>
      <c r="AQ537" s="31">
        <f t="shared" si="382"/>
        <v>31530.065923889379</v>
      </c>
      <c r="AR537" s="31">
        <f t="shared" si="383"/>
        <v>1.5707646110350064</v>
      </c>
      <c r="AS537" s="58" t="str">
        <f t="shared" si="384"/>
        <v>-0.000987038503700492+0.0622692808245447i</v>
      </c>
      <c r="AT537" s="49">
        <f t="shared" si="385"/>
        <v>-24.113431938122396</v>
      </c>
      <c r="AU537" s="61">
        <f t="shared" si="386"/>
        <v>90.908126831742848</v>
      </c>
      <c r="AV537" s="58" t="str">
        <f t="shared" si="363"/>
        <v>-0.0000621523834798041+0.0000528135512586957i</v>
      </c>
      <c r="AW537" s="64">
        <f t="shared" si="387"/>
        <v>-81.770353569851551</v>
      </c>
      <c r="AX537" s="61">
        <f t="shared" si="388"/>
        <v>139.64401396378764</v>
      </c>
    </row>
    <row r="538" spans="14:50" x14ac:dyDescent="0.3">
      <c r="N538" s="10">
        <v>20</v>
      </c>
      <c r="O538" s="50">
        <f t="shared" si="353"/>
        <v>1584893.1924611153</v>
      </c>
      <c r="P538" s="48" t="str">
        <f t="shared" si="354"/>
        <v>51201.9230769231</v>
      </c>
      <c r="Q538" s="17" t="str">
        <f t="shared" si="355"/>
        <v>1+465353.300334214i</v>
      </c>
      <c r="R538" s="17">
        <f t="shared" si="364"/>
        <v>465353.3003352884</v>
      </c>
      <c r="S538" s="17">
        <f t="shared" si="365"/>
        <v>1.5707941778899694</v>
      </c>
      <c r="T538" s="17" t="str">
        <f t="shared" si="356"/>
        <v>1+0.0000298745328609619i</v>
      </c>
      <c r="U538" s="17">
        <f t="shared" si="366"/>
        <v>1.0000000004462437</v>
      </c>
      <c r="V538" s="17">
        <f t="shared" si="367"/>
        <v>2.9874532852074349E-5</v>
      </c>
      <c r="W538" s="31" t="str">
        <f t="shared" si="357"/>
        <v>1-16.1322477449194i</v>
      </c>
      <c r="X538" s="17">
        <f t="shared" si="368"/>
        <v>16.163211849860073</v>
      </c>
      <c r="Y538" s="17">
        <f t="shared" si="369"/>
        <v>-1.508887897292045</v>
      </c>
      <c r="Z538" s="31" t="str">
        <f t="shared" si="358"/>
        <v>-1003.75457260384+984.44792052871i</v>
      </c>
      <c r="AA538" s="17">
        <f t="shared" si="370"/>
        <v>1405.9377476461818</v>
      </c>
      <c r="AB538" s="17">
        <f t="shared" si="371"/>
        <v>2.3659047914972864</v>
      </c>
      <c r="AC538" s="66" t="str">
        <f t="shared" si="372"/>
        <v>0.000846522501574969+0.000939913250196218i</v>
      </c>
      <c r="AD538" s="64">
        <f t="shared" si="373"/>
        <v>-57.958699028608606</v>
      </c>
      <c r="AE538" s="61">
        <f t="shared" si="374"/>
        <v>47.992567252053306</v>
      </c>
      <c r="AF538" s="31" t="str">
        <f t="shared" si="359"/>
        <v>-0.332666666666667</v>
      </c>
      <c r="AG538" s="31" t="str">
        <f t="shared" si="375"/>
        <v>9958177.62032063i</v>
      </c>
      <c r="AH538" s="31">
        <f t="shared" si="376"/>
        <v>9958177.6203206293</v>
      </c>
      <c r="AI538" s="31">
        <f t="shared" si="377"/>
        <v>1.5707963267948966</v>
      </c>
      <c r="AJ538" s="31" t="str">
        <f t="shared" si="360"/>
        <v>-5290773.26510622+82119.7831261133i</v>
      </c>
      <c r="AK538" s="31">
        <f t="shared" si="378"/>
        <v>5291410.5304298028</v>
      </c>
      <c r="AL538" s="31">
        <f t="shared" si="379"/>
        <v>3.1260725801647871</v>
      </c>
      <c r="AM538" s="31" t="str">
        <f t="shared" si="361"/>
        <v>1+298777593.105109i</v>
      </c>
      <c r="AN538" s="31">
        <f t="shared" si="380"/>
        <v>298777593.10510898</v>
      </c>
      <c r="AO538" s="31">
        <f t="shared" si="381"/>
        <v>1.5707963234479254</v>
      </c>
      <c r="AP538" s="31" t="str">
        <f t="shared" si="362"/>
        <v>1+32264.4954898388i</v>
      </c>
      <c r="AQ538" s="31">
        <f t="shared" si="382"/>
        <v>32264.495505335708</v>
      </c>
      <c r="AR538" s="31">
        <f t="shared" si="383"/>
        <v>1.5707653329738405</v>
      </c>
      <c r="AS538" s="58" t="str">
        <f t="shared" si="384"/>
        <v>-0.000942625136026828+0.0608525477559231i</v>
      </c>
      <c r="AT538" s="49">
        <f t="shared" si="385"/>
        <v>-24.313382718887638</v>
      </c>
      <c r="AU538" s="61">
        <f t="shared" si="386"/>
        <v>90.887458698081176</v>
      </c>
      <c r="AV538" s="58" t="str">
        <f t="shared" si="363"/>
        <v>-0.0000579940693321871+0.0000506270650982347i</v>
      </c>
      <c r="AW538" s="64">
        <f t="shared" si="387"/>
        <v>-82.27208174749623</v>
      </c>
      <c r="AX538" s="61">
        <f t="shared" si="388"/>
        <v>138.88002595013444</v>
      </c>
    </row>
    <row r="539" spans="14:50" x14ac:dyDescent="0.3">
      <c r="N539" s="10">
        <v>21</v>
      </c>
      <c r="O539" s="50">
        <f t="shared" si="353"/>
        <v>1621810.0973589318</v>
      </c>
      <c r="P539" s="48" t="str">
        <f t="shared" si="354"/>
        <v>51201.9230769231</v>
      </c>
      <c r="Q539" s="17" t="str">
        <f t="shared" si="355"/>
        <v>1+476192.771166721i</v>
      </c>
      <c r="R539" s="17">
        <f t="shared" si="364"/>
        <v>476192.77116777096</v>
      </c>
      <c r="S539" s="17">
        <f t="shared" si="365"/>
        <v>1.5707942268050175</v>
      </c>
      <c r="T539" s="17" t="str">
        <f t="shared" si="356"/>
        <v>1+0.0000305704001242833i</v>
      </c>
      <c r="U539" s="17">
        <f t="shared" si="366"/>
        <v>1.0000000004672747</v>
      </c>
      <c r="V539" s="17">
        <f t="shared" si="367"/>
        <v>3.0570400114760118E-5</v>
      </c>
      <c r="W539" s="31" t="str">
        <f t="shared" si="357"/>
        <v>1-16.508016067113i</v>
      </c>
      <c r="X539" s="17">
        <f t="shared" si="368"/>
        <v>16.538276647585171</v>
      </c>
      <c r="Y539" s="17">
        <f t="shared" si="369"/>
        <v>-1.5102936288384301</v>
      </c>
      <c r="Z539" s="31" t="str">
        <f t="shared" si="358"/>
        <v>-1051.10719675815+1007.37865834239i</v>
      </c>
      <c r="AA539" s="17">
        <f t="shared" si="370"/>
        <v>1455.8976957054674</v>
      </c>
      <c r="AB539" s="17">
        <f t="shared" si="371"/>
        <v>2.377434355567364</v>
      </c>
      <c r="AC539" s="66" t="str">
        <f t="shared" si="372"/>
        <v>0.00082907372916749+0.000896932961790734i</v>
      </c>
      <c r="AD539" s="64">
        <f t="shared" si="373"/>
        <v>-58.262742631257353</v>
      </c>
      <c r="AE539" s="61">
        <f t="shared" si="374"/>
        <v>47.25146647410736</v>
      </c>
      <c r="AF539" s="31" t="str">
        <f t="shared" si="359"/>
        <v>-0.332666666666667</v>
      </c>
      <c r="AG539" s="31" t="str">
        <f t="shared" si="375"/>
        <v>10190133.3747611i</v>
      </c>
      <c r="AH539" s="31">
        <f t="shared" si="376"/>
        <v>10190133.374761101</v>
      </c>
      <c r="AI539" s="31">
        <f t="shared" si="377"/>
        <v>1.5707963267948966</v>
      </c>
      <c r="AJ539" s="31" t="str">
        <f t="shared" si="360"/>
        <v>-5540119.7742857+84032.598600567i</v>
      </c>
      <c r="AK539" s="31">
        <f t="shared" si="378"/>
        <v>5540757.041330996</v>
      </c>
      <c r="AL539" s="31">
        <f t="shared" si="379"/>
        <v>3.1264258054901739</v>
      </c>
      <c r="AM539" s="31" t="str">
        <f t="shared" si="361"/>
        <v>1+305737017.274968i</v>
      </c>
      <c r="AN539" s="31">
        <f t="shared" si="380"/>
        <v>305737017.27496803</v>
      </c>
      <c r="AO539" s="31">
        <f t="shared" si="381"/>
        <v>1.5707963235241118</v>
      </c>
      <c r="AP539" s="31" t="str">
        <f t="shared" si="362"/>
        <v>1+33016.032134226i</v>
      </c>
      <c r="AQ539" s="31">
        <f t="shared" si="382"/>
        <v>33016.032149370156</v>
      </c>
      <c r="AR539" s="31">
        <f t="shared" si="383"/>
        <v>1.5707660384793405</v>
      </c>
      <c r="AS539" s="58" t="str">
        <f t="shared" si="384"/>
        <v>-0.000900209759416898+0.0594680175081103i</v>
      </c>
      <c r="AT539" s="49">
        <f t="shared" si="385"/>
        <v>-24.513335714362555</v>
      </c>
      <c r="AU539" s="61">
        <f t="shared" si="386"/>
        <v>90.867260804572098</v>
      </c>
      <c r="AV539" s="58" t="str">
        <f t="shared" si="363"/>
        <v>-0.0000540851653376453+0.0000484959432358999i</v>
      </c>
      <c r="AW539" s="64">
        <f t="shared" si="387"/>
        <v>-82.776078345619908</v>
      </c>
      <c r="AX539" s="61">
        <f t="shared" si="388"/>
        <v>138.11872727867942</v>
      </c>
    </row>
    <row r="540" spans="14:50" x14ac:dyDescent="0.3">
      <c r="N540" s="10">
        <v>22</v>
      </c>
      <c r="O540" s="50">
        <f t="shared" si="353"/>
        <v>1659586.9074375622</v>
      </c>
      <c r="P540" s="48" t="str">
        <f t="shared" si="354"/>
        <v>51201.9230769231</v>
      </c>
      <c r="Q540" s="17" t="str">
        <f t="shared" si="355"/>
        <v>1+487284.72570966i</v>
      </c>
      <c r="R540" s="17">
        <f t="shared" si="364"/>
        <v>487284.72571068612</v>
      </c>
      <c r="S540" s="17">
        <f t="shared" si="365"/>
        <v>1.570794274606623</v>
      </c>
      <c r="T540" s="17" t="str">
        <f t="shared" si="356"/>
        <v>1+0.0000312824762183979i</v>
      </c>
      <c r="U540" s="17">
        <f t="shared" si="366"/>
        <v>1.0000000004892966</v>
      </c>
      <c r="V540" s="17">
        <f t="shared" si="367"/>
        <v>3.1282476208193629E-5</v>
      </c>
      <c r="W540" s="31" t="str">
        <f t="shared" si="357"/>
        <v>1-16.8925371579349i</v>
      </c>
      <c r="X540" s="17">
        <f t="shared" si="368"/>
        <v>16.92211014123863</v>
      </c>
      <c r="Y540" s="17">
        <f t="shared" si="369"/>
        <v>-1.5116675934040689</v>
      </c>
      <c r="Z540" s="31" t="str">
        <f t="shared" si="358"/>
        <v>-1100.69148133527+1030.84352165495i</v>
      </c>
      <c r="AA540" s="17">
        <f t="shared" si="370"/>
        <v>1508.0318641268859</v>
      </c>
      <c r="AB540" s="17">
        <f t="shared" si="371"/>
        <v>2.3889516228763696</v>
      </c>
      <c r="AC540" s="66" t="str">
        <f t="shared" si="372"/>
        <v>0.000811440508379152+0.000855465280129798i</v>
      </c>
      <c r="AD540" s="64">
        <f t="shared" si="373"/>
        <v>-58.569050519569558</v>
      </c>
      <c r="AE540" s="61">
        <f t="shared" si="374"/>
        <v>46.512891355090311</v>
      </c>
      <c r="AF540" s="31" t="str">
        <f t="shared" si="359"/>
        <v>-0.332666666666667</v>
      </c>
      <c r="AG540" s="31" t="str">
        <f t="shared" si="375"/>
        <v>10427492.0727993i</v>
      </c>
      <c r="AH540" s="31">
        <f t="shared" si="376"/>
        <v>10427492.072799301</v>
      </c>
      <c r="AI540" s="31">
        <f t="shared" si="377"/>
        <v>1.5707963267948966</v>
      </c>
      <c r="AJ540" s="31" t="str">
        <f t="shared" si="360"/>
        <v>-5801217.62240444+85989.9692711017i</v>
      </c>
      <c r="AK540" s="31">
        <f t="shared" si="378"/>
        <v>5801854.891093974</v>
      </c>
      <c r="AL540" s="31">
        <f t="shared" si="379"/>
        <v>3.1267709940743158</v>
      </c>
      <c r="AM540" s="31" t="str">
        <f t="shared" si="361"/>
        <v>1+312858547.258295i</v>
      </c>
      <c r="AN540" s="31">
        <f t="shared" si="380"/>
        <v>312858547.258295</v>
      </c>
      <c r="AO540" s="31">
        <f t="shared" si="381"/>
        <v>1.570796323598564</v>
      </c>
      <c r="AP540" s="31" t="str">
        <f t="shared" si="362"/>
        <v>1+33785.0743158697i</v>
      </c>
      <c r="AQ540" s="31">
        <f t="shared" si="382"/>
        <v>33785.074330669137</v>
      </c>
      <c r="AR540" s="31">
        <f t="shared" si="383"/>
        <v>1.5707667279255746</v>
      </c>
      <c r="AS540" s="58" t="str">
        <f t="shared" si="384"/>
        <v>-0.000859702532120698+0.0581149601215608i</v>
      </c>
      <c r="AT540" s="49">
        <f t="shared" si="385"/>
        <v>-24.713290824914779</v>
      </c>
      <c r="AU540" s="61">
        <f t="shared" si="386"/>
        <v>90.8475224621899</v>
      </c>
      <c r="AV540" s="58" t="str">
        <f t="shared" si="363"/>
        <v>-0.0000504129280998419+0.0000464213871180045i</v>
      </c>
      <c r="AW540" s="64">
        <f t="shared" si="387"/>
        <v>-83.282341344484337</v>
      </c>
      <c r="AX540" s="61">
        <f t="shared" si="388"/>
        <v>137.3604138172802</v>
      </c>
    </row>
    <row r="541" spans="14:50" x14ac:dyDescent="0.3">
      <c r="N541" s="10">
        <v>23</v>
      </c>
      <c r="O541" s="50">
        <f t="shared" si="353"/>
        <v>1698243.6524617488</v>
      </c>
      <c r="P541" s="48" t="str">
        <f t="shared" si="354"/>
        <v>51201.9230769231</v>
      </c>
      <c r="Q541" s="17" t="str">
        <f t="shared" si="355"/>
        <v>1+498635.045064147i</v>
      </c>
      <c r="R541" s="17">
        <f t="shared" si="364"/>
        <v>498635.04506514966</v>
      </c>
      <c r="S541" s="17">
        <f t="shared" si="365"/>
        <v>1.5707943213201312</v>
      </c>
      <c r="T541" s="17" t="str">
        <f t="shared" si="356"/>
        <v>1+0.0000320111386954761i</v>
      </c>
      <c r="U541" s="17">
        <f t="shared" si="366"/>
        <v>1.0000000005123564</v>
      </c>
      <c r="V541" s="17">
        <f t="shared" si="367"/>
        <v>3.2011138684542022E-5</v>
      </c>
      <c r="W541" s="31" t="str">
        <f t="shared" si="357"/>
        <v>1-17.2860148955571i</v>
      </c>
      <c r="X541" s="17">
        <f t="shared" si="368"/>
        <v>17.314915852218917</v>
      </c>
      <c r="Y541" s="17">
        <f t="shared" si="369"/>
        <v>-1.5130104987215081</v>
      </c>
      <c r="Z541" s="31" t="str">
        <f t="shared" si="358"/>
        <v>-1152.61260125066+1054.85495184754i</v>
      </c>
      <c r="AA541" s="17">
        <f t="shared" si="370"/>
        <v>1562.4451279962086</v>
      </c>
      <c r="AB541" s="17">
        <f t="shared" si="371"/>
        <v>2.400450551059599</v>
      </c>
      <c r="AC541" s="66" t="str">
        <f t="shared" si="372"/>
        <v>0.000793656868782397+0.000815484249637356i</v>
      </c>
      <c r="AD541" s="64">
        <f t="shared" si="373"/>
        <v>-58.877618283189776</v>
      </c>
      <c r="AE541" s="61">
        <f t="shared" si="374"/>
        <v>45.777147567090033</v>
      </c>
      <c r="AF541" s="31" t="str">
        <f t="shared" si="359"/>
        <v>-0.332666666666667</v>
      </c>
      <c r="AG541" s="31" t="str">
        <f t="shared" si="375"/>
        <v>10670379.5651587i</v>
      </c>
      <c r="AH541" s="31">
        <f t="shared" si="376"/>
        <v>10670379.565158701</v>
      </c>
      <c r="AI541" s="31">
        <f t="shared" si="377"/>
        <v>1.5707963267948966</v>
      </c>
      <c r="AJ541" s="31" t="str">
        <f t="shared" si="360"/>
        <v>-6074620.63300426+87992.9329615559i</v>
      </c>
      <c r="AK541" s="31">
        <f t="shared" si="378"/>
        <v>6075257.9032640457</v>
      </c>
      <c r="AL541" s="31">
        <f t="shared" si="379"/>
        <v>3.1271083286123065</v>
      </c>
      <c r="AM541" s="31" t="str">
        <f t="shared" si="361"/>
        <v>1+320145958.984553i</v>
      </c>
      <c r="AN541" s="31">
        <f t="shared" si="380"/>
        <v>320145958.98455298</v>
      </c>
      <c r="AO541" s="31">
        <f t="shared" si="381"/>
        <v>1.5707963236713214</v>
      </c>
      <c r="AP541" s="31" t="str">
        <f t="shared" si="362"/>
        <v>1+34572.0297911142i</v>
      </c>
      <c r="AQ541" s="31">
        <f t="shared" si="382"/>
        <v>34572.029805576756</v>
      </c>
      <c r="AR541" s="31">
        <f t="shared" si="383"/>
        <v>1.5707674016780966</v>
      </c>
      <c r="AS541" s="58" t="str">
        <f t="shared" si="384"/>
        <v>-0.000821017648663444+0.056792662048155i</v>
      </c>
      <c r="AT541" s="49">
        <f t="shared" si="385"/>
        <v>-24.913247955391814</v>
      </c>
      <c r="AU541" s="61">
        <f t="shared" si="386"/>
        <v>90.828233224223652</v>
      </c>
      <c r="AV541" s="58" t="str">
        <f t="shared" si="363"/>
        <v>-0.0000469651276915009+0.0000444043593697962i</v>
      </c>
      <c r="AW541" s="64">
        <f t="shared" si="387"/>
        <v>-83.790866238581586</v>
      </c>
      <c r="AX541" s="61">
        <f t="shared" si="388"/>
        <v>136.60538079131368</v>
      </c>
    </row>
    <row r="542" spans="14:50" x14ac:dyDescent="0.3">
      <c r="N542" s="10">
        <v>24</v>
      </c>
      <c r="O542" s="50">
        <f t="shared" si="353"/>
        <v>1737800.8287493798</v>
      </c>
      <c r="P542" s="48" t="str">
        <f t="shared" si="354"/>
        <v>51201.9230769231</v>
      </c>
      <c r="Q542" s="17" t="str">
        <f t="shared" si="355"/>
        <v>1+510249.747319737i</v>
      </c>
      <c r="R542" s="17">
        <f t="shared" si="364"/>
        <v>510249.74732071691</v>
      </c>
      <c r="S542" s="17">
        <f t="shared" si="365"/>
        <v>1.5707943669703102</v>
      </c>
      <c r="T542" s="17" t="str">
        <f t="shared" si="356"/>
        <v>1+0.0000327567739020078i</v>
      </c>
      <c r="U542" s="17">
        <f t="shared" si="366"/>
        <v>1.0000000005365031</v>
      </c>
      <c r="V542" s="17">
        <f t="shared" si="367"/>
        <v>3.275677389029173E-5</v>
      </c>
      <c r="W542" s="31" t="str">
        <f t="shared" si="357"/>
        <v>1-17.6886579070842i</v>
      </c>
      <c r="X542" s="17">
        <f t="shared" si="368"/>
        <v>17.716902058595132</v>
      </c>
      <c r="Y542" s="17">
        <f t="shared" si="369"/>
        <v>-1.5143230374316592</v>
      </c>
      <c r="Z542" s="31" t="str">
        <f t="shared" si="358"/>
        <v>-1206.98068816081+1079.42568009823i</v>
      </c>
      <c r="AA542" s="17">
        <f t="shared" si="370"/>
        <v>1619.2474117467868</v>
      </c>
      <c r="AB542" s="17">
        <f t="shared" si="371"/>
        <v>2.4119251444330216</v>
      </c>
      <c r="AC542" s="66" t="str">
        <f t="shared" si="372"/>
        <v>0.000775756079111626+0.0007769630882718i</v>
      </c>
      <c r="AD542" s="64">
        <f t="shared" si="373"/>
        <v>-59.188439049471818</v>
      </c>
      <c r="AE542" s="61">
        <f t="shared" si="374"/>
        <v>45.044538972812632</v>
      </c>
      <c r="AF542" s="31" t="str">
        <f t="shared" si="359"/>
        <v>-0.332666666666667</v>
      </c>
      <c r="AG542" s="31" t="str">
        <f t="shared" si="375"/>
        <v>10918924.6340026i</v>
      </c>
      <c r="AH542" s="31">
        <f t="shared" si="376"/>
        <v>10918924.6340026</v>
      </c>
      <c r="AI542" s="31">
        <f t="shared" si="377"/>
        <v>1.5707963267948966</v>
      </c>
      <c r="AJ542" s="31" t="str">
        <f t="shared" si="360"/>
        <v>-6360908.7305263+90042.5516697904i</v>
      </c>
      <c r="AK542" s="31">
        <f t="shared" si="378"/>
        <v>6361546.0022856807</v>
      </c>
      <c r="AL542" s="31">
        <f t="shared" si="379"/>
        <v>3.1274379876568359</v>
      </c>
      <c r="AM542" s="31" t="str">
        <f t="shared" si="361"/>
        <v>1+327603116.335893i</v>
      </c>
      <c r="AN542" s="31">
        <f t="shared" si="380"/>
        <v>327603116.33589298</v>
      </c>
      <c r="AO542" s="31">
        <f t="shared" si="381"/>
        <v>1.5707963237424225</v>
      </c>
      <c r="AP542" s="31" t="str">
        <f t="shared" si="362"/>
        <v>1+35377.3158141684i</v>
      </c>
      <c r="AQ542" s="31">
        <f t="shared" si="382"/>
        <v>35377.315828301747</v>
      </c>
      <c r="AR542" s="31">
        <f t="shared" si="383"/>
        <v>1.5707680600941387</v>
      </c>
      <c r="AS542" s="58" t="str">
        <f t="shared" si="384"/>
        <v>-0.00078407315882238+0.0555004257912569i</v>
      </c>
      <c r="AT542" s="49">
        <f t="shared" si="385"/>
        <v>-25.113207014920135</v>
      </c>
      <c r="AU542" s="61">
        <f t="shared" si="386"/>
        <v>90.809382880827982</v>
      </c>
      <c r="AV542" s="58" t="str">
        <f t="shared" si="363"/>
        <v>-0.0000437300317425995+0.0000424455967979415i</v>
      </c>
      <c r="AW542" s="64">
        <f t="shared" si="387"/>
        <v>-84.301646064391946</v>
      </c>
      <c r="AX542" s="61">
        <f t="shared" si="388"/>
        <v>135.85392185364063</v>
      </c>
    </row>
    <row r="543" spans="14:50" x14ac:dyDescent="0.3">
      <c r="N543" s="10">
        <v>25</v>
      </c>
      <c r="O543" s="50">
        <f t="shared" si="353"/>
        <v>1778279.4100389241</v>
      </c>
      <c r="P543" s="48" t="str">
        <f t="shared" si="354"/>
        <v>51201.9230769231</v>
      </c>
      <c r="Q543" s="17" t="str">
        <f t="shared" si="355"/>
        <v>1+522134.99074531i</v>
      </c>
      <c r="R543" s="17">
        <f t="shared" si="364"/>
        <v>522134.99074626761</v>
      </c>
      <c r="S543" s="17">
        <f t="shared" si="365"/>
        <v>1.5707944115813643</v>
      </c>
      <c r="T543" s="17" t="str">
        <f t="shared" si="356"/>
        <v>1+0.0000335197771836495i</v>
      </c>
      <c r="U543" s="17">
        <f t="shared" si="366"/>
        <v>1.0000000005617877</v>
      </c>
      <c r="V543" s="17">
        <f t="shared" si="367"/>
        <v>3.35197771710955E-5</v>
      </c>
      <c r="W543" s="31" t="str">
        <f t="shared" si="357"/>
        <v>1-18.1006796791707i</v>
      </c>
      <c r="X543" s="17">
        <f t="shared" si="368"/>
        <v>18.128281905573488</v>
      </c>
      <c r="Y543" s="17">
        <f t="shared" si="369"/>
        <v>-1.5156058873601934</v>
      </c>
      <c r="Z543" s="31" t="str">
        <f t="shared" si="358"/>
        <v>-1263.91106406735+1104.5687341324i</v>
      </c>
      <c r="AA543" s="17">
        <f t="shared" si="370"/>
        <v>1678.5539211758178</v>
      </c>
      <c r="AB543" s="17">
        <f t="shared" si="371"/>
        <v>2.4233694695515648</v>
      </c>
      <c r="AC543" s="66" t="str">
        <f t="shared" si="372"/>
        <v>0.000757770572136456+0.000739874205769231i</v>
      </c>
      <c r="AD543" s="64">
        <f t="shared" si="373"/>
        <v>-59.501503521247379</v>
      </c>
      <c r="AE543" s="61">
        <f t="shared" si="374"/>
        <v>44.315366718333522</v>
      </c>
      <c r="AF543" s="31" t="str">
        <f t="shared" si="359"/>
        <v>-0.332666666666667</v>
      </c>
      <c r="AG543" s="31" t="str">
        <f t="shared" si="375"/>
        <v>11173259.0612165i</v>
      </c>
      <c r="AH543" s="31">
        <f t="shared" si="376"/>
        <v>11173259.0612165</v>
      </c>
      <c r="AI543" s="31">
        <f t="shared" si="377"/>
        <v>1.5707963267948966</v>
      </c>
      <c r="AJ543" s="31" t="str">
        <f t="shared" si="360"/>
        <v>-6660689.17040878+92139.9121307741i</v>
      </c>
      <c r="AK543" s="31">
        <f t="shared" si="378"/>
        <v>6661326.4436002737</v>
      </c>
      <c r="AL543" s="31">
        <f t="shared" si="379"/>
        <v>3.1277601457113979</v>
      </c>
      <c r="AM543" s="31" t="str">
        <f t="shared" si="361"/>
        <v>1+335233973.195854i</v>
      </c>
      <c r="AN543" s="31">
        <f t="shared" si="380"/>
        <v>335233973.19585401</v>
      </c>
      <c r="AO543" s="31">
        <f t="shared" si="381"/>
        <v>1.5707963238119054</v>
      </c>
      <c r="AP543" s="31" t="str">
        <f t="shared" si="362"/>
        <v>1+36201.3593583415i</v>
      </c>
      <c r="AQ543" s="31">
        <f t="shared" si="382"/>
        <v>36201.359372153136</v>
      </c>
      <c r="AR543" s="31">
        <f t="shared" si="383"/>
        <v>1.5707687035228022</v>
      </c>
      <c r="AS543" s="58" t="str">
        <f t="shared" si="384"/>
        <v>-0.000748790794694843+0.0542375695530605i</v>
      </c>
      <c r="AT543" s="49">
        <f t="shared" si="385"/>
        <v>-25.31316791671291</v>
      </c>
      <c r="AU543" s="61">
        <f t="shared" si="386"/>
        <v>90.790961453693328</v>
      </c>
      <c r="AV543" s="58" t="str">
        <f t="shared" si="363"/>
        <v>-0.0000406963903248305+0.0000405456231170013i</v>
      </c>
      <c r="AW543" s="64">
        <f t="shared" si="387"/>
        <v>-84.814671437960271</v>
      </c>
      <c r="AX543" s="61">
        <f t="shared" si="388"/>
        <v>135.10632817202688</v>
      </c>
    </row>
    <row r="544" spans="14:50" x14ac:dyDescent="0.3">
      <c r="N544" s="10">
        <v>26</v>
      </c>
      <c r="O544" s="50">
        <f t="shared" si="353"/>
        <v>1819700.8586099846</v>
      </c>
      <c r="P544" s="48" t="str">
        <f t="shared" si="354"/>
        <v>51201.9230769231</v>
      </c>
      <c r="Q544" s="17" t="str">
        <f t="shared" si="355"/>
        <v>1+534297.077054253i</v>
      </c>
      <c r="R544" s="17">
        <f t="shared" si="364"/>
        <v>534297.07705518883</v>
      </c>
      <c r="S544" s="17">
        <f t="shared" si="365"/>
        <v>1.5707944551769466</v>
      </c>
      <c r="T544" s="17" t="str">
        <f t="shared" si="356"/>
        <v>1+0.0000343005530948409i</v>
      </c>
      <c r="U544" s="17">
        <f t="shared" si="366"/>
        <v>1.0000000005882639</v>
      </c>
      <c r="V544" s="17">
        <f t="shared" si="367"/>
        <v>3.4300553081389051E-5</v>
      </c>
      <c r="W544" s="31" t="str">
        <f t="shared" si="357"/>
        <v>1-18.5222986712141i</v>
      </c>
      <c r="X544" s="17">
        <f t="shared" si="368"/>
        <v>18.549273518541352</v>
      </c>
      <c r="Y544" s="17">
        <f t="shared" si="369"/>
        <v>-1.5168597117920302</v>
      </c>
      <c r="Z544" s="31" t="str">
        <f t="shared" si="358"/>
        <v>-1323.52448593036+1130.29744513011i</v>
      </c>
      <c r="AA544" s="17">
        <f t="shared" si="370"/>
        <v>1740.4853861279266</v>
      </c>
      <c r="AB544" s="17">
        <f t="shared" si="371"/>
        <v>2.4347776703694981</v>
      </c>
      <c r="AC544" s="66" t="str">
        <f t="shared" si="372"/>
        <v>0.000739731872036819+0.000704189230233437i</v>
      </c>
      <c r="AD544" s="64">
        <f t="shared" si="373"/>
        <v>-59.816800024096722</v>
      </c>
      <c r="AE544" s="61">
        <f t="shared" si="374"/>
        <v>43.58992834875518</v>
      </c>
      <c r="AF544" s="31" t="str">
        <f t="shared" si="359"/>
        <v>-0.332666666666667</v>
      </c>
      <c r="AG544" s="31" t="str">
        <f t="shared" si="375"/>
        <v>11433517.6982803i</v>
      </c>
      <c r="AH544" s="31">
        <f t="shared" si="376"/>
        <v>11433517.698280299</v>
      </c>
      <c r="AI544" s="31">
        <f t="shared" si="377"/>
        <v>1.5707963267948966</v>
      </c>
      <c r="AJ544" s="31" t="str">
        <f t="shared" si="360"/>
        <v>-6974597.82715706+94286.1263927856i</v>
      </c>
      <c r="AK544" s="31">
        <f t="shared" si="378"/>
        <v>6975235.1017162232</v>
      </c>
      <c r="AL544" s="31">
        <f t="shared" si="379"/>
        <v>3.1280749733214503</v>
      </c>
      <c r="AM544" s="31" t="str">
        <f t="shared" si="361"/>
        <v>1+343042575.545752i</v>
      </c>
      <c r="AN544" s="31">
        <f t="shared" si="380"/>
        <v>343042575.54575199</v>
      </c>
      <c r="AO544" s="31">
        <f t="shared" si="381"/>
        <v>1.5707963238798066</v>
      </c>
      <c r="AP544" s="31" t="str">
        <f t="shared" si="362"/>
        <v>1+37044.5973424282i</v>
      </c>
      <c r="AQ544" s="31">
        <f t="shared" si="382"/>
        <v>37044.597355925442</v>
      </c>
      <c r="AR544" s="31">
        <f t="shared" si="383"/>
        <v>1.570769332305241</v>
      </c>
      <c r="AS544" s="58" t="str">
        <f t="shared" si="384"/>
        <v>-0.000715095805498353+0.0530034268891157i</v>
      </c>
      <c r="AT544" s="49">
        <f t="shared" si="385"/>
        <v>-25.513130577886361</v>
      </c>
      <c r="AU544" s="61">
        <f t="shared" si="386"/>
        <v>90.772959190833575</v>
      </c>
      <c r="AV544" s="58" t="str">
        <f t="shared" si="363"/>
        <v>-0.0000378534215396676+0.0000387047614322352i</v>
      </c>
      <c r="AW544" s="64">
        <f t="shared" si="387"/>
        <v>-85.329930601983079</v>
      </c>
      <c r="AX544" s="61">
        <f t="shared" si="388"/>
        <v>134.36288753958871</v>
      </c>
    </row>
    <row r="545" spans="14:50" x14ac:dyDescent="0.3">
      <c r="N545" s="10">
        <v>27</v>
      </c>
      <c r="O545" s="50">
        <f t="shared" si="353"/>
        <v>1862087.1366628683</v>
      </c>
      <c r="P545" s="48" t="str">
        <f t="shared" si="354"/>
        <v>51201.9230769231</v>
      </c>
      <c r="Q545" s="17" t="str">
        <f t="shared" si="355"/>
        <v>1+546742.454745707i</v>
      </c>
      <c r="R545" s="17">
        <f t="shared" si="364"/>
        <v>546742.45474662154</v>
      </c>
      <c r="S545" s="17">
        <f t="shared" si="365"/>
        <v>1.5707944977801727</v>
      </c>
      <c r="T545" s="17" t="str">
        <f t="shared" si="356"/>
        <v>1+0.0000350995156133046i</v>
      </c>
      <c r="U545" s="17">
        <f t="shared" si="366"/>
        <v>1.0000000006159879</v>
      </c>
      <c r="V545" s="17">
        <f t="shared" si="367"/>
        <v>3.5099515598890681E-5</v>
      </c>
      <c r="W545" s="31" t="str">
        <f t="shared" si="357"/>
        <v>1-18.9537384311845i</v>
      </c>
      <c r="X545" s="17">
        <f t="shared" si="368"/>
        <v>18.980100118749643</v>
      </c>
      <c r="Y545" s="17">
        <f t="shared" si="369"/>
        <v>-1.518085159743688</v>
      </c>
      <c r="Z545" s="31" t="str">
        <f t="shared" si="358"/>
        <v>-1385.94740181012+1156.62545479448i</v>
      </c>
      <c r="AA545" s="17">
        <f t="shared" si="370"/>
        <v>1805.1683143858802</v>
      </c>
      <c r="AB545" s="17">
        <f t="shared" si="371"/>
        <v>2.4461439829105389</v>
      </c>
      <c r="AC545" s="66" t="str">
        <f t="shared" si="372"/>
        <v>0.000721670525101124+0.000669879042622635i</v>
      </c>
      <c r="AD545" s="64">
        <f t="shared" si="373"/>
        <v>-60.134314562738417</v>
      </c>
      <c r="AE545" s="61">
        <f t="shared" si="374"/>
        <v>42.868516952079155</v>
      </c>
      <c r="AF545" s="31" t="str">
        <f t="shared" si="359"/>
        <v>-0.332666666666667</v>
      </c>
      <c r="AG545" s="31" t="str">
        <f t="shared" si="375"/>
        <v>11699838.5377682i</v>
      </c>
      <c r="AH545" s="31">
        <f t="shared" si="376"/>
        <v>11699838.5377682</v>
      </c>
      <c r="AI545" s="31">
        <f t="shared" si="377"/>
        <v>1.5707963267948966</v>
      </c>
      <c r="AJ545" s="31" t="str">
        <f t="shared" si="360"/>
        <v>-7303300.54311846+96482.332407035i</v>
      </c>
      <c r="AK545" s="31">
        <f t="shared" si="378"/>
        <v>7303937.8189837495</v>
      </c>
      <c r="AL545" s="31">
        <f t="shared" si="379"/>
        <v>3.1283826371635675</v>
      </c>
      <c r="AM545" s="31" t="str">
        <f t="shared" si="361"/>
        <v>1+351033063.609909i</v>
      </c>
      <c r="AN545" s="31">
        <f t="shared" si="380"/>
        <v>351033063.609909</v>
      </c>
      <c r="AO545" s="31">
        <f t="shared" si="381"/>
        <v>1.5707963239461622</v>
      </c>
      <c r="AP545" s="31" t="str">
        <f t="shared" si="362"/>
        <v>1+37907.476862369i</v>
      </c>
      <c r="AQ545" s="31">
        <f t="shared" si="382"/>
        <v>37907.476875559012</v>
      </c>
      <c r="AR545" s="31">
        <f t="shared" si="383"/>
        <v>1.5707699467748442</v>
      </c>
      <c r="AS545" s="58" t="str">
        <f t="shared" si="384"/>
        <v>-0.000682916799759161+0.0517973463699288i</v>
      </c>
      <c r="AT545" s="49">
        <f t="shared" si="385"/>
        <v>-25.713094919284099</v>
      </c>
      <c r="AU545" s="61">
        <f t="shared" si="386"/>
        <v>90.755366561488287</v>
      </c>
      <c r="AV545" s="58" t="str">
        <f t="shared" si="363"/>
        <v>-0.0000351907977221635+0.0000369231465016177i</v>
      </c>
      <c r="AW545" s="64">
        <f t="shared" si="387"/>
        <v>-85.847409482022528</v>
      </c>
      <c r="AX545" s="61">
        <f t="shared" si="388"/>
        <v>133.62388351356748</v>
      </c>
    </row>
    <row r="546" spans="14:50" x14ac:dyDescent="0.3">
      <c r="N546" s="10">
        <v>28</v>
      </c>
      <c r="O546" s="50">
        <f t="shared" si="353"/>
        <v>1905460.7179632513</v>
      </c>
      <c r="P546" s="48" t="str">
        <f t="shared" si="354"/>
        <v>51201.9230769231</v>
      </c>
      <c r="Q546" s="17" t="str">
        <f t="shared" si="355"/>
        <v>1+559477.722523663i</v>
      </c>
      <c r="R546" s="17">
        <f t="shared" si="364"/>
        <v>559477.72252455668</v>
      </c>
      <c r="S546" s="17">
        <f t="shared" si="365"/>
        <v>1.5707945394136307</v>
      </c>
      <c r="T546" s="17" t="str">
        <f t="shared" si="356"/>
        <v>1+0.0000359170883595438i</v>
      </c>
      <c r="U546" s="17">
        <f t="shared" si="366"/>
        <v>1.0000000006450185</v>
      </c>
      <c r="V546" s="17">
        <f t="shared" si="367"/>
        <v>3.5917088344099006E-5</v>
      </c>
      <c r="W546" s="31" t="str">
        <f t="shared" si="357"/>
        <v>1-19.3952277141536i</v>
      </c>
      <c r="X546" s="17">
        <f t="shared" si="368"/>
        <v>19.420990141696478</v>
      </c>
      <c r="Y546" s="17">
        <f t="shared" si="369"/>
        <v>-1.5192828662332811</v>
      </c>
      <c r="Z546" s="31" t="str">
        <f t="shared" si="358"/>
        <v>-1451.31221908043+1183.56672258474i</v>
      </c>
      <c r="AA546" s="17">
        <f t="shared" si="370"/>
        <v>1872.7352573340806</v>
      </c>
      <c r="AB546" s="17">
        <f t="shared" si="371"/>
        <v>2.4574627493609715</v>
      </c>
      <c r="AC546" s="66" t="str">
        <f t="shared" si="372"/>
        <v>0.000703616034504274+0.000636913818600526i</v>
      </c>
      <c r="AD546" s="64">
        <f t="shared" si="373"/>
        <v>-60.454030886073269</v>
      </c>
      <c r="AE546" s="61">
        <f t="shared" si="374"/>
        <v>42.151420336272274</v>
      </c>
      <c r="AF546" s="31" t="str">
        <f t="shared" si="359"/>
        <v>-0.332666666666667</v>
      </c>
      <c r="AG546" s="31" t="str">
        <f t="shared" si="375"/>
        <v>11972362.7865146i</v>
      </c>
      <c r="AH546" s="31">
        <f t="shared" si="376"/>
        <v>11972362.786514601</v>
      </c>
      <c r="AI546" s="31">
        <f t="shared" si="377"/>
        <v>1.5707963267948966</v>
      </c>
      <c r="AJ546" s="31" t="str">
        <f t="shared" si="360"/>
        <v>-7647494.54082366+98729.6946310213i</v>
      </c>
      <c r="AK546" s="31">
        <f t="shared" si="378"/>
        <v>7648131.8179363003</v>
      </c>
      <c r="AL546" s="31">
        <f t="shared" si="379"/>
        <v>3.1286833001326251</v>
      </c>
      <c r="AM546" s="31" t="str">
        <f t="shared" si="361"/>
        <v>1+359209674.050867i</v>
      </c>
      <c r="AN546" s="31">
        <f t="shared" si="380"/>
        <v>359209674.05086702</v>
      </c>
      <c r="AO546" s="31">
        <f t="shared" si="381"/>
        <v>1.5707963240110072</v>
      </c>
      <c r="AP546" s="31" t="str">
        <f t="shared" si="362"/>
        <v>1+38790.4554283073i</v>
      </c>
      <c r="AQ546" s="31">
        <f t="shared" si="382"/>
        <v>38790.455441197068</v>
      </c>
      <c r="AR546" s="31">
        <f t="shared" si="383"/>
        <v>1.5707705472574116</v>
      </c>
      <c r="AS546" s="58" t="str">
        <f t="shared" si="384"/>
        <v>-0.000652185594560774+0.050618691249523i</v>
      </c>
      <c r="AT546" s="49">
        <f t="shared" si="385"/>
        <v>-25.913060865310111</v>
      </c>
      <c r="AU546" s="61">
        <f t="shared" si="386"/>
        <v>90.738174251137536</v>
      </c>
      <c r="AV546" s="58" t="str">
        <f t="shared" si="363"/>
        <v>-0.0000326986321781004+0.0000352007367913176i</v>
      </c>
      <c r="AW546" s="64">
        <f t="shared" si="387"/>
        <v>-86.36709175138337</v>
      </c>
      <c r="AX546" s="61">
        <f t="shared" si="388"/>
        <v>132.88959458740982</v>
      </c>
    </row>
    <row r="547" spans="14:50" x14ac:dyDescent="0.3">
      <c r="N547" s="10">
        <v>29</v>
      </c>
      <c r="O547" s="50">
        <f t="shared" si="353"/>
        <v>1949844.5997580495</v>
      </c>
      <c r="P547" s="48" t="str">
        <f t="shared" si="354"/>
        <v>51201.9230769231</v>
      </c>
      <c r="Q547" s="17" t="str">
        <f t="shared" si="355"/>
        <v>1+572509.632795657i</v>
      </c>
      <c r="R547" s="17">
        <f t="shared" si="364"/>
        <v>572509.63279653038</v>
      </c>
      <c r="S547" s="17">
        <f t="shared" si="365"/>
        <v>1.5707945800993954</v>
      </c>
      <c r="T547" s="17" t="str">
        <f t="shared" si="356"/>
        <v>1+0.0000367537048214496i</v>
      </c>
      <c r="U547" s="17">
        <f t="shared" si="366"/>
        <v>1.0000000006754173</v>
      </c>
      <c r="V547" s="17">
        <f t="shared" si="367"/>
        <v>3.6753704804900205E-5</v>
      </c>
      <c r="W547" s="31" t="str">
        <f t="shared" si="357"/>
        <v>1-19.8470006035828i</v>
      </c>
      <c r="X547" s="17">
        <f t="shared" si="368"/>
        <v>19.872177358271941</v>
      </c>
      <c r="Y547" s="17">
        <f t="shared" si="369"/>
        <v>-1.5204534525479578</v>
      </c>
      <c r="Z547" s="31" t="str">
        <f t="shared" si="358"/>
        <v>-1519.75758528224+1211.13553311766i</v>
      </c>
      <c r="AA547" s="17">
        <f t="shared" si="370"/>
        <v>1943.3250879878806</v>
      </c>
      <c r="AB547" s="17">
        <f t="shared" si="371"/>
        <v>2.4687284315057445</v>
      </c>
      <c r="AC547" s="66" t="str">
        <f t="shared" si="372"/>
        <v>0.000685596799847859+0.000605263077145735i</v>
      </c>
      <c r="AD547" s="64">
        <f t="shared" si="373"/>
        <v>-60.7759305603497</v>
      </c>
      <c r="AE547" s="61">
        <f t="shared" si="374"/>
        <v>41.438920244123842</v>
      </c>
      <c r="AF547" s="31" t="str">
        <f t="shared" si="359"/>
        <v>-0.332666666666667</v>
      </c>
      <c r="AG547" s="31" t="str">
        <f t="shared" si="375"/>
        <v>12251234.9404832i</v>
      </c>
      <c r="AH547" s="31">
        <f t="shared" si="376"/>
        <v>12251234.940483199</v>
      </c>
      <c r="AI547" s="31">
        <f t="shared" si="377"/>
        <v>1.5707963267948966</v>
      </c>
      <c r="AJ547" s="31" t="str">
        <f t="shared" si="360"/>
        <v>-8007909.90188827+101029.404645943i</v>
      </c>
      <c r="AK547" s="31">
        <f t="shared" si="378"/>
        <v>8008547.1801921306</v>
      </c>
      <c r="AL547" s="31">
        <f t="shared" si="379"/>
        <v>3.1289771214270607</v>
      </c>
      <c r="AM547" s="31" t="str">
        <f t="shared" si="361"/>
        <v>1+367576742.215704i</v>
      </c>
      <c r="AN547" s="31">
        <f t="shared" si="380"/>
        <v>367576742.21570402</v>
      </c>
      <c r="AO547" s="31">
        <f t="shared" si="381"/>
        <v>1.5707963240743763</v>
      </c>
      <c r="AP547" s="31" t="str">
        <f t="shared" si="362"/>
        <v>1+39694.0012071656i</v>
      </c>
      <c r="AQ547" s="31">
        <f t="shared" si="382"/>
        <v>39694.001219761973</v>
      </c>
      <c r="AR547" s="31">
        <f t="shared" si="383"/>
        <v>1.5707711340713268</v>
      </c>
      <c r="AS547" s="58" t="str">
        <f t="shared" si="384"/>
        <v>-0.000622837071538701+0.0494668391408615i</v>
      </c>
      <c r="AT547" s="49">
        <f t="shared" si="385"/>
        <v>-26.113028343767969</v>
      </c>
      <c r="AU547" s="61">
        <f t="shared" si="386"/>
        <v>90.721373156626782</v>
      </c>
      <c r="AV547" s="58" t="str">
        <f t="shared" si="363"/>
        <v>-0.0000303674663781445+0.0000335373263310835i</v>
      </c>
      <c r="AW547" s="64">
        <f t="shared" si="387"/>
        <v>-86.888958904117658</v>
      </c>
      <c r="AX547" s="61">
        <f t="shared" si="388"/>
        <v>132.16029340075067</v>
      </c>
    </row>
    <row r="548" spans="14:50" x14ac:dyDescent="0.3">
      <c r="N548" s="10">
        <v>30</v>
      </c>
      <c r="O548" s="50">
        <f t="shared" si="353"/>
        <v>1995262.31496888</v>
      </c>
      <c r="P548" s="48" t="str">
        <f t="shared" si="354"/>
        <v>51201.9230769231</v>
      </c>
      <c r="Q548" s="17" t="str">
        <f t="shared" si="355"/>
        <v>1+585845.095253025i</v>
      </c>
      <c r="R548" s="17">
        <f t="shared" si="364"/>
        <v>585845.09525387839</v>
      </c>
      <c r="S548" s="17">
        <f t="shared" si="365"/>
        <v>1.5707946198590392</v>
      </c>
      <c r="T548" s="17" t="str">
        <f t="shared" si="356"/>
        <v>1+0.0000376098085841448i</v>
      </c>
      <c r="U548" s="17">
        <f t="shared" si="366"/>
        <v>1.0000000007072487</v>
      </c>
      <c r="V548" s="17">
        <f t="shared" si="367"/>
        <v>3.7609808566411808E-5</v>
      </c>
      <c r="W548" s="31" t="str">
        <f t="shared" si="357"/>
        <v>1-20.3092966354382i</v>
      </c>
      <c r="X548" s="17">
        <f t="shared" si="368"/>
        <v>20.333900998731682</v>
      </c>
      <c r="Y548" s="17">
        <f t="shared" si="369"/>
        <v>-1.5215975265086166</v>
      </c>
      <c r="Z548" s="31" t="str">
        <f t="shared" si="358"/>
        <v>-1591.42868221399+1239.34650374152i</v>
      </c>
      <c r="AA548" s="17">
        <f t="shared" si="370"/>
        <v>2017.083292010939</v>
      </c>
      <c r="AB548" s="17">
        <f t="shared" si="371"/>
        <v>2.4799356234350456</v>
      </c>
      <c r="AC548" s="66" t="str">
        <f t="shared" si="372"/>
        <v>0.000667640062062393+0.000574895735250933i</v>
      </c>
      <c r="AD548" s="64">
        <f t="shared" si="373"/>
        <v>-61.099993049859862</v>
      </c>
      <c r="AE548" s="61">
        <f t="shared" si="374"/>
        <v>40.731291610057824</v>
      </c>
      <c r="AF548" s="31" t="str">
        <f t="shared" si="359"/>
        <v>-0.332666666666667</v>
      </c>
      <c r="AG548" s="31" t="str">
        <f t="shared" si="375"/>
        <v>12536602.8613816i</v>
      </c>
      <c r="AH548" s="31">
        <f t="shared" si="376"/>
        <v>12536602.8613816</v>
      </c>
      <c r="AI548" s="31">
        <f t="shared" si="377"/>
        <v>1.5707963267948966</v>
      </c>
      <c r="AJ548" s="31" t="str">
        <f t="shared" si="360"/>
        <v>-8385311.11561527+103382.68178849i</v>
      </c>
      <c r="AK548" s="31">
        <f t="shared" si="378"/>
        <v>8385948.395056745</v>
      </c>
      <c r="AL548" s="31">
        <f t="shared" si="379"/>
        <v>3.1292642566322497</v>
      </c>
      <c r="AM548" s="31" t="str">
        <f t="shared" si="361"/>
        <v>1+376138704.434719i</v>
      </c>
      <c r="AN548" s="31">
        <f t="shared" si="380"/>
        <v>376138704.43471903</v>
      </c>
      <c r="AO548" s="31">
        <f t="shared" si="381"/>
        <v>1.570796324136303</v>
      </c>
      <c r="AP548" s="31" t="str">
        <f t="shared" si="362"/>
        <v>1+40618.5932708764i</v>
      </c>
      <c r="AQ548" s="31">
        <f t="shared" si="382"/>
        <v>40618.593283186026</v>
      </c>
      <c r="AR548" s="31">
        <f t="shared" si="383"/>
        <v>1.5707717075277268</v>
      </c>
      <c r="AS548" s="58" t="str">
        <f t="shared" si="384"/>
        <v>-0.000594809039320713+0.0483411816980046i</v>
      </c>
      <c r="AT548" s="49">
        <f t="shared" si="385"/>
        <v>-26.31299728570912</v>
      </c>
      <c r="AU548" s="61">
        <f t="shared" si="386"/>
        <v>90.704954381399418</v>
      </c>
      <c r="AV548" s="58" t="str">
        <f t="shared" si="363"/>
        <v>-0.0000281882575391007+0.000031932556369031i</v>
      </c>
      <c r="AW548" s="64">
        <f t="shared" si="387"/>
        <v>-87.412990335568978</v>
      </c>
      <c r="AX548" s="61">
        <f t="shared" si="388"/>
        <v>131.43624599145733</v>
      </c>
    </row>
    <row r="549" spans="14:50" x14ac:dyDescent="0.3">
      <c r="N549" s="10">
        <v>31</v>
      </c>
      <c r="O549" s="50">
        <f t="shared" si="353"/>
        <v>2041737.9446695296</v>
      </c>
      <c r="P549" s="48" t="str">
        <f t="shared" si="354"/>
        <v>51201.9230769231</v>
      </c>
      <c r="Q549" s="17" t="str">
        <f t="shared" si="355"/>
        <v>1+599491.180534469i</v>
      </c>
      <c r="R549" s="17">
        <f t="shared" si="364"/>
        <v>599491.18053530308</v>
      </c>
      <c r="S549" s="17">
        <f t="shared" si="365"/>
        <v>1.570794658713643</v>
      </c>
      <c r="T549" s="17" t="str">
        <f t="shared" si="356"/>
        <v>1+0.0000384858535651758i</v>
      </c>
      <c r="U549" s="17">
        <f t="shared" si="366"/>
        <v>1.0000000007405805</v>
      </c>
      <c r="V549" s="17">
        <f t="shared" si="367"/>
        <v>3.8485853546174551E-5</v>
      </c>
      <c r="W549" s="31" t="str">
        <f t="shared" si="357"/>
        <v>1-20.7823609251949i</v>
      </c>
      <c r="X549" s="17">
        <f t="shared" si="368"/>
        <v>20.806405879561897</v>
      </c>
      <c r="Y549" s="17">
        <f t="shared" si="369"/>
        <v>-1.5227156827317356</v>
      </c>
      <c r="Z549" s="31" t="str">
        <f t="shared" si="358"/>
        <v>-1666.47753388133+1268.21459228634i</v>
      </c>
      <c r="AA549" s="17">
        <f t="shared" si="370"/>
        <v>2094.1622723703163</v>
      </c>
      <c r="AB549" s="17">
        <f t="shared" si="371"/>
        <v>2.4910790634565814</v>
      </c>
      <c r="AC549" s="66" t="str">
        <f t="shared" si="372"/>
        <v>0.000649771854183691+0.000545780167993179i</v>
      </c>
      <c r="AD549" s="64">
        <f t="shared" si="373"/>
        <v>-61.426195804512389</v>
      </c>
      <c r="AE549" s="61">
        <f t="shared" si="374"/>
        <v>40.028801862620867</v>
      </c>
      <c r="AF549" s="31" t="str">
        <f t="shared" si="359"/>
        <v>-0.332666666666667</v>
      </c>
      <c r="AG549" s="31" t="str">
        <f t="shared" si="375"/>
        <v>12828617.8550586i</v>
      </c>
      <c r="AH549" s="31">
        <f t="shared" si="376"/>
        <v>12828617.855058599</v>
      </c>
      <c r="AI549" s="31">
        <f t="shared" si="377"/>
        <v>1.5707963267948966</v>
      </c>
      <c r="AJ549" s="31" t="str">
        <f t="shared" si="360"/>
        <v>-8780498.70057778+105790.773797353i</v>
      </c>
      <c r="AK549" s="31">
        <f t="shared" si="378"/>
        <v>8781135.9811056741</v>
      </c>
      <c r="AL549" s="31">
        <f t="shared" si="379"/>
        <v>3.1295448578020282</v>
      </c>
      <c r="AM549" s="31" t="str">
        <f t="shared" si="361"/>
        <v>1+384900100.373609i</v>
      </c>
      <c r="AN549" s="31">
        <f t="shared" si="380"/>
        <v>384900100.37360901</v>
      </c>
      <c r="AO549" s="31">
        <f t="shared" si="381"/>
        <v>1.5707963241968199</v>
      </c>
      <c r="AP549" s="31" t="str">
        <f t="shared" si="362"/>
        <v>1+41564.7218503899i</v>
      </c>
      <c r="AQ549" s="31">
        <f t="shared" si="382"/>
        <v>41564.721862419334</v>
      </c>
      <c r="AR549" s="31">
        <f t="shared" si="383"/>
        <v>1.5707722679306655</v>
      </c>
      <c r="AS549" s="58" t="str">
        <f t="shared" si="384"/>
        <v>-0.000568042102126341+0.0472411243049141i</v>
      </c>
      <c r="AT549" s="49">
        <f t="shared" si="385"/>
        <v>-26.512967625285807</v>
      </c>
      <c r="AU549" s="61">
        <f t="shared" si="386"/>
        <v>90.68890923083525</v>
      </c>
      <c r="AV549" s="58" t="str">
        <f t="shared" si="363"/>
        <v>-0.0000261523665292757+0.0000303859268194006i</v>
      </c>
      <c r="AW549" s="64">
        <f t="shared" si="387"/>
        <v>-87.939163429798185</v>
      </c>
      <c r="AX549" s="61">
        <f t="shared" si="388"/>
        <v>130.71771109345607</v>
      </c>
    </row>
    <row r="550" spans="14:50" x14ac:dyDescent="0.3">
      <c r="N550" s="10">
        <v>32</v>
      </c>
      <c r="O550" s="50">
        <f t="shared" si="353"/>
        <v>2089296.1308540432</v>
      </c>
      <c r="P550" s="48" t="str">
        <f t="shared" si="354"/>
        <v>51201.9230769231</v>
      </c>
      <c r="Q550" s="17" t="str">
        <f t="shared" si="355"/>
        <v>1+613455.123975043i</v>
      </c>
      <c r="R550" s="17">
        <f t="shared" si="364"/>
        <v>613455.12397585809</v>
      </c>
      <c r="S550" s="17">
        <f t="shared" si="365"/>
        <v>1.570794696683808</v>
      </c>
      <c r="T550" s="17" t="str">
        <f t="shared" si="356"/>
        <v>1+0.0000393823042551879i</v>
      </c>
      <c r="U550" s="17">
        <f t="shared" si="366"/>
        <v>1.0000000007754828</v>
      </c>
      <c r="V550" s="17">
        <f t="shared" si="367"/>
        <v>3.9382304234827696E-5</v>
      </c>
      <c r="W550" s="31" t="str">
        <f t="shared" si="357"/>
        <v>1-21.2664442978015i</v>
      </c>
      <c r="X550" s="17">
        <f t="shared" si="368"/>
        <v>21.289942533306515</v>
      </c>
      <c r="Y550" s="17">
        <f t="shared" si="369"/>
        <v>-1.5238085028881834</v>
      </c>
      <c r="Z550" s="31" t="str">
        <f t="shared" si="358"/>
        <v>-1745.06332896068+1297.75510499482i</v>
      </c>
      <c r="AA550" s="17">
        <f t="shared" si="370"/>
        <v>2174.7216683114752</v>
      </c>
      <c r="AB550" s="17">
        <f t="shared" si="371"/>
        <v>2.5021536451579269</v>
      </c>
      <c r="AC550" s="66" t="str">
        <f t="shared" si="372"/>
        <v>0.000632016958421947+0.00051788427321705i</v>
      </c>
      <c r="AD550" s="64">
        <f t="shared" si="373"/>
        <v>-61.754514353599177</v>
      </c>
      <c r="AE550" s="61">
        <f t="shared" si="374"/>
        <v>39.33171027584045</v>
      </c>
      <c r="AF550" s="31" t="str">
        <f t="shared" si="359"/>
        <v>-0.332666666666667</v>
      </c>
      <c r="AG550" s="31" t="str">
        <f t="shared" si="375"/>
        <v>13127434.7517293i</v>
      </c>
      <c r="AH550" s="31">
        <f t="shared" si="376"/>
        <v>13127434.7517293</v>
      </c>
      <c r="AI550" s="31">
        <f t="shared" si="377"/>
        <v>1.5707963267948966</v>
      </c>
      <c r="AJ550" s="31" t="str">
        <f t="shared" si="360"/>
        <v>-9194310.90262748+108254.95747479i</v>
      </c>
      <c r="AK550" s="31">
        <f t="shared" si="378"/>
        <v>9194948.1841929052</v>
      </c>
      <c r="AL550" s="31">
        <f t="shared" si="379"/>
        <v>3.1298190735384166</v>
      </c>
      <c r="AM550" s="31" t="str">
        <f t="shared" si="361"/>
        <v>1+393865575.440475i</v>
      </c>
      <c r="AN550" s="31">
        <f t="shared" si="380"/>
        <v>393865575.44047499</v>
      </c>
      <c r="AO550" s="31">
        <f t="shared" si="381"/>
        <v>1.5707963242559593</v>
      </c>
      <c r="AP550" s="31" t="str">
        <f t="shared" si="362"/>
        <v>1+42532.8885956029i</v>
      </c>
      <c r="AQ550" s="31">
        <f t="shared" si="382"/>
        <v>42532.888607358509</v>
      </c>
      <c r="AR550" s="31">
        <f t="shared" si="383"/>
        <v>1.5707728155772758</v>
      </c>
      <c r="AS550" s="58" t="str">
        <f t="shared" si="384"/>
        <v>-0.000542479534250558+0.0461660857707698i</v>
      </c>
      <c r="AT550" s="49">
        <f t="shared" si="385"/>
        <v>-26.71293929961244</v>
      </c>
      <c r="AU550" s="61">
        <f t="shared" si="386"/>
        <v>90.673229207692003</v>
      </c>
      <c r="AV550" s="58" t="str">
        <f t="shared" si="363"/>
        <v>-0.0000242515460419143+0.0000288968074917582i</v>
      </c>
      <c r="AW550" s="64">
        <f t="shared" si="387"/>
        <v>-88.467453653211606</v>
      </c>
      <c r="AX550" s="61">
        <f t="shared" si="388"/>
        <v>130.00493948353241</v>
      </c>
    </row>
    <row r="551" spans="14:50" x14ac:dyDescent="0.3">
      <c r="N551" s="10">
        <v>33</v>
      </c>
      <c r="O551" s="50">
        <f t="shared" si="353"/>
        <v>2137962.0895022359</v>
      </c>
      <c r="P551" s="48" t="str">
        <f t="shared" si="354"/>
        <v>51201.9230769231</v>
      </c>
      <c r="Q551" s="17" t="str">
        <f t="shared" si="355"/>
        <v>1+627744.329442381i</v>
      </c>
      <c r="R551" s="17">
        <f t="shared" si="364"/>
        <v>627744.32944317756</v>
      </c>
      <c r="S551" s="17">
        <f t="shared" si="365"/>
        <v>1.5707947337896664</v>
      </c>
      <c r="T551" s="17" t="str">
        <f t="shared" si="356"/>
        <v>1+0.0000402996359642022i</v>
      </c>
      <c r="U551" s="17">
        <f t="shared" si="366"/>
        <v>1.0000000008120302</v>
      </c>
      <c r="V551" s="17">
        <f t="shared" si="367"/>
        <v>4.029963594238585E-5</v>
      </c>
      <c r="W551" s="31" t="str">
        <f t="shared" si="357"/>
        <v>1-21.7618034206692i</v>
      </c>
      <c r="X551" s="17">
        <f t="shared" si="368"/>
        <v>21.784767341421155</v>
      </c>
      <c r="Y551" s="17">
        <f t="shared" si="369"/>
        <v>-1.5248765559588793</v>
      </c>
      <c r="Z551" s="31" t="str">
        <f t="shared" si="358"/>
        <v>-1827.35275845951+1327.98370463777i</v>
      </c>
      <c r="AA551" s="17">
        <f t="shared" si="370"/>
        <v>2258.9286893642829</v>
      </c>
      <c r="AB551" s="17">
        <f t="shared" si="371"/>
        <v>2.5131544275718429</v>
      </c>
      <c r="AC551" s="66" t="str">
        <f t="shared" si="372"/>
        <v>0.000614398869847985+0.00049117554004772i</v>
      </c>
      <c r="AD551" s="64">
        <f t="shared" si="373"/>
        <v>-62.084922405021643</v>
      </c>
      <c r="AE551" s="61">
        <f t="shared" si="374"/>
        <v>38.640267372160515</v>
      </c>
      <c r="AF551" s="31" t="str">
        <f t="shared" si="359"/>
        <v>-0.332666666666667</v>
      </c>
      <c r="AG551" s="31" t="str">
        <f t="shared" si="375"/>
        <v>13433211.9880674i</v>
      </c>
      <c r="AH551" s="31">
        <f t="shared" si="376"/>
        <v>13433211.9880674</v>
      </c>
      <c r="AI551" s="31">
        <f t="shared" si="377"/>
        <v>1.5707963267948966</v>
      </c>
      <c r="AJ551" s="31" t="str">
        <f t="shared" si="360"/>
        <v>-9627625.47292539+110776.539363603i</v>
      </c>
      <c r="AK551" s="31">
        <f t="shared" si="378"/>
        <v>9628262.7554816548</v>
      </c>
      <c r="AL551" s="31">
        <f t="shared" si="379"/>
        <v>3.1300870490695658</v>
      </c>
      <c r="AM551" s="31" t="str">
        <f t="shared" si="361"/>
        <v>1+403039883.248864i</v>
      </c>
      <c r="AN551" s="31">
        <f t="shared" si="380"/>
        <v>403039883.248864</v>
      </c>
      <c r="AO551" s="31">
        <f t="shared" si="381"/>
        <v>1.5707963243137526</v>
      </c>
      <c r="AP551" s="31" t="str">
        <f t="shared" si="362"/>
        <v>1+43523.6068413384i</v>
      </c>
      <c r="AQ551" s="31">
        <f t="shared" si="382"/>
        <v>43523.606852826415</v>
      </c>
      <c r="AR551" s="31">
        <f t="shared" si="383"/>
        <v>1.5707733507579273</v>
      </c>
      <c r="AS551" s="58" t="str">
        <f t="shared" si="384"/>
        <v>-0.000518067160169904+0.0451154980317064i</v>
      </c>
      <c r="AT551" s="49">
        <f t="shared" si="385"/>
        <v>-26.912912248631756</v>
      </c>
      <c r="AU551" s="61">
        <f t="shared" si="386"/>
        <v>90.657906007648322</v>
      </c>
      <c r="AV551" s="58" t="str">
        <f t="shared" si="363"/>
        <v>-0.000022477928987959+0.000027464449086132i</v>
      </c>
      <c r="AW551" s="64">
        <f t="shared" si="387"/>
        <v>-88.997834653653385</v>
      </c>
      <c r="AX551" s="61">
        <f t="shared" si="388"/>
        <v>129.29817337980882</v>
      </c>
    </row>
    <row r="552" spans="14:50" x14ac:dyDescent="0.3">
      <c r="N552" s="10">
        <v>34</v>
      </c>
      <c r="O552" s="50">
        <f t="shared" si="353"/>
        <v>2187761.6239495561</v>
      </c>
      <c r="P552" s="48" t="str">
        <f t="shared" si="354"/>
        <v>51201.9230769231</v>
      </c>
      <c r="Q552" s="17" t="str">
        <f t="shared" si="355"/>
        <v>1+642366.37326237i</v>
      </c>
      <c r="R552" s="17">
        <f t="shared" si="364"/>
        <v>642366.37326314836</v>
      </c>
      <c r="S552" s="17">
        <f t="shared" si="365"/>
        <v>1.5707947700508926</v>
      </c>
      <c r="T552" s="17" t="str">
        <f t="shared" si="356"/>
        <v>1+0.0000412383350736336i</v>
      </c>
      <c r="U552" s="17">
        <f t="shared" si="366"/>
        <v>1.0000000008503001</v>
      </c>
      <c r="V552" s="17">
        <f t="shared" si="367"/>
        <v>4.1238335050256962E-5</v>
      </c>
      <c r="W552" s="31" t="str">
        <f t="shared" si="357"/>
        <v>1-22.2687009397621i</v>
      </c>
      <c r="X552" s="17">
        <f t="shared" si="368"/>
        <v>22.291142670230286</v>
      </c>
      <c r="Y552" s="17">
        <f t="shared" si="369"/>
        <v>-1.5259203984872112</v>
      </c>
      <c r="Z552" s="31" t="str">
        <f t="shared" si="358"/>
        <v>-1913.52036929056+1358.91641881886i</v>
      </c>
      <c r="AA552" s="17">
        <f t="shared" si="370"/>
        <v>2346.9584651257369</v>
      </c>
      <c r="AB552" s="17">
        <f t="shared" si="371"/>
        <v>2.524076644406974</v>
      </c>
      <c r="AC552" s="66" t="str">
        <f t="shared" si="372"/>
        <v>0.000596939766924407+0.000465621120436425i</v>
      </c>
      <c r="AD552" s="64">
        <f t="shared" si="373"/>
        <v>-62.417391949232702</v>
      </c>
      <c r="AE552" s="61">
        <f t="shared" si="374"/>
        <v>37.954714379113099</v>
      </c>
      <c r="AF552" s="31" t="str">
        <f t="shared" si="359"/>
        <v>-0.332666666666667</v>
      </c>
      <c r="AG552" s="31" t="str">
        <f t="shared" si="375"/>
        <v>13746111.6912112i</v>
      </c>
      <c r="AH552" s="31">
        <f t="shared" si="376"/>
        <v>13746111.691211199</v>
      </c>
      <c r="AI552" s="31">
        <f t="shared" si="377"/>
        <v>1.5707963267948966</v>
      </c>
      <c r="AJ552" s="31" t="str">
        <f t="shared" si="360"/>
        <v>-10081361.5297708+113356.856439888i</v>
      </c>
      <c r="AK552" s="31">
        <f t="shared" si="378"/>
        <v>10081998.813273318</v>
      </c>
      <c r="AL552" s="31">
        <f t="shared" si="379"/>
        <v>3.1303489263259747</v>
      </c>
      <c r="AM552" s="31" t="str">
        <f t="shared" si="361"/>
        <v>1+412427888.138216i</v>
      </c>
      <c r="AN552" s="31">
        <f t="shared" si="380"/>
        <v>412427888.13821602</v>
      </c>
      <c r="AO552" s="31">
        <f t="shared" si="381"/>
        <v>1.5707963243702303</v>
      </c>
      <c r="AP552" s="31" t="str">
        <f t="shared" si="362"/>
        <v>1+44537.4018795243i</v>
      </c>
      <c r="AQ552" s="31">
        <f t="shared" si="382"/>
        <v>44537.401890750822</v>
      </c>
      <c r="AR552" s="31">
        <f t="shared" si="383"/>
        <v>1.5707738737563799</v>
      </c>
      <c r="AS552" s="58" t="str">
        <f t="shared" si="384"/>
        <v>-0.000494753240019983+0.0440888058588427i</v>
      </c>
      <c r="AT552" s="49">
        <f t="shared" si="385"/>
        <v>-27.112886414988587</v>
      </c>
      <c r="AU552" s="61">
        <f t="shared" si="386"/>
        <v>90.642931514945559</v>
      </c>
      <c r="AV552" s="58" t="str">
        <f t="shared" si="363"/>
        <v>-0.000020824017066481+0.0000260879939353953i</v>
      </c>
      <c r="AW552" s="64">
        <f t="shared" si="387"/>
        <v>-89.530278364221289</v>
      </c>
      <c r="AX552" s="61">
        <f t="shared" si="388"/>
        <v>128.59764589405873</v>
      </c>
    </row>
    <row r="553" spans="14:50" x14ac:dyDescent="0.3">
      <c r="N553" s="10">
        <v>35</v>
      </c>
      <c r="O553" s="50">
        <f t="shared" si="353"/>
        <v>2238721.1385683389</v>
      </c>
      <c r="P553" s="48" t="str">
        <f t="shared" si="354"/>
        <v>51201.9230769231</v>
      </c>
      <c r="Q553" s="17" t="str">
        <f t="shared" si="355"/>
        <v>1+657329.008236183i</v>
      </c>
      <c r="R553" s="17">
        <f t="shared" si="364"/>
        <v>657329.00823694374</v>
      </c>
      <c r="S553" s="17">
        <f t="shared" si="365"/>
        <v>1.5707948054867122</v>
      </c>
      <c r="T553" s="17" t="str">
        <f t="shared" si="356"/>
        <v>1+0.0000421988992941747i</v>
      </c>
      <c r="U553" s="17">
        <f t="shared" si="366"/>
        <v>1.0000000008903736</v>
      </c>
      <c r="V553" s="17">
        <f t="shared" si="367"/>
        <v>4.2198899269126183E-5</v>
      </c>
      <c r="W553" s="31" t="str">
        <f t="shared" si="357"/>
        <v>1-22.7874056188543i</v>
      </c>
      <c r="X553" s="17">
        <f t="shared" si="368"/>
        <v>22.809337010053419</v>
      </c>
      <c r="Y553" s="17">
        <f t="shared" si="369"/>
        <v>-1.5269405748280998</v>
      </c>
      <c r="Z553" s="31" t="str">
        <f t="shared" si="358"/>
        <v>-2003.74893450908+1390.56964847259i</v>
      </c>
      <c r="AA553" s="17">
        <f t="shared" si="370"/>
        <v>2438.9944115966023</v>
      </c>
      <c r="AB553" s="17">
        <f t="shared" si="371"/>
        <v>2.5349157123154726</v>
      </c>
      <c r="AC553" s="66" t="str">
        <f t="shared" si="372"/>
        <v>0.000579660489015601+0.000441187902940443i</v>
      </c>
      <c r="AD553" s="64">
        <f t="shared" si="373"/>
        <v>-62.751893367121987</v>
      </c>
      <c r="AE553" s="61">
        <f t="shared" si="374"/>
        <v>37.275282741361302</v>
      </c>
      <c r="AF553" s="31" t="str">
        <f t="shared" si="359"/>
        <v>-0.332666666666667</v>
      </c>
      <c r="AG553" s="31" t="str">
        <f t="shared" si="375"/>
        <v>14066299.7647249i</v>
      </c>
      <c r="AH553" s="31">
        <f t="shared" si="376"/>
        <v>14066299.764724899</v>
      </c>
      <c r="AI553" s="31">
        <f t="shared" si="377"/>
        <v>1.5707963267948966</v>
      </c>
      <c r="AJ553" s="31" t="str">
        <f t="shared" si="360"/>
        <v>-10556481.5081735+115997.276821913i</v>
      </c>
      <c r="AK553" s="31">
        <f t="shared" si="378"/>
        <v>10557118.792579684</v>
      </c>
      <c r="AL553" s="31">
        <f t="shared" si="379"/>
        <v>3.130604844015012</v>
      </c>
      <c r="AM553" s="31" t="str">
        <f t="shared" si="361"/>
        <v>1+422034567.752985i</v>
      </c>
      <c r="AN553" s="31">
        <f t="shared" si="380"/>
        <v>422034567.752985</v>
      </c>
      <c r="AO553" s="31">
        <f t="shared" si="381"/>
        <v>1.5707963244254224</v>
      </c>
      <c r="AP553" s="31" t="str">
        <f t="shared" si="362"/>
        <v>1+45574.8112377087i</v>
      </c>
      <c r="AQ553" s="31">
        <f t="shared" si="382"/>
        <v>45574.811248679667</v>
      </c>
      <c r="AR553" s="31">
        <f t="shared" si="383"/>
        <v>1.5707743848499345</v>
      </c>
      <c r="AS553" s="58" t="str">
        <f t="shared" si="384"/>
        <v>-0.000472488360205143+0.043085466572511i</v>
      </c>
      <c r="AT553" s="49">
        <f t="shared" si="385"/>
        <v>-27.312861743907362</v>
      </c>
      <c r="AU553" s="61">
        <f t="shared" si="386"/>
        <v>90.628297798126866</v>
      </c>
      <c r="AV553" s="58" t="str">
        <f t="shared" si="363"/>
        <v>-0.0000192826694782674+0.0000247664864740844i</v>
      </c>
      <c r="AW553" s="64">
        <f t="shared" si="387"/>
        <v>-90.064755111029342</v>
      </c>
      <c r="AX553" s="61">
        <f t="shared" si="388"/>
        <v>127.90358053948817</v>
      </c>
    </row>
    <row r="554" spans="14:50" x14ac:dyDescent="0.3">
      <c r="N554" s="10">
        <v>36</v>
      </c>
      <c r="O554" s="50">
        <f t="shared" si="353"/>
        <v>2290867.6527677765</v>
      </c>
      <c r="P554" s="48" t="str">
        <f t="shared" si="354"/>
        <v>51201.9230769231</v>
      </c>
      <c r="Q554" s="17" t="str">
        <f t="shared" si="355"/>
        <v>1+672640.167750948i</v>
      </c>
      <c r="R554" s="17">
        <f t="shared" si="364"/>
        <v>672640.1677516913</v>
      </c>
      <c r="S554" s="17">
        <f t="shared" si="365"/>
        <v>1.5707948401159144</v>
      </c>
      <c r="T554" s="17" t="str">
        <f t="shared" si="356"/>
        <v>1+0.0000431818379296905i</v>
      </c>
      <c r="U554" s="17">
        <f t="shared" si="366"/>
        <v>1.0000000009323355</v>
      </c>
      <c r="V554" s="17">
        <f t="shared" si="367"/>
        <v>4.318183790285053E-5</v>
      </c>
      <c r="W554" s="31" t="str">
        <f t="shared" si="357"/>
        <v>1-23.3181924820329i</v>
      </c>
      <c r="X554" s="17">
        <f t="shared" si="368"/>
        <v>23.339625117579235</v>
      </c>
      <c r="Y554" s="17">
        <f t="shared" si="369"/>
        <v>-1.5279376173936416</v>
      </c>
      <c r="Z554" s="31" t="str">
        <f t="shared" si="358"/>
        <v>-2098.22984099911+1422.96017656033i</v>
      </c>
      <c r="AA554" s="17">
        <f t="shared" si="370"/>
        <v>2535.2286148857966</v>
      </c>
      <c r="AB554" s="17">
        <f t="shared" si="371"/>
        <v>2.5456672381785199</v>
      </c>
      <c r="AC554" s="66" t="str">
        <f t="shared" si="372"/>
        <v>0.000562580520918016+0.000417842587949369i</v>
      </c>
      <c r="AD554" s="64">
        <f t="shared" si="373"/>
        <v>-63.088395541076636</v>
      </c>
      <c r="AE554" s="61">
        <f t="shared" si="374"/>
        <v>36.602193689210488</v>
      </c>
      <c r="AF554" s="31" t="str">
        <f t="shared" si="359"/>
        <v>-0.332666666666667</v>
      </c>
      <c r="AG554" s="31" t="str">
        <f t="shared" si="375"/>
        <v>14393945.9765635i</v>
      </c>
      <c r="AH554" s="31">
        <f t="shared" si="376"/>
        <v>14393945.9765635</v>
      </c>
      <c r="AI554" s="31">
        <f t="shared" si="377"/>
        <v>1.5707963267948966</v>
      </c>
      <c r="AJ554" s="31" t="str">
        <f t="shared" si="360"/>
        <v>-11053993.2013086+118699.200495515i</v>
      </c>
      <c r="AK554" s="31">
        <f t="shared" si="378"/>
        <v>11054630.486577788</v>
      </c>
      <c r="AL554" s="31">
        <f t="shared" si="379"/>
        <v>3.1308549376937744</v>
      </c>
      <c r="AM554" s="31" t="str">
        <f t="shared" si="361"/>
        <v>1+431865015.68187i</v>
      </c>
      <c r="AN554" s="31">
        <f t="shared" si="380"/>
        <v>431865015.68186998</v>
      </c>
      <c r="AO554" s="31">
        <f t="shared" si="381"/>
        <v>1.5707963244793584</v>
      </c>
      <c r="AP554" s="31" t="str">
        <f t="shared" si="362"/>
        <v>1+46636.3849640657i</v>
      </c>
      <c r="AQ554" s="31">
        <f t="shared" si="382"/>
        <v>46636.384974786939</v>
      </c>
      <c r="AR554" s="31">
        <f t="shared" si="383"/>
        <v>1.5707748843095792</v>
      </c>
      <c r="AS554" s="58" t="str">
        <f t="shared" si="384"/>
        <v>-0.000451225328910895+0.0421049497625564i</v>
      </c>
      <c r="AT554" s="49">
        <f t="shared" si="385"/>
        <v>-27.512838183076965</v>
      </c>
      <c r="AU554" s="61">
        <f t="shared" si="386"/>
        <v>90.613997105870865</v>
      </c>
      <c r="AV554" s="58" t="str">
        <f t="shared" si="363"/>
        <v>-0.0000178470917548548+0.0000234988834114654i</v>
      </c>
      <c r="AW554" s="64">
        <f t="shared" si="387"/>
        <v>-90.601233724153616</v>
      </c>
      <c r="AX554" s="61">
        <f t="shared" si="388"/>
        <v>127.21619079508135</v>
      </c>
    </row>
    <row r="555" spans="14:50" x14ac:dyDescent="0.3">
      <c r="N555" s="10">
        <v>37</v>
      </c>
      <c r="O555" s="50">
        <f t="shared" si="353"/>
        <v>2344228.8153199251</v>
      </c>
      <c r="P555" s="48" t="str">
        <f t="shared" si="354"/>
        <v>51201.9230769231</v>
      </c>
      <c r="Q555" s="17" t="str">
        <f t="shared" si="355"/>
        <v>1+688307.969986097i</v>
      </c>
      <c r="R555" s="17">
        <f t="shared" si="364"/>
        <v>688307.96998682339</v>
      </c>
      <c r="S555" s="17">
        <f t="shared" si="365"/>
        <v>1.5707948739568596</v>
      </c>
      <c r="T555" s="17" t="str">
        <f t="shared" si="356"/>
        <v>1+0.0000441876721472556i</v>
      </c>
      <c r="U555" s="17">
        <f t="shared" si="366"/>
        <v>1.0000000009762751</v>
      </c>
      <c r="V555" s="17">
        <f t="shared" si="367"/>
        <v>4.4187672118496047E-5</v>
      </c>
      <c r="W555" s="31" t="str">
        <f t="shared" si="357"/>
        <v>1-23.861342959518i</v>
      </c>
      <c r="X555" s="17">
        <f t="shared" si="368"/>
        <v>23.882288161558964</v>
      </c>
      <c r="Y555" s="17">
        <f t="shared" si="369"/>
        <v>-1.5289120468952544</v>
      </c>
      <c r="Z555" s="31" t="str">
        <f t="shared" si="358"/>
        <v>-2197.16349543052+1456.10517696877i</v>
      </c>
      <c r="AA555" s="17">
        <f t="shared" si="370"/>
        <v>2635.8622331312604</v>
      </c>
      <c r="AB555" s="17">
        <f t="shared" si="371"/>
        <v>2.5563270253996233</v>
      </c>
      <c r="AC555" s="66" t="str">
        <f t="shared" si="372"/>
        <v>0.000545717984365141+0.000395551763591278i</v>
      </c>
      <c r="AD555" s="64">
        <f t="shared" si="373"/>
        <v>-63.426865968442819</v>
      </c>
      <c r="AE555" s="61">
        <f t="shared" si="374"/>
        <v>35.93565786417058</v>
      </c>
      <c r="AF555" s="31" t="str">
        <f t="shared" si="359"/>
        <v>-0.332666666666667</v>
      </c>
      <c r="AG555" s="31" t="str">
        <f t="shared" si="375"/>
        <v>14729224.0490852i</v>
      </c>
      <c r="AH555" s="31">
        <f t="shared" si="376"/>
        <v>14729224.0490852</v>
      </c>
      <c r="AI555" s="31">
        <f t="shared" si="377"/>
        <v>1.5707963267948966</v>
      </c>
      <c r="AJ555" s="31" t="str">
        <f t="shared" si="360"/>
        <v>-11574951.8981794+121464.060056388i</v>
      </c>
      <c r="AK555" s="31">
        <f t="shared" si="378"/>
        <v>11575589.184272749</v>
      </c>
      <c r="AL555" s="31">
        <f t="shared" si="379"/>
        <v>3.1310993398403233</v>
      </c>
      <c r="AM555" s="31" t="str">
        <f t="shared" si="361"/>
        <v>1+441924444.158476i</v>
      </c>
      <c r="AN555" s="31">
        <f t="shared" si="380"/>
        <v>441924444.158476</v>
      </c>
      <c r="AO555" s="31">
        <f t="shared" si="381"/>
        <v>1.5707963245320664</v>
      </c>
      <c r="AP555" s="31" t="str">
        <f t="shared" si="362"/>
        <v>1+47722.685919036i</v>
      </c>
      <c r="AQ555" s="31">
        <f t="shared" si="382"/>
        <v>47722.685929513202</v>
      </c>
      <c r="AR555" s="31">
        <f t="shared" si="383"/>
        <v>1.5707753724001345</v>
      </c>
      <c r="AS555" s="58" t="str">
        <f t="shared" si="384"/>
        <v>-0.000430919076300606+0.0411467370146133i</v>
      </c>
      <c r="AT555" s="49">
        <f t="shared" si="385"/>
        <v>-27.712815682539262</v>
      </c>
      <c r="AU555" s="61">
        <f t="shared" si="386"/>
        <v>90.600021862918481</v>
      </c>
      <c r="AV555" s="58" t="str">
        <f t="shared" si="363"/>
        <v>-0.0000165108246819001+0.0000222840635862215i</v>
      </c>
      <c r="AW555" s="64">
        <f t="shared" si="387"/>
        <v>-91.13968165098207</v>
      </c>
      <c r="AX555" s="61">
        <f t="shared" si="388"/>
        <v>126.5356797270891</v>
      </c>
    </row>
    <row r="556" spans="14:50" x14ac:dyDescent="0.3">
      <c r="N556" s="10">
        <v>38</v>
      </c>
      <c r="O556" s="50">
        <f t="shared" si="353"/>
        <v>2398832.9190194933</v>
      </c>
      <c r="P556" s="48" t="str">
        <f t="shared" si="354"/>
        <v>51201.9230769231</v>
      </c>
      <c r="Q556" s="17" t="str">
        <f t="shared" si="355"/>
        <v>1+704340.722217763i</v>
      </c>
      <c r="R556" s="17">
        <f t="shared" si="364"/>
        <v>704340.72221847286</v>
      </c>
      <c r="S556" s="17">
        <f t="shared" si="365"/>
        <v>1.5707949070274907</v>
      </c>
      <c r="T556" s="17" t="str">
        <f t="shared" si="356"/>
        <v>1+0.000045216935253486i</v>
      </c>
      <c r="U556" s="17">
        <f t="shared" si="366"/>
        <v>1.0000000010222856</v>
      </c>
      <c r="V556" s="17">
        <f t="shared" si="367"/>
        <v>4.5216935222669586E-5</v>
      </c>
      <c r="W556" s="31" t="str">
        <f t="shared" si="357"/>
        <v>1-24.4171450368824i</v>
      </c>
      <c r="X556" s="17">
        <f t="shared" si="368"/>
        <v>24.437613871901462</v>
      </c>
      <c r="Y556" s="17">
        <f t="shared" si="369"/>
        <v>-1.529864372582274</v>
      </c>
      <c r="Z556" s="31" t="str">
        <f t="shared" si="358"/>
        <v>-2300.75974934864+1490.02222361586i</v>
      </c>
      <c r="AA556" s="17">
        <f t="shared" si="370"/>
        <v>2741.1059175252549</v>
      </c>
      <c r="AB556" s="17">
        <f t="shared" si="371"/>
        <v>2.5668910792044852</v>
      </c>
      <c r="AC556" s="66" t="str">
        <f t="shared" si="372"/>
        <v>0.000529089636379016+0.000374281981582796i</v>
      </c>
      <c r="AD556" s="64">
        <f t="shared" si="373"/>
        <v>-63.767270876635081</v>
      </c>
      <c r="AE556" s="61">
        <f t="shared" si="374"/>
        <v>35.275875001638859</v>
      </c>
      <c r="AF556" s="31" t="str">
        <f t="shared" si="359"/>
        <v>-0.332666666666667</v>
      </c>
      <c r="AG556" s="31" t="str">
        <f t="shared" si="375"/>
        <v>15072311.751162i</v>
      </c>
      <c r="AH556" s="31">
        <f t="shared" si="376"/>
        <v>15072311.751162</v>
      </c>
      <c r="AI556" s="31">
        <f t="shared" si="377"/>
        <v>1.5707963267948966</v>
      </c>
      <c r="AJ556" s="31" t="str">
        <f t="shared" si="360"/>
        <v>-12120462.622028+124293.321469671i</v>
      </c>
      <c r="AK556" s="31">
        <f t="shared" si="378"/>
        <v>12121099.908908427</v>
      </c>
      <c r="AL556" s="31">
        <f t="shared" si="379"/>
        <v>3.1313381799233286</v>
      </c>
      <c r="AM556" s="31" t="str">
        <f t="shared" si="361"/>
        <v>1+452218186.824934i</v>
      </c>
      <c r="AN556" s="31">
        <f t="shared" si="380"/>
        <v>452218186.82493401</v>
      </c>
      <c r="AO556" s="31">
        <f t="shared" si="381"/>
        <v>1.5707963245835748</v>
      </c>
      <c r="AP556" s="31" t="str">
        <f t="shared" si="362"/>
        <v>1+48834.2900737649i</v>
      </c>
      <c r="AQ556" s="31">
        <f t="shared" si="382"/>
        <v>48834.290084003609</v>
      </c>
      <c r="AR556" s="31">
        <f t="shared" si="383"/>
        <v>1.5707758493803925</v>
      </c>
      <c r="AS556" s="58" t="str">
        <f t="shared" si="384"/>
        <v>-0.000411526559186964+0.0402103216422366i</v>
      </c>
      <c r="AT556" s="49">
        <f t="shared" si="385"/>
        <v>-27.912794194583643</v>
      </c>
      <c r="AU556" s="61">
        <f t="shared" si="386"/>
        <v>90.586364666090603</v>
      </c>
      <c r="AV556" s="58" t="str">
        <f t="shared" si="363"/>
        <v>-0.0000152677333018984+0.0000211208374803278i</v>
      </c>
      <c r="AW556" s="64">
        <f t="shared" si="387"/>
        <v>-91.680065071218735</v>
      </c>
      <c r="AX556" s="61">
        <f t="shared" si="388"/>
        <v>125.86223966772937</v>
      </c>
    </row>
    <row r="557" spans="14:50" x14ac:dyDescent="0.3">
      <c r="N557" s="10">
        <v>39</v>
      </c>
      <c r="O557" s="50">
        <f t="shared" si="353"/>
        <v>2454708.915685033</v>
      </c>
      <c r="P557" s="48" t="str">
        <f t="shared" si="354"/>
        <v>51201.9230769231</v>
      </c>
      <c r="Q557" s="17" t="str">
        <f t="shared" si="355"/>
        <v>1+720746.9252234i</v>
      </c>
      <c r="R557" s="17">
        <f t="shared" si="364"/>
        <v>720746.92522409372</v>
      </c>
      <c r="S557" s="17">
        <f t="shared" si="365"/>
        <v>1.5707949393453426</v>
      </c>
      <c r="T557" s="17" t="str">
        <f t="shared" si="356"/>
        <v>1+0.0000462701729773047i</v>
      </c>
      <c r="U557" s="17">
        <f t="shared" si="366"/>
        <v>1.0000000010704644</v>
      </c>
      <c r="V557" s="17">
        <f t="shared" si="367"/>
        <v>4.6270172944284316E-5</v>
      </c>
      <c r="W557" s="31" t="str">
        <f t="shared" si="357"/>
        <v>1-24.9858934077445i</v>
      </c>
      <c r="X557" s="17">
        <f t="shared" si="368"/>
        <v>25.005896692243816</v>
      </c>
      <c r="Y557" s="17">
        <f t="shared" si="369"/>
        <v>-1.5307950924769498</v>
      </c>
      <c r="Z557" s="31" t="str">
        <f t="shared" si="358"/>
        <v>-2409.23834429743+1524.7292997687i</v>
      </c>
      <c r="AA557" s="17">
        <f t="shared" si="370"/>
        <v>2851.1802533698519</v>
      </c>
      <c r="AB557" s="17">
        <f t="shared" si="371"/>
        <v>2.5773556109544806</v>
      </c>
      <c r="AC557" s="66" t="str">
        <f t="shared" si="372"/>
        <v>0.00051271087426526+0.000353999832327497i</v>
      </c>
      <c r="AD557" s="64">
        <f t="shared" si="373"/>
        <v>-64.10957533915051</v>
      </c>
      <c r="AE557" s="61">
        <f t="shared" si="374"/>
        <v>34.623033670309354</v>
      </c>
      <c r="AF557" s="31" t="str">
        <f t="shared" si="359"/>
        <v>-0.332666666666667</v>
      </c>
      <c r="AG557" s="31" t="str">
        <f t="shared" si="375"/>
        <v>15423390.9924349i</v>
      </c>
      <c r="AH557" s="31">
        <f t="shared" si="376"/>
        <v>15423390.9924349</v>
      </c>
      <c r="AI557" s="31">
        <f t="shared" si="377"/>
        <v>1.5707963267948966</v>
      </c>
      <c r="AJ557" s="31" t="str">
        <f t="shared" si="360"/>
        <v>-12691682.4742379+127188.484847214i</v>
      </c>
      <c r="AK557" s="31">
        <f t="shared" si="378"/>
        <v>12692319.761869978</v>
      </c>
      <c r="AL557" s="31">
        <f t="shared" si="379"/>
        <v>3.131571584470163</v>
      </c>
      <c r="AM557" s="31" t="str">
        <f t="shared" si="361"/>
        <v>1+462751701.559863i</v>
      </c>
      <c r="AN557" s="31">
        <f t="shared" si="380"/>
        <v>462751701.55986297</v>
      </c>
      <c r="AO557" s="31">
        <f t="shared" si="381"/>
        <v>1.5707963246339105</v>
      </c>
      <c r="AP557" s="31" t="str">
        <f t="shared" si="362"/>
        <v>1+49971.7868154891i</v>
      </c>
      <c r="AQ557" s="31">
        <f t="shared" si="382"/>
        <v>49971.786825494753</v>
      </c>
      <c r="AR557" s="31">
        <f t="shared" si="383"/>
        <v>1.5707763155032539</v>
      </c>
      <c r="AS557" s="58" t="str">
        <f t="shared" si="384"/>
        <v>-0.000393006669978434+0.0392952084247852i</v>
      </c>
      <c r="AT557" s="49">
        <f t="shared" si="385"/>
        <v>-28.112773673646203</v>
      </c>
      <c r="AU557" s="61">
        <f t="shared" si="386"/>
        <v>90.573018280394564</v>
      </c>
      <c r="AV557" s="58" t="str">
        <f t="shared" si="363"/>
        <v>-0.0000141119959870047+0.0000200079563706313i</v>
      </c>
      <c r="AW557" s="64">
        <f t="shared" si="387"/>
        <v>-92.222349012796698</v>
      </c>
      <c r="AX557" s="61">
        <f t="shared" si="388"/>
        <v>125.19605195070383</v>
      </c>
    </row>
    <row r="558" spans="14:50" x14ac:dyDescent="0.3">
      <c r="N558" s="10">
        <v>40</v>
      </c>
      <c r="O558" s="50">
        <f t="shared" si="353"/>
        <v>2511886.431509587</v>
      </c>
      <c r="P558" s="48" t="str">
        <f t="shared" si="354"/>
        <v>51201.9230769231</v>
      </c>
      <c r="Q558" s="17" t="str">
        <f t="shared" si="355"/>
        <v>1+737535.277789009i</v>
      </c>
      <c r="R558" s="17">
        <f t="shared" si="364"/>
        <v>737535.27778968704</v>
      </c>
      <c r="S558" s="17">
        <f t="shared" si="365"/>
        <v>1.5707949709275502</v>
      </c>
      <c r="T558" s="17" t="str">
        <f t="shared" si="356"/>
        <v>1+0.0000473479437592944i</v>
      </c>
      <c r="U558" s="17">
        <f t="shared" si="366"/>
        <v>1.0000000011209138</v>
      </c>
      <c r="V558" s="17">
        <f t="shared" si="367"/>
        <v>4.7347943723912424E-5</v>
      </c>
      <c r="W558" s="31" t="str">
        <f t="shared" si="357"/>
        <v>1-25.567889630019i</v>
      </c>
      <c r="X558" s="17">
        <f t="shared" si="368"/>
        <v>25.587437936081706</v>
      </c>
      <c r="Y558" s="17">
        <f t="shared" si="369"/>
        <v>-1.5317046936058012</v>
      </c>
      <c r="Z558" s="31" t="str">
        <f t="shared" si="358"/>
        <v>-2522.82937792079+1560.24480757845i</v>
      </c>
      <c r="AA558" s="17">
        <f t="shared" si="370"/>
        <v>2966.3162221306948</v>
      </c>
      <c r="AB558" s="17">
        <f t="shared" si="371"/>
        <v>2.5877170414887192</v>
      </c>
      <c r="AC558" s="66" t="str">
        <f t="shared" si="372"/>
        <v>0.000496595746980652+0.000334672018613839i</v>
      </c>
      <c r="AD558" s="64">
        <f t="shared" si="373"/>
        <v>-64.453743391776825</v>
      </c>
      <c r="AE558" s="61">
        <f t="shared" si="374"/>
        <v>33.977311067445811</v>
      </c>
      <c r="AF558" s="31" t="str">
        <f t="shared" si="359"/>
        <v>-0.332666666666667</v>
      </c>
      <c r="AG558" s="31" t="str">
        <f t="shared" si="375"/>
        <v>15782647.9197648i</v>
      </c>
      <c r="AH558" s="31">
        <f t="shared" si="376"/>
        <v>15782647.9197648</v>
      </c>
      <c r="AI558" s="31">
        <f t="shared" si="377"/>
        <v>1.5707963267948966</v>
      </c>
      <c r="AJ558" s="31" t="str">
        <f t="shared" si="360"/>
        <v>-13289823.0887004+130151.085242961i</v>
      </c>
      <c r="AK558" s="31">
        <f t="shared" si="378"/>
        <v>13290460.377050309</v>
      </c>
      <c r="AL558" s="31">
        <f t="shared" si="379"/>
        <v>3.1317996771334653</v>
      </c>
      <c r="AM558" s="31" t="str">
        <f t="shared" si="361"/>
        <v>1+473530573.372205i</v>
      </c>
      <c r="AN558" s="31">
        <f t="shared" si="380"/>
        <v>473530573.37220502</v>
      </c>
      <c r="AO558" s="31">
        <f t="shared" si="381"/>
        <v>1.5707963246831005</v>
      </c>
      <c r="AP558" s="31" t="str">
        <f t="shared" si="362"/>
        <v>1+51135.779260038i</v>
      </c>
      <c r="AQ558" s="31">
        <f t="shared" si="382"/>
        <v>51135.779269815881</v>
      </c>
      <c r="AR558" s="31">
        <f t="shared" si="383"/>
        <v>1.570776771015864</v>
      </c>
      <c r="AS558" s="58" t="str">
        <f t="shared" si="384"/>
        <v>-0.000375320149709773+0.038400913350953i</v>
      </c>
      <c r="AT558" s="49">
        <f t="shared" si="385"/>
        <v>-28.312754076212535</v>
      </c>
      <c r="AU558" s="61">
        <f t="shared" si="386"/>
        <v>90.55997563521791</v>
      </c>
      <c r="AV558" s="58" t="str">
        <f t="shared" si="363"/>
        <v>-0.0000130380935778806+0.000018944121098126i</v>
      </c>
      <c r="AW558" s="64">
        <f t="shared" si="387"/>
        <v>-92.766497467989353</v>
      </c>
      <c r="AX558" s="61">
        <f t="shared" si="388"/>
        <v>124.53728670266374</v>
      </c>
    </row>
    <row r="559" spans="14:50" x14ac:dyDescent="0.3">
      <c r="N559" s="10">
        <v>41</v>
      </c>
      <c r="O559" s="50">
        <f t="shared" si="353"/>
        <v>2570395.782768866</v>
      </c>
      <c r="P559" s="48" t="str">
        <f t="shared" si="354"/>
        <v>51201.9230769231</v>
      </c>
      <c r="Q559" s="17" t="str">
        <f t="shared" si="355"/>
        <v>1+754714.681321331i</v>
      </c>
      <c r="R559" s="17">
        <f t="shared" si="364"/>
        <v>754714.68132199359</v>
      </c>
      <c r="S559" s="17">
        <f t="shared" si="365"/>
        <v>1.570795001790859</v>
      </c>
      <c r="T559" s="17" t="str">
        <f t="shared" si="356"/>
        <v>1+0.0000484508190477892i</v>
      </c>
      <c r="U559" s="17">
        <f t="shared" si="366"/>
        <v>1.0000000011737409</v>
      </c>
      <c r="V559" s="17">
        <f t="shared" si="367"/>
        <v>4.8450819009876728E-5</v>
      </c>
      <c r="W559" s="31" t="str">
        <f t="shared" si="357"/>
        <v>1-26.1634422858061i</v>
      </c>
      <c r="X559" s="17">
        <f t="shared" si="368"/>
        <v>26.182545946540543</v>
      </c>
      <c r="Y559" s="17">
        <f t="shared" si="369"/>
        <v>-1.5325936522273078</v>
      </c>
      <c r="Z559" s="31" t="str">
        <f t="shared" si="358"/>
        <v>-2641.77379203039+1596.58757783746i</v>
      </c>
      <c r="AA559" s="17">
        <f t="shared" si="370"/>
        <v>3086.7556854995041</v>
      </c>
      <c r="AB559" s="17">
        <f t="shared" si="371"/>
        <v>2.5979720035167739</v>
      </c>
      <c r="AC559" s="66" t="str">
        <f t="shared" si="372"/>
        <v>0.000480756972542765+0.000316265427317527i</v>
      </c>
      <c r="AD559" s="64">
        <f t="shared" si="373"/>
        <v>-64.799738148314717</v>
      </c>
      <c r="AE559" s="61">
        <f t="shared" si="374"/>
        <v>33.338872868759324</v>
      </c>
      <c r="AF559" s="31" t="str">
        <f t="shared" si="359"/>
        <v>-0.332666666666667</v>
      </c>
      <c r="AG559" s="31" t="str">
        <f t="shared" si="375"/>
        <v>16150273.0159297i</v>
      </c>
      <c r="AH559" s="31">
        <f t="shared" si="376"/>
        <v>16150273.015929701</v>
      </c>
      <c r="AI559" s="31">
        <f t="shared" si="377"/>
        <v>1.5707963267948966</v>
      </c>
      <c r="AJ559" s="31" t="str">
        <f t="shared" si="360"/>
        <v>-13916153.2018527+133182.693466857i</v>
      </c>
      <c r="AK559" s="31">
        <f t="shared" si="378"/>
        <v>13916790.490888128</v>
      </c>
      <c r="AL559" s="31">
        <f t="shared" si="379"/>
        <v>3.1320225787562181</v>
      </c>
      <c r="AM559" s="31" t="str">
        <f t="shared" si="361"/>
        <v>1+484560517.362463i</v>
      </c>
      <c r="AN559" s="31">
        <f t="shared" si="380"/>
        <v>484560517.362463</v>
      </c>
      <c r="AO559" s="31">
        <f t="shared" si="381"/>
        <v>1.5707963247311709</v>
      </c>
      <c r="AP559" s="31" t="str">
        <f t="shared" si="362"/>
        <v>1+52326.8845716122i</v>
      </c>
      <c r="AQ559" s="31">
        <f t="shared" si="382"/>
        <v>52326.88458116752</v>
      </c>
      <c r="AR559" s="31">
        <f t="shared" si="383"/>
        <v>1.5707772161597411</v>
      </c>
      <c r="AS559" s="58" t="str">
        <f t="shared" si="384"/>
        <v>-0.000358429504973812+0.0375269633678308i</v>
      </c>
      <c r="AT559" s="49">
        <f t="shared" si="385"/>
        <v>-28.512735360726133</v>
      </c>
      <c r="AU559" s="61">
        <f t="shared" si="386"/>
        <v>90.5472298206072</v>
      </c>
      <c r="AV559" s="58" t="str">
        <f t="shared" si="363"/>
        <v>-0.0000120407985891374+0.0000179279904368878i</v>
      </c>
      <c r="AW559" s="64">
        <f t="shared" si="387"/>
        <v>-93.312473509040856</v>
      </c>
      <c r="AX559" s="61">
        <f t="shared" si="388"/>
        <v>123.88610268936657</v>
      </c>
    </row>
    <row r="560" spans="14:50" ht="15" thickBot="1" x14ac:dyDescent="0.35">
      <c r="N560" s="10">
        <v>42</v>
      </c>
      <c r="O560" s="50">
        <f t="shared" si="353"/>
        <v>2630267.9918953842</v>
      </c>
      <c r="P560" s="48" t="str">
        <f t="shared" si="354"/>
        <v>51201.9230769231</v>
      </c>
      <c r="Q560" s="17" t="str">
        <f t="shared" si="355"/>
        <v>1+772294.244567519i</v>
      </c>
      <c r="R560" s="17">
        <f t="shared" si="364"/>
        <v>772294.24456816656</v>
      </c>
      <c r="S560" s="17">
        <f t="shared" si="365"/>
        <v>1.5707950319516331</v>
      </c>
      <c r="T560" s="17" t="str">
        <f t="shared" si="356"/>
        <v>1+0.0000495793836018654i</v>
      </c>
      <c r="U560" s="17">
        <f t="shared" si="366"/>
        <v>1.0000000012290575</v>
      </c>
      <c r="V560" s="17">
        <f t="shared" si="367"/>
        <v>4.9579383561241458E-5</v>
      </c>
      <c r="W560" s="31" t="str">
        <f t="shared" si="357"/>
        <v>1-26.7728671450073i</v>
      </c>
      <c r="X560" s="17">
        <f t="shared" si="368"/>
        <v>26.791536259875269</v>
      </c>
      <c r="Y560" s="17">
        <f t="shared" si="369"/>
        <v>-1.5334624340559138</v>
      </c>
      <c r="Z560" s="31" t="str">
        <f t="shared" si="358"/>
        <v>-2766.32388367575+1633.77687996357i</v>
      </c>
      <c r="AA560" s="17">
        <f t="shared" si="370"/>
        <v>3212.7518925211734</v>
      </c>
      <c r="AB560" s="17">
        <f t="shared" si="371"/>
        <v>2.6081173430910001</v>
      </c>
      <c r="AC560" s="59" t="str">
        <f t="shared" si="372"/>
        <v>0.000465205961100432+0.000298747198571166i</v>
      </c>
      <c r="AD560" s="65">
        <f t="shared" si="373"/>
        <v>-65.147521915174224</v>
      </c>
      <c r="AE560" s="63">
        <f t="shared" si="374"/>
        <v>32.707873131232908</v>
      </c>
      <c r="AF560" s="31" t="str">
        <f t="shared" si="359"/>
        <v>-0.332666666666667</v>
      </c>
      <c r="AG560" s="31" t="str">
        <f t="shared" si="375"/>
        <v>16526461.2006218i</v>
      </c>
      <c r="AH560" s="31">
        <f t="shared" si="376"/>
        <v>16526461.2006218</v>
      </c>
      <c r="AI560" s="31">
        <f t="shared" si="377"/>
        <v>1.5707963267948966</v>
      </c>
      <c r="AJ560" s="31" t="str">
        <f t="shared" si="360"/>
        <v>-14572001.3438384+136284.91691771i</v>
      </c>
      <c r="AK560" s="31">
        <f t="shared" si="378"/>
        <v>14572638.633528501</v>
      </c>
      <c r="AL560" s="31">
        <f t="shared" si="379"/>
        <v>3.132240407435372</v>
      </c>
      <c r="AM560" s="31" t="str">
        <f t="shared" si="361"/>
        <v>1+495847381.752945i</v>
      </c>
      <c r="AN560" s="31">
        <f t="shared" si="380"/>
        <v>495847381.75294501</v>
      </c>
      <c r="AO560" s="31">
        <f t="shared" si="381"/>
        <v>1.5707963247781471</v>
      </c>
      <c r="AP560" s="31" t="str">
        <f t="shared" si="362"/>
        <v>1+53545.7342900146i</v>
      </c>
      <c r="AQ560" s="31">
        <f t="shared" si="382"/>
        <v>53545.734299352414</v>
      </c>
      <c r="AR560" s="31">
        <f t="shared" si="383"/>
        <v>1.5707776511709064</v>
      </c>
      <c r="AS560" s="58" t="str">
        <f t="shared" si="384"/>
        <v>-0.000342298928580202+0.0366728961354025i</v>
      </c>
      <c r="AT560" s="55">
        <f t="shared" si="385"/>
        <v>-28.712717487500086</v>
      </c>
      <c r="AU560" s="63">
        <f t="shared" si="386"/>
        <v>90.534774083630126</v>
      </c>
      <c r="AV560" s="62" t="str">
        <f t="shared" si="363"/>
        <v>-0.0000111151644859966+0.000016958189047019i</v>
      </c>
      <c r="AW560" s="65">
        <f t="shared" si="387"/>
        <v>-93.860239402674324</v>
      </c>
      <c r="AX560" s="63">
        <f t="shared" si="388"/>
        <v>123.24264721486293</v>
      </c>
    </row>
    <row r="561" spans="14:30" x14ac:dyDescent="0.3">
      <c r="N561" s="10"/>
      <c r="P561" s="48"/>
      <c r="Q561" s="17"/>
      <c r="R561" s="17"/>
      <c r="S561" s="17"/>
      <c r="T561" s="17"/>
      <c r="U561" s="17"/>
      <c r="V561" s="17"/>
      <c r="X561" s="17"/>
      <c r="Y561" s="17"/>
      <c r="AA561" s="17"/>
      <c r="AB561" s="17"/>
      <c r="AC561" s="17"/>
      <c r="AD561" s="32"/>
    </row>
    <row r="562" spans="14:30" x14ac:dyDescent="0.3">
      <c r="N562" s="10"/>
      <c r="P562" s="48"/>
      <c r="Q562" s="17"/>
      <c r="R562" s="17"/>
      <c r="S562" s="17"/>
      <c r="T562" s="17"/>
      <c r="U562" s="17"/>
      <c r="V562" s="17"/>
      <c r="X562" s="17"/>
      <c r="Y562" s="17"/>
      <c r="AA562" s="17"/>
      <c r="AB562" s="17"/>
      <c r="AC562" s="17"/>
      <c r="AD562" s="32"/>
    </row>
    <row r="563" spans="14:30" x14ac:dyDescent="0.3">
      <c r="N563" s="10"/>
      <c r="P563" s="48"/>
      <c r="Q563" s="17"/>
      <c r="R563" s="17"/>
      <c r="S563" s="17"/>
      <c r="T563" s="17"/>
      <c r="U563" s="17"/>
      <c r="V563" s="17"/>
      <c r="X563" s="17"/>
      <c r="Y563" s="17"/>
      <c r="AA563" s="17"/>
      <c r="AB563" s="17"/>
      <c r="AC563" s="17"/>
      <c r="AD563" s="32"/>
    </row>
    <row r="564" spans="14:30" x14ac:dyDescent="0.3">
      <c r="N564" s="10"/>
      <c r="P564" s="48"/>
      <c r="Q564" s="17"/>
      <c r="R564" s="17"/>
      <c r="S564" s="17"/>
      <c r="T564" s="17"/>
      <c r="U564" s="17"/>
      <c r="V564" s="17"/>
      <c r="X564" s="17"/>
      <c r="Y564" s="17"/>
      <c r="AA564" s="17"/>
      <c r="AB564" s="17"/>
      <c r="AC564" s="17"/>
      <c r="AD564" s="32"/>
    </row>
    <row r="565" spans="14:30" x14ac:dyDescent="0.3">
      <c r="N565" s="10"/>
      <c r="P565" s="48"/>
      <c r="Q565" s="17"/>
      <c r="R565" s="17"/>
      <c r="S565" s="17"/>
      <c r="T565" s="17"/>
      <c r="U565" s="17"/>
      <c r="V565" s="17"/>
      <c r="X565" s="17"/>
      <c r="Y565" s="17"/>
      <c r="AA565" s="17"/>
      <c r="AB565" s="17"/>
      <c r="AC565" s="17"/>
      <c r="AD565" s="32"/>
    </row>
    <row r="566" spans="14:30" x14ac:dyDescent="0.3">
      <c r="N566" s="10"/>
      <c r="P566" s="48"/>
      <c r="Q566" s="17"/>
      <c r="R566" s="17"/>
      <c r="S566" s="17"/>
      <c r="T566" s="17"/>
      <c r="U566" s="17"/>
      <c r="V566" s="17"/>
      <c r="X566" s="17"/>
      <c r="Y566" s="17"/>
      <c r="AA566" s="17"/>
      <c r="AB566" s="17"/>
      <c r="AC566" s="17"/>
      <c r="AD566" s="32"/>
    </row>
    <row r="567" spans="14:30" x14ac:dyDescent="0.3">
      <c r="N567" s="10"/>
      <c r="P567" s="48"/>
      <c r="Q567" s="17"/>
      <c r="R567" s="17"/>
      <c r="S567" s="17"/>
      <c r="T567" s="17"/>
      <c r="U567" s="17"/>
      <c r="V567" s="17"/>
      <c r="X567" s="17"/>
      <c r="Y567" s="17"/>
      <c r="AA567" s="17"/>
      <c r="AB567" s="17"/>
      <c r="AC567" s="17"/>
      <c r="AD567" s="32"/>
    </row>
    <row r="568" spans="14:30" x14ac:dyDescent="0.3">
      <c r="N568" s="10"/>
      <c r="P568" s="48"/>
      <c r="Q568" s="17"/>
      <c r="R568" s="17"/>
      <c r="S568" s="17"/>
      <c r="T568" s="17"/>
      <c r="U568" s="17"/>
      <c r="V568" s="17"/>
      <c r="X568" s="17"/>
      <c r="Y568" s="17"/>
      <c r="AA568" s="17"/>
      <c r="AB568" s="17"/>
      <c r="AC568" s="17"/>
      <c r="AD568" s="32"/>
    </row>
    <row r="569" spans="14:30" x14ac:dyDescent="0.3">
      <c r="N569" s="10"/>
      <c r="P569" s="48"/>
      <c r="Q569" s="17"/>
      <c r="R569" s="17"/>
      <c r="S569" s="17"/>
      <c r="T569" s="17"/>
      <c r="U569" s="17"/>
      <c r="V569" s="17"/>
      <c r="X569" s="17"/>
      <c r="Y569" s="17"/>
      <c r="AA569" s="17"/>
      <c r="AB569" s="17"/>
      <c r="AC569" s="17"/>
      <c r="AD569" s="32"/>
    </row>
    <row r="570" spans="14:30" x14ac:dyDescent="0.3">
      <c r="N570" s="10"/>
      <c r="P570" s="48"/>
      <c r="Q570" s="17"/>
      <c r="R570" s="17"/>
      <c r="S570" s="17"/>
      <c r="T570" s="17"/>
      <c r="U570" s="17"/>
      <c r="V570" s="17"/>
      <c r="X570" s="17"/>
      <c r="Y570" s="17"/>
      <c r="AA570" s="17"/>
      <c r="AB570" s="17"/>
      <c r="AC570" s="17"/>
      <c r="AD570" s="32"/>
    </row>
    <row r="571" spans="14:30" x14ac:dyDescent="0.3">
      <c r="N571" s="10"/>
      <c r="P571" s="48"/>
      <c r="Q571" s="17"/>
      <c r="R571" s="17"/>
      <c r="S571" s="17"/>
      <c r="T571" s="17"/>
      <c r="U571" s="17"/>
      <c r="V571" s="17"/>
      <c r="X571" s="17"/>
      <c r="Y571" s="17"/>
      <c r="AA571" s="17"/>
      <c r="AB571" s="17"/>
      <c r="AC571" s="17"/>
      <c r="AD571" s="32"/>
    </row>
    <row r="572" spans="14:30" x14ac:dyDescent="0.3">
      <c r="N572" s="10"/>
      <c r="P572" s="48"/>
      <c r="Q572" s="17"/>
      <c r="R572" s="17"/>
      <c r="S572" s="17"/>
      <c r="T572" s="17"/>
      <c r="U572" s="17"/>
      <c r="V572" s="17"/>
      <c r="X572" s="17"/>
      <c r="Y572" s="17"/>
      <c r="AA572" s="17"/>
      <c r="AB572" s="17"/>
      <c r="AC572" s="17"/>
      <c r="AD572" s="32"/>
    </row>
    <row r="573" spans="14:30" x14ac:dyDescent="0.3">
      <c r="N573" s="10"/>
      <c r="P573" s="48"/>
      <c r="Q573" s="17"/>
      <c r="R573" s="17"/>
      <c r="S573" s="17"/>
      <c r="T573" s="17"/>
      <c r="U573" s="17"/>
      <c r="V573" s="17"/>
      <c r="X573" s="17"/>
      <c r="Y573" s="17"/>
      <c r="AA573" s="17"/>
      <c r="AB573" s="17"/>
      <c r="AC573" s="17"/>
      <c r="AD573" s="32"/>
    </row>
    <row r="574" spans="14:30" x14ac:dyDescent="0.3">
      <c r="N574" s="10"/>
      <c r="P574" s="48"/>
      <c r="Q574" s="17"/>
      <c r="R574" s="17"/>
      <c r="S574" s="17"/>
      <c r="T574" s="17"/>
      <c r="U574" s="17"/>
      <c r="V574" s="17"/>
      <c r="X574" s="17"/>
      <c r="Y574" s="17"/>
      <c r="AA574" s="17"/>
      <c r="AB574" s="17"/>
      <c r="AC574" s="17"/>
      <c r="AD574" s="32"/>
    </row>
    <row r="575" spans="14:30" x14ac:dyDescent="0.3">
      <c r="N575" s="10"/>
      <c r="P575" s="48"/>
      <c r="Q575" s="17"/>
      <c r="R575" s="17"/>
      <c r="S575" s="17"/>
      <c r="T575" s="17"/>
      <c r="U575" s="17"/>
      <c r="V575" s="17"/>
      <c r="X575" s="17"/>
      <c r="Y575" s="17"/>
      <c r="AA575" s="17"/>
      <c r="AB575" s="17"/>
      <c r="AC575" s="17"/>
      <c r="AD575" s="32"/>
    </row>
    <row r="576" spans="14:30" x14ac:dyDescent="0.3">
      <c r="N576" s="10"/>
      <c r="P576" s="48"/>
      <c r="Q576" s="17"/>
      <c r="R576" s="17"/>
      <c r="S576" s="17"/>
      <c r="T576" s="17"/>
      <c r="U576" s="17"/>
      <c r="V576" s="17"/>
      <c r="X576" s="17"/>
      <c r="Y576" s="17"/>
      <c r="AA576" s="17"/>
      <c r="AB576" s="17"/>
      <c r="AC576" s="17"/>
      <c r="AD576" s="32"/>
    </row>
    <row r="577" spans="14:30" x14ac:dyDescent="0.3">
      <c r="N577" s="10"/>
      <c r="P577" s="48"/>
      <c r="Q577" s="17"/>
      <c r="R577" s="17"/>
      <c r="S577" s="17"/>
      <c r="T577" s="17"/>
      <c r="U577" s="17"/>
      <c r="V577" s="17"/>
      <c r="X577" s="17"/>
      <c r="Y577" s="17"/>
      <c r="AA577" s="17"/>
      <c r="AB577" s="17"/>
      <c r="AC577" s="17"/>
      <c r="AD577" s="32"/>
    </row>
    <row r="578" spans="14:30" x14ac:dyDescent="0.3">
      <c r="N578" s="10"/>
      <c r="P578" s="48"/>
      <c r="Q578" s="17"/>
      <c r="R578" s="17"/>
      <c r="S578" s="17"/>
      <c r="T578" s="17"/>
      <c r="U578" s="17"/>
      <c r="V578" s="17"/>
      <c r="X578" s="17"/>
      <c r="Y578" s="17"/>
      <c r="AA578" s="17"/>
      <c r="AB578" s="17"/>
      <c r="AC578" s="17"/>
      <c r="AD578" s="32"/>
    </row>
    <row r="579" spans="14:30" x14ac:dyDescent="0.3">
      <c r="N579" s="10"/>
      <c r="P579" s="48"/>
      <c r="Q579" s="17"/>
      <c r="R579" s="17"/>
      <c r="S579" s="17"/>
      <c r="T579" s="17"/>
      <c r="U579" s="17"/>
      <c r="V579" s="17"/>
      <c r="X579" s="17"/>
      <c r="Y579" s="17"/>
      <c r="AA579" s="17"/>
      <c r="AB579" s="17"/>
      <c r="AC579" s="17"/>
      <c r="AD579" s="32"/>
    </row>
    <row r="580" spans="14:30" x14ac:dyDescent="0.3">
      <c r="N580" s="10"/>
      <c r="P580" s="48"/>
      <c r="Q580" s="17"/>
      <c r="R580" s="17"/>
      <c r="S580" s="17"/>
      <c r="T580" s="17"/>
      <c r="U580" s="17"/>
      <c r="V580" s="17"/>
      <c r="X580" s="17"/>
      <c r="Y580" s="17"/>
      <c r="AA580" s="17"/>
      <c r="AB580" s="17"/>
      <c r="AC580" s="17"/>
      <c r="AD580" s="32"/>
    </row>
    <row r="581" spans="14:30" x14ac:dyDescent="0.3">
      <c r="N581" s="10"/>
      <c r="P581" s="48"/>
      <c r="Q581" s="17"/>
      <c r="R581" s="17"/>
      <c r="S581" s="17"/>
      <c r="T581" s="17"/>
      <c r="U581" s="17"/>
      <c r="V581" s="17"/>
      <c r="X581" s="17"/>
      <c r="Y581" s="17"/>
      <c r="AA581" s="17"/>
      <c r="AB581" s="17"/>
      <c r="AC581" s="17"/>
      <c r="AD581" s="32"/>
    </row>
    <row r="582" spans="14:30" x14ac:dyDescent="0.3">
      <c r="N582" s="10"/>
      <c r="P582" s="48"/>
      <c r="Q582" s="17"/>
      <c r="R582" s="17"/>
      <c r="S582" s="17"/>
      <c r="T582" s="17"/>
      <c r="U582" s="17"/>
      <c r="V582" s="17"/>
      <c r="X582" s="17"/>
      <c r="Y582" s="17"/>
      <c r="AA582" s="17"/>
      <c r="AB582" s="17"/>
      <c r="AC582" s="17"/>
      <c r="AD582" s="32"/>
    </row>
    <row r="583" spans="14:30" x14ac:dyDescent="0.3">
      <c r="N583" s="10"/>
      <c r="P583" s="48"/>
      <c r="Q583" s="17"/>
      <c r="R583" s="17"/>
      <c r="S583" s="17"/>
      <c r="T583" s="17"/>
      <c r="U583" s="17"/>
      <c r="V583" s="17"/>
      <c r="X583" s="17"/>
      <c r="Y583" s="17"/>
      <c r="AA583" s="17"/>
      <c r="AB583" s="17"/>
      <c r="AC583" s="17"/>
      <c r="AD583" s="32"/>
    </row>
    <row r="584" spans="14:30" x14ac:dyDescent="0.3">
      <c r="N584" s="10"/>
      <c r="P584" s="48"/>
      <c r="Q584" s="17"/>
      <c r="R584" s="17"/>
      <c r="S584" s="17"/>
      <c r="T584" s="17"/>
      <c r="U584" s="17"/>
      <c r="V584" s="17"/>
      <c r="X584" s="17"/>
      <c r="Y584" s="17"/>
      <c r="AA584" s="17"/>
      <c r="AB584" s="17"/>
      <c r="AC584" s="17"/>
      <c r="AD584" s="32"/>
    </row>
    <row r="585" spans="14:30" x14ac:dyDescent="0.3">
      <c r="N585" s="10"/>
      <c r="P585" s="48"/>
      <c r="Q585" s="17"/>
      <c r="R585" s="17"/>
      <c r="S585" s="17"/>
      <c r="T585" s="17"/>
      <c r="U585" s="17"/>
      <c r="V585" s="17"/>
      <c r="X585" s="17"/>
      <c r="Y585" s="17"/>
      <c r="AA585" s="17"/>
      <c r="AB585" s="17"/>
      <c r="AC585" s="17"/>
      <c r="AD585" s="32"/>
    </row>
    <row r="586" spans="14:30" x14ac:dyDescent="0.3">
      <c r="N586" s="10"/>
      <c r="P586" s="48"/>
      <c r="Q586" s="17"/>
      <c r="R586" s="17"/>
      <c r="S586" s="17"/>
      <c r="T586" s="17"/>
      <c r="U586" s="17"/>
      <c r="V586" s="17"/>
      <c r="X586" s="17"/>
      <c r="Y586" s="17"/>
      <c r="AA586" s="17"/>
      <c r="AB586" s="17"/>
      <c r="AC586" s="17"/>
      <c r="AD586" s="32"/>
    </row>
    <row r="587" spans="14:30" x14ac:dyDescent="0.3">
      <c r="N587" s="10"/>
      <c r="P587" s="48"/>
      <c r="Q587" s="17"/>
      <c r="R587" s="17"/>
      <c r="S587" s="17"/>
      <c r="T587" s="17"/>
      <c r="U587" s="17"/>
      <c r="V587" s="17"/>
      <c r="X587" s="17"/>
      <c r="Y587" s="17"/>
      <c r="AA587" s="17"/>
      <c r="AB587" s="17"/>
      <c r="AC587" s="17"/>
      <c r="AD587" s="32"/>
    </row>
    <row r="588" spans="14:30" x14ac:dyDescent="0.3">
      <c r="N588" s="10"/>
      <c r="P588" s="48"/>
      <c r="Q588" s="17"/>
      <c r="R588" s="17"/>
      <c r="S588" s="17"/>
      <c r="T588" s="17"/>
      <c r="U588" s="17"/>
      <c r="V588" s="17"/>
      <c r="X588" s="17"/>
      <c r="Y588" s="17"/>
      <c r="AA588" s="17"/>
      <c r="AB588" s="17"/>
      <c r="AC588" s="17"/>
      <c r="AD588" s="32"/>
    </row>
    <row r="589" spans="14:30" x14ac:dyDescent="0.3">
      <c r="N589" s="10"/>
      <c r="P589" s="48"/>
      <c r="Q589" s="17"/>
      <c r="R589" s="17"/>
      <c r="S589" s="17"/>
      <c r="T589" s="17"/>
      <c r="U589" s="17"/>
      <c r="V589" s="17"/>
      <c r="X589" s="17"/>
      <c r="Y589" s="17"/>
      <c r="AA589" s="17"/>
      <c r="AB589" s="17"/>
      <c r="AC589" s="17"/>
      <c r="AD589" s="32"/>
    </row>
    <row r="590" spans="14:30" x14ac:dyDescent="0.3">
      <c r="N590" s="10"/>
      <c r="P590" s="48"/>
      <c r="Q590" s="17"/>
      <c r="R590" s="17"/>
      <c r="S590" s="17"/>
      <c r="T590" s="17"/>
      <c r="U590" s="17"/>
      <c r="V590" s="17"/>
      <c r="X590" s="17"/>
      <c r="Y590" s="17"/>
      <c r="AA590" s="17"/>
      <c r="AB590" s="17"/>
      <c r="AC590" s="17"/>
      <c r="AD590" s="32"/>
    </row>
    <row r="591" spans="14:30" x14ac:dyDescent="0.3">
      <c r="N591" s="10"/>
      <c r="P591" s="48"/>
      <c r="Q591" s="17"/>
      <c r="R591" s="17"/>
      <c r="S591" s="17"/>
      <c r="T591" s="17"/>
      <c r="U591" s="17"/>
      <c r="V591" s="17"/>
      <c r="X591" s="17"/>
      <c r="Y591" s="17"/>
      <c r="AA591" s="17"/>
      <c r="AB591" s="17"/>
      <c r="AC591" s="17"/>
      <c r="AD591" s="32"/>
    </row>
    <row r="592" spans="14:30" x14ac:dyDescent="0.3">
      <c r="N592" s="10"/>
      <c r="P592" s="48"/>
      <c r="Q592" s="17"/>
      <c r="R592" s="17"/>
      <c r="S592" s="17"/>
      <c r="T592" s="17"/>
      <c r="U592" s="17"/>
      <c r="V592" s="17"/>
      <c r="X592" s="17"/>
      <c r="Y592" s="17"/>
      <c r="AA592" s="17"/>
      <c r="AB592" s="17"/>
      <c r="AC592" s="17"/>
      <c r="AD592" s="32"/>
    </row>
    <row r="593" spans="14:30" x14ac:dyDescent="0.3">
      <c r="N593" s="10"/>
      <c r="P593" s="48"/>
      <c r="Q593" s="17"/>
      <c r="R593" s="17"/>
      <c r="S593" s="17"/>
      <c r="T593" s="17"/>
      <c r="U593" s="17"/>
      <c r="V593" s="17"/>
      <c r="X593" s="17"/>
      <c r="Y593" s="17"/>
      <c r="AA593" s="17"/>
      <c r="AB593" s="17"/>
      <c r="AC593" s="17"/>
      <c r="AD593" s="32"/>
    </row>
    <row r="594" spans="14:30" x14ac:dyDescent="0.3">
      <c r="N594" s="10"/>
      <c r="P594" s="48"/>
      <c r="Q594" s="17"/>
      <c r="R594" s="17"/>
      <c r="S594" s="17"/>
      <c r="T594" s="17"/>
      <c r="U594" s="17"/>
      <c r="V594" s="17"/>
      <c r="X594" s="17"/>
      <c r="Y594" s="17"/>
      <c r="AA594" s="17"/>
      <c r="AB594" s="17"/>
      <c r="AC594" s="17"/>
      <c r="AD594" s="32"/>
    </row>
    <row r="595" spans="14:30" x14ac:dyDescent="0.3">
      <c r="N595" s="10"/>
      <c r="P595" s="48"/>
      <c r="Q595" s="17"/>
      <c r="R595" s="17"/>
      <c r="S595" s="17"/>
      <c r="T595" s="17"/>
      <c r="U595" s="17"/>
      <c r="V595" s="17"/>
      <c r="X595" s="17"/>
      <c r="Y595" s="17"/>
      <c r="AA595" s="17"/>
      <c r="AB595" s="17"/>
      <c r="AC595" s="17"/>
      <c r="AD595" s="32"/>
    </row>
    <row r="596" spans="14:30" x14ac:dyDescent="0.3">
      <c r="N596" s="10"/>
      <c r="P596" s="48"/>
      <c r="Q596" s="17"/>
      <c r="R596" s="17"/>
      <c r="S596" s="17"/>
      <c r="T596" s="17"/>
      <c r="U596" s="17"/>
      <c r="V596" s="17"/>
      <c r="X596" s="17"/>
      <c r="Y596" s="17"/>
      <c r="AA596" s="17"/>
      <c r="AB596" s="17"/>
      <c r="AC596" s="17"/>
      <c r="AD596" s="32"/>
    </row>
    <row r="597" spans="14:30" x14ac:dyDescent="0.3">
      <c r="N597" s="10"/>
      <c r="P597" s="48"/>
      <c r="Q597" s="17"/>
      <c r="R597" s="17"/>
      <c r="S597" s="17"/>
      <c r="T597" s="17"/>
      <c r="U597" s="17"/>
      <c r="V597" s="17"/>
      <c r="X597" s="17"/>
      <c r="Y597" s="17"/>
      <c r="AA597" s="17"/>
      <c r="AB597" s="17"/>
      <c r="AC597" s="17"/>
      <c r="AD597" s="32"/>
    </row>
    <row r="598" spans="14:30" x14ac:dyDescent="0.3">
      <c r="N598" s="10"/>
      <c r="P598" s="48"/>
      <c r="Q598" s="17"/>
      <c r="R598" s="17"/>
      <c r="S598" s="17"/>
      <c r="T598" s="17"/>
      <c r="U598" s="17"/>
      <c r="V598" s="17"/>
      <c r="X598" s="17"/>
      <c r="Y598" s="17"/>
      <c r="AA598" s="17"/>
      <c r="AB598" s="17"/>
      <c r="AC598" s="17"/>
      <c r="AD598" s="32"/>
    </row>
    <row r="599" spans="14:30" x14ac:dyDescent="0.3">
      <c r="N599" s="10"/>
      <c r="P599" s="48"/>
      <c r="Q599" s="17"/>
      <c r="R599" s="17"/>
      <c r="S599" s="17"/>
      <c r="T599" s="17"/>
      <c r="U599" s="17"/>
      <c r="V599" s="17"/>
      <c r="X599" s="17"/>
      <c r="Y599" s="17"/>
      <c r="AA599" s="17"/>
      <c r="AB599" s="17"/>
      <c r="AC599" s="17"/>
      <c r="AD599" s="32"/>
    </row>
    <row r="600" spans="14:30" x14ac:dyDescent="0.3">
      <c r="N600" s="10"/>
      <c r="P600" s="48"/>
      <c r="Q600" s="17"/>
      <c r="R600" s="17"/>
      <c r="S600" s="17"/>
      <c r="T600" s="17"/>
      <c r="U600" s="17"/>
      <c r="V600" s="17"/>
      <c r="X600" s="17"/>
      <c r="Y600" s="17"/>
      <c r="AA600" s="17"/>
      <c r="AB600" s="17"/>
      <c r="AC600" s="17"/>
      <c r="AD600" s="32"/>
    </row>
    <row r="601" spans="14:30" x14ac:dyDescent="0.3">
      <c r="N601" s="10"/>
      <c r="P601" s="48"/>
      <c r="Q601" s="17"/>
      <c r="R601" s="17"/>
      <c r="S601" s="17"/>
      <c r="T601" s="17"/>
      <c r="U601" s="17"/>
      <c r="V601" s="17"/>
      <c r="X601" s="17"/>
      <c r="Y601" s="17"/>
      <c r="AA601" s="17"/>
      <c r="AB601" s="17"/>
      <c r="AC601" s="17"/>
      <c r="AD601" s="32"/>
    </row>
    <row r="602" spans="14:30" x14ac:dyDescent="0.3">
      <c r="N602" s="10"/>
      <c r="P602" s="48"/>
      <c r="Q602" s="17"/>
      <c r="R602" s="17"/>
      <c r="S602" s="17"/>
      <c r="T602" s="17"/>
      <c r="U602" s="17"/>
      <c r="V602" s="17"/>
      <c r="X602" s="17"/>
      <c r="Y602" s="17"/>
      <c r="AA602" s="17"/>
      <c r="AB602" s="17"/>
      <c r="AC602" s="17"/>
      <c r="AD602" s="32"/>
    </row>
    <row r="603" spans="14:30" x14ac:dyDescent="0.3">
      <c r="N603" s="10"/>
      <c r="P603" s="48"/>
      <c r="Q603" s="17"/>
      <c r="R603" s="17"/>
      <c r="S603" s="17"/>
      <c r="T603" s="17"/>
      <c r="U603" s="17"/>
      <c r="V603" s="17"/>
      <c r="X603" s="17"/>
      <c r="Y603" s="17"/>
      <c r="AA603" s="17"/>
      <c r="AB603" s="17"/>
      <c r="AC603" s="17"/>
      <c r="AD603" s="32"/>
    </row>
    <row r="604" spans="14:30" x14ac:dyDescent="0.3">
      <c r="N604" s="10"/>
      <c r="P604" s="48"/>
      <c r="Q604" s="17"/>
      <c r="R604" s="17"/>
      <c r="S604" s="17"/>
      <c r="T604" s="17"/>
      <c r="U604" s="17"/>
      <c r="V604" s="17"/>
      <c r="X604" s="17"/>
      <c r="Y604" s="17"/>
      <c r="AA604" s="17"/>
      <c r="AB604" s="17"/>
      <c r="AC604" s="17"/>
      <c r="AD604" s="32"/>
    </row>
    <row r="605" spans="14:30" x14ac:dyDescent="0.3">
      <c r="N605" s="10"/>
      <c r="P605" s="48"/>
      <c r="Q605" s="17"/>
      <c r="R605" s="17"/>
      <c r="S605" s="17"/>
      <c r="T605" s="17"/>
      <c r="U605" s="17"/>
      <c r="V605" s="17"/>
      <c r="X605" s="17"/>
      <c r="Y605" s="17"/>
      <c r="AA605" s="17"/>
      <c r="AB605" s="17"/>
      <c r="AC605" s="17"/>
      <c r="AD605" s="32"/>
    </row>
    <row r="606" spans="14:30" x14ac:dyDescent="0.3">
      <c r="N606" s="10"/>
      <c r="P606" s="48"/>
      <c r="Q606" s="17"/>
      <c r="R606" s="17"/>
      <c r="S606" s="17"/>
      <c r="T606" s="17"/>
      <c r="U606" s="17"/>
      <c r="V606" s="17"/>
      <c r="X606" s="17"/>
      <c r="Y606" s="17"/>
      <c r="AA606" s="17"/>
      <c r="AB606" s="17"/>
      <c r="AC606" s="17"/>
      <c r="AD606" s="32"/>
    </row>
    <row r="607" spans="14:30" x14ac:dyDescent="0.3">
      <c r="N607" s="10"/>
      <c r="P607" s="48"/>
      <c r="Q607" s="17"/>
      <c r="R607" s="17"/>
      <c r="S607" s="17"/>
      <c r="T607" s="17"/>
      <c r="U607" s="17"/>
      <c r="V607" s="17"/>
      <c r="X607" s="17"/>
      <c r="Y607" s="17"/>
      <c r="AA607" s="17"/>
      <c r="AB607" s="17"/>
      <c r="AC607" s="17"/>
      <c r="AD607" s="32"/>
    </row>
    <row r="608" spans="14:30" x14ac:dyDescent="0.3">
      <c r="N608" s="10"/>
      <c r="P608" s="48"/>
      <c r="Q608" s="17"/>
      <c r="R608" s="17"/>
      <c r="S608" s="17"/>
      <c r="T608" s="17"/>
      <c r="U608" s="17"/>
      <c r="V608" s="17"/>
      <c r="X608" s="17"/>
      <c r="Y608" s="17"/>
      <c r="AA608" s="17"/>
      <c r="AB608" s="17"/>
      <c r="AC608" s="17"/>
      <c r="AD608" s="32"/>
    </row>
    <row r="609" spans="14:30" x14ac:dyDescent="0.3">
      <c r="N609" s="10"/>
      <c r="P609" s="48"/>
      <c r="Q609" s="17"/>
      <c r="R609" s="17"/>
      <c r="S609" s="17"/>
      <c r="T609" s="17"/>
      <c r="U609" s="17"/>
      <c r="V609" s="17"/>
      <c r="X609" s="17"/>
      <c r="Y609" s="17"/>
      <c r="AA609" s="17"/>
      <c r="AB609" s="17"/>
      <c r="AC609" s="17"/>
      <c r="AD609" s="32"/>
    </row>
    <row r="610" spans="14:30" x14ac:dyDescent="0.3">
      <c r="N610" s="10"/>
      <c r="P610" s="48"/>
      <c r="Q610" s="17"/>
      <c r="R610" s="17"/>
      <c r="S610" s="17"/>
      <c r="T610" s="17"/>
      <c r="U610" s="17"/>
      <c r="V610" s="17"/>
      <c r="X610" s="17"/>
      <c r="Y610" s="17"/>
      <c r="AA610" s="17"/>
      <c r="AB610" s="17"/>
      <c r="AC610" s="17"/>
      <c r="AD610" s="32"/>
    </row>
    <row r="611" spans="14:30" x14ac:dyDescent="0.3">
      <c r="N611" s="10"/>
      <c r="P611" s="48"/>
      <c r="Q611" s="17"/>
      <c r="R611" s="17"/>
      <c r="S611" s="17"/>
      <c r="T611" s="17"/>
      <c r="U611" s="17"/>
      <c r="V611" s="17"/>
      <c r="X611" s="17"/>
      <c r="Y611" s="17"/>
      <c r="AA611" s="17"/>
      <c r="AB611" s="17"/>
      <c r="AC611" s="17"/>
      <c r="AD611" s="32"/>
    </row>
    <row r="612" spans="14:30" x14ac:dyDescent="0.3">
      <c r="N612" s="10"/>
      <c r="P612" s="48"/>
      <c r="Q612" s="17"/>
      <c r="R612" s="17"/>
      <c r="S612" s="17"/>
      <c r="T612" s="17"/>
      <c r="U612" s="17"/>
      <c r="V612" s="17"/>
      <c r="X612" s="17"/>
      <c r="Y612" s="17"/>
      <c r="AA612" s="17"/>
      <c r="AB612" s="17"/>
      <c r="AC612" s="17"/>
      <c r="AD612" s="32"/>
    </row>
    <row r="613" spans="14:30" x14ac:dyDescent="0.3">
      <c r="N613" s="10"/>
      <c r="P613" s="48"/>
      <c r="Q613" s="17"/>
      <c r="R613" s="17"/>
      <c r="S613" s="17"/>
      <c r="T613" s="17"/>
      <c r="U613" s="17"/>
      <c r="V613" s="17"/>
      <c r="X613" s="17"/>
      <c r="Y613" s="17"/>
      <c r="AA613" s="17"/>
      <c r="AB613" s="17"/>
      <c r="AC613" s="17"/>
      <c r="AD613" s="32"/>
    </row>
    <row r="614" spans="14:30" x14ac:dyDescent="0.3">
      <c r="N614" s="10"/>
      <c r="P614" s="48"/>
      <c r="Q614" s="17"/>
      <c r="R614" s="17"/>
      <c r="S614" s="17"/>
      <c r="T614" s="17"/>
      <c r="U614" s="17"/>
      <c r="V614" s="17"/>
      <c r="X614" s="17"/>
      <c r="Y614" s="17"/>
      <c r="AA614" s="17"/>
      <c r="AB614" s="17"/>
      <c r="AC614" s="17"/>
      <c r="AD614" s="32"/>
    </row>
    <row r="615" spans="14:30" x14ac:dyDescent="0.3">
      <c r="N615" s="10"/>
      <c r="P615" s="48"/>
      <c r="Q615" s="17"/>
      <c r="R615" s="17"/>
      <c r="S615" s="17"/>
      <c r="T615" s="17"/>
      <c r="U615" s="17"/>
      <c r="V615" s="17"/>
      <c r="X615" s="17"/>
      <c r="Y615" s="17"/>
      <c r="AA615" s="17"/>
      <c r="AB615" s="17"/>
      <c r="AC615" s="17"/>
      <c r="AD615" s="32"/>
    </row>
    <row r="616" spans="14:30" x14ac:dyDescent="0.3">
      <c r="N616" s="10"/>
      <c r="P616" s="48"/>
      <c r="Q616" s="17"/>
      <c r="R616" s="17"/>
      <c r="S616" s="17"/>
      <c r="T616" s="17"/>
      <c r="U616" s="17"/>
      <c r="V616" s="17"/>
      <c r="X616" s="17"/>
      <c r="Y616" s="17"/>
      <c r="AA616" s="17"/>
      <c r="AB616" s="17"/>
      <c r="AC616" s="17"/>
      <c r="AD616" s="32"/>
    </row>
    <row r="617" spans="14:30" x14ac:dyDescent="0.3">
      <c r="N617" s="10"/>
      <c r="P617" s="48"/>
      <c r="Q617" s="17"/>
      <c r="R617" s="17"/>
      <c r="S617" s="17"/>
      <c r="T617" s="17"/>
      <c r="U617" s="17"/>
      <c r="V617" s="17"/>
      <c r="X617" s="17"/>
      <c r="Y617" s="17"/>
      <c r="AA617" s="17"/>
      <c r="AB617" s="17"/>
      <c r="AC617" s="17"/>
      <c r="AD617" s="32"/>
    </row>
    <row r="618" spans="14:30" x14ac:dyDescent="0.3">
      <c r="N618" s="10"/>
      <c r="P618" s="48"/>
      <c r="Q618" s="17"/>
      <c r="R618" s="17"/>
      <c r="S618" s="17"/>
      <c r="T618" s="17"/>
      <c r="U618" s="17"/>
      <c r="V618" s="17"/>
      <c r="X618" s="17"/>
      <c r="Y618" s="17"/>
      <c r="AA618" s="17"/>
      <c r="AB618" s="17"/>
      <c r="AC618" s="17"/>
      <c r="AD618" s="32"/>
    </row>
    <row r="619" spans="14:30" x14ac:dyDescent="0.3">
      <c r="N619" s="10"/>
      <c r="P619" s="48"/>
      <c r="Q619" s="17"/>
      <c r="R619" s="17"/>
      <c r="S619" s="17"/>
      <c r="T619" s="17"/>
      <c r="U619" s="17"/>
      <c r="V619" s="17"/>
      <c r="X619" s="17"/>
      <c r="Y619" s="17"/>
      <c r="AA619" s="17"/>
      <c r="AB619" s="17"/>
      <c r="AC619" s="17"/>
      <c r="AD619" s="32"/>
    </row>
    <row r="620" spans="14:30" x14ac:dyDescent="0.3">
      <c r="N620" s="10"/>
      <c r="P620" s="48"/>
      <c r="Q620" s="17"/>
      <c r="R620" s="17"/>
      <c r="S620" s="17"/>
      <c r="T620" s="17"/>
      <c r="U620" s="17"/>
      <c r="V620" s="17"/>
      <c r="X620" s="17"/>
      <c r="Y620" s="17"/>
      <c r="AA620" s="17"/>
      <c r="AB620" s="17"/>
      <c r="AC620" s="17"/>
      <c r="AD620" s="32"/>
    </row>
    <row r="621" spans="14:30" x14ac:dyDescent="0.3">
      <c r="N621" s="10"/>
      <c r="P621" s="48"/>
      <c r="Q621" s="17"/>
      <c r="R621" s="17"/>
      <c r="S621" s="17"/>
      <c r="T621" s="17"/>
      <c r="U621" s="17"/>
      <c r="V621" s="17"/>
      <c r="X621" s="17"/>
      <c r="Y621" s="17"/>
      <c r="AA621" s="17"/>
      <c r="AB621" s="17"/>
      <c r="AC621" s="17"/>
      <c r="AD621" s="32"/>
    </row>
    <row r="622" spans="14:30" x14ac:dyDescent="0.3">
      <c r="N622" s="10"/>
      <c r="P622" s="48"/>
      <c r="Q622" s="17"/>
      <c r="R622" s="17"/>
      <c r="S622" s="17"/>
      <c r="T622" s="17"/>
      <c r="U622" s="17"/>
      <c r="V622" s="17"/>
      <c r="X622" s="17"/>
      <c r="Y622" s="17"/>
      <c r="AA622" s="17"/>
      <c r="AB622" s="17"/>
      <c r="AC622" s="17"/>
      <c r="AD622" s="32"/>
    </row>
    <row r="623" spans="14:30" x14ac:dyDescent="0.3">
      <c r="N623" s="10"/>
      <c r="P623" s="48"/>
      <c r="Q623" s="17"/>
      <c r="R623" s="17"/>
      <c r="S623" s="17"/>
      <c r="T623" s="17"/>
      <c r="U623" s="17"/>
      <c r="V623" s="17"/>
      <c r="X623" s="17"/>
      <c r="Y623" s="17"/>
      <c r="AA623" s="17"/>
      <c r="AB623" s="17"/>
      <c r="AC623" s="17"/>
      <c r="AD623" s="32"/>
    </row>
    <row r="624" spans="14:30" x14ac:dyDescent="0.3">
      <c r="N624" s="10"/>
      <c r="P624" s="48"/>
      <c r="Q624" s="17"/>
      <c r="R624" s="17"/>
      <c r="S624" s="17"/>
      <c r="T624" s="17"/>
      <c r="U624" s="17"/>
      <c r="V624" s="17"/>
      <c r="X624" s="17"/>
      <c r="Y624" s="17"/>
      <c r="AA624" s="17"/>
      <c r="AB624" s="17"/>
      <c r="AC624" s="17"/>
      <c r="AD624" s="32"/>
    </row>
    <row r="625" spans="14:30" x14ac:dyDescent="0.3">
      <c r="N625" s="10"/>
      <c r="P625" s="48"/>
      <c r="Q625" s="17"/>
      <c r="R625" s="17"/>
      <c r="S625" s="17"/>
      <c r="T625" s="17"/>
      <c r="U625" s="17"/>
      <c r="V625" s="17"/>
      <c r="X625" s="17"/>
      <c r="Y625" s="17"/>
      <c r="AA625" s="17"/>
      <c r="AB625" s="17"/>
      <c r="AC625" s="17"/>
      <c r="AD625" s="32"/>
    </row>
    <row r="626" spans="14:30" x14ac:dyDescent="0.3">
      <c r="N626" s="10"/>
      <c r="P626" s="48"/>
      <c r="Q626" s="17"/>
      <c r="R626" s="17"/>
      <c r="S626" s="17"/>
      <c r="T626" s="17"/>
      <c r="U626" s="17"/>
      <c r="V626" s="17"/>
      <c r="X626" s="17"/>
      <c r="Y626" s="17"/>
      <c r="AA626" s="17"/>
      <c r="AB626" s="17"/>
      <c r="AC626" s="17"/>
      <c r="AD626" s="32"/>
    </row>
    <row r="627" spans="14:30" x14ac:dyDescent="0.3">
      <c r="N627" s="10"/>
      <c r="P627" s="48"/>
      <c r="Q627" s="17"/>
      <c r="R627" s="17"/>
      <c r="S627" s="17"/>
      <c r="T627" s="17"/>
      <c r="U627" s="17"/>
      <c r="V627" s="17"/>
      <c r="X627" s="17"/>
      <c r="Y627" s="17"/>
      <c r="AA627" s="17"/>
      <c r="AB627" s="17"/>
      <c r="AC627" s="17"/>
      <c r="AD627" s="32"/>
    </row>
    <row r="628" spans="14:30" x14ac:dyDescent="0.3">
      <c r="N628" s="10"/>
      <c r="P628" s="48"/>
      <c r="Q628" s="17"/>
      <c r="R628" s="17"/>
      <c r="S628" s="17"/>
      <c r="T628" s="17"/>
      <c r="U628" s="17"/>
      <c r="V628" s="17"/>
      <c r="X628" s="17"/>
      <c r="Y628" s="17"/>
      <c r="AA628" s="17"/>
      <c r="AB628" s="17"/>
      <c r="AC628" s="17"/>
      <c r="AD628" s="32"/>
    </row>
    <row r="629" spans="14:30" x14ac:dyDescent="0.3">
      <c r="N629" s="10"/>
      <c r="P629" s="48"/>
      <c r="Q629" s="17"/>
      <c r="R629" s="17"/>
      <c r="S629" s="17"/>
      <c r="T629" s="17"/>
      <c r="U629" s="17"/>
      <c r="V629" s="17"/>
      <c r="X629" s="17"/>
      <c r="Y629" s="17"/>
      <c r="AA629" s="17"/>
      <c r="AB629" s="17"/>
      <c r="AC629" s="17"/>
      <c r="AD629" s="32"/>
    </row>
    <row r="630" spans="14:30" x14ac:dyDescent="0.3">
      <c r="N630" s="10"/>
      <c r="P630" s="48"/>
      <c r="Q630" s="17"/>
      <c r="R630" s="17"/>
      <c r="S630" s="17"/>
      <c r="T630" s="17"/>
      <c r="U630" s="17"/>
      <c r="V630" s="17"/>
      <c r="X630" s="17"/>
      <c r="Y630" s="17"/>
      <c r="AA630" s="17"/>
      <c r="AB630" s="17"/>
      <c r="AC630" s="17"/>
      <c r="AD630" s="32"/>
    </row>
    <row r="631" spans="14:30" x14ac:dyDescent="0.3">
      <c r="N631" s="10"/>
      <c r="P631" s="48"/>
      <c r="Q631" s="17"/>
      <c r="R631" s="17"/>
      <c r="S631" s="17"/>
      <c r="T631" s="17"/>
      <c r="U631" s="17"/>
      <c r="V631" s="17"/>
      <c r="X631" s="17"/>
      <c r="Y631" s="17"/>
      <c r="AA631" s="17"/>
      <c r="AB631" s="17"/>
      <c r="AC631" s="17"/>
      <c r="AD631" s="32"/>
    </row>
    <row r="632" spans="14:30" x14ac:dyDescent="0.3">
      <c r="N632" s="10"/>
      <c r="P632" s="48"/>
      <c r="Q632" s="17"/>
      <c r="R632" s="17"/>
      <c r="S632" s="17"/>
      <c r="T632" s="17"/>
      <c r="U632" s="17"/>
      <c r="V632" s="17"/>
      <c r="X632" s="17"/>
      <c r="Y632" s="17"/>
      <c r="AA632" s="17"/>
      <c r="AB632" s="17"/>
      <c r="AC632" s="17"/>
      <c r="AD632" s="32"/>
    </row>
    <row r="633" spans="14:30" x14ac:dyDescent="0.3">
      <c r="N633" s="10"/>
      <c r="P633" s="48"/>
      <c r="Q633" s="17"/>
      <c r="R633" s="17"/>
      <c r="S633" s="17"/>
      <c r="T633" s="17"/>
      <c r="U633" s="17"/>
      <c r="V633" s="17"/>
      <c r="X633" s="17"/>
      <c r="Y633" s="17"/>
      <c r="AA633" s="17"/>
      <c r="AB633" s="17"/>
      <c r="AC633" s="17"/>
      <c r="AD633" s="32"/>
    </row>
    <row r="634" spans="14:30" x14ac:dyDescent="0.3">
      <c r="N634" s="10"/>
      <c r="P634" s="48"/>
      <c r="Q634" s="17"/>
      <c r="R634" s="17"/>
      <c r="S634" s="17"/>
      <c r="T634" s="17"/>
      <c r="U634" s="17"/>
      <c r="V634" s="17"/>
      <c r="X634" s="17"/>
      <c r="Y634" s="17"/>
      <c r="AA634" s="17"/>
      <c r="AB634" s="17"/>
      <c r="AC634" s="17"/>
      <c r="AD634" s="32"/>
    </row>
    <row r="635" spans="14:30" x14ac:dyDescent="0.3">
      <c r="N635" s="10"/>
      <c r="P635" s="48"/>
      <c r="Q635" s="17"/>
      <c r="R635" s="17"/>
      <c r="S635" s="17"/>
      <c r="T635" s="17"/>
      <c r="U635" s="17"/>
      <c r="V635" s="17"/>
      <c r="X635" s="17"/>
      <c r="Y635" s="17"/>
      <c r="AA635" s="17"/>
      <c r="AB635" s="17"/>
      <c r="AC635" s="17"/>
      <c r="AD635" s="32"/>
    </row>
    <row r="636" spans="14:30" x14ac:dyDescent="0.3">
      <c r="N636" s="10"/>
      <c r="P636" s="48"/>
      <c r="Q636" s="17"/>
      <c r="R636" s="17"/>
      <c r="S636" s="17"/>
      <c r="T636" s="17"/>
      <c r="U636" s="17"/>
      <c r="V636" s="17"/>
      <c r="X636" s="17"/>
      <c r="Y636" s="17"/>
      <c r="AA636" s="17"/>
      <c r="AB636" s="17"/>
      <c r="AC636" s="17"/>
      <c r="AD636" s="32"/>
    </row>
    <row r="637" spans="14:30" x14ac:dyDescent="0.3">
      <c r="N637" s="10"/>
      <c r="P637" s="48"/>
      <c r="Q637" s="17"/>
      <c r="R637" s="17"/>
      <c r="S637" s="17"/>
      <c r="T637" s="17"/>
      <c r="U637" s="17"/>
      <c r="V637" s="17"/>
      <c r="X637" s="17"/>
      <c r="Y637" s="17"/>
      <c r="AA637" s="17"/>
      <c r="AB637" s="17"/>
      <c r="AC637" s="17"/>
      <c r="AD637" s="32"/>
    </row>
    <row r="638" spans="14:30" x14ac:dyDescent="0.3">
      <c r="N638" s="10"/>
      <c r="P638" s="48"/>
      <c r="Q638" s="17"/>
      <c r="R638" s="17"/>
      <c r="S638" s="17"/>
      <c r="T638" s="17"/>
      <c r="U638" s="17"/>
      <c r="V638" s="17"/>
      <c r="X638" s="17"/>
      <c r="Y638" s="17"/>
      <c r="AA638" s="17"/>
      <c r="AB638" s="17"/>
      <c r="AC638" s="17"/>
      <c r="AD638" s="32"/>
    </row>
    <row r="639" spans="14:30" x14ac:dyDescent="0.3">
      <c r="N639" s="10"/>
      <c r="P639" s="48"/>
      <c r="Q639" s="17"/>
      <c r="R639" s="17"/>
      <c r="S639" s="17"/>
      <c r="T639" s="17"/>
      <c r="U639" s="17"/>
      <c r="V639" s="17"/>
      <c r="X639" s="17"/>
      <c r="Y639" s="17"/>
      <c r="AA639" s="17"/>
      <c r="AB639" s="17"/>
      <c r="AC639" s="17"/>
      <c r="AD639" s="32"/>
    </row>
    <row r="640" spans="14:30" x14ac:dyDescent="0.3">
      <c r="N640" s="10"/>
      <c r="P640" s="48"/>
      <c r="Q640" s="17"/>
      <c r="R640" s="17"/>
      <c r="S640" s="17"/>
      <c r="T640" s="17"/>
      <c r="U640" s="17"/>
      <c r="V640" s="17"/>
      <c r="X640" s="17"/>
      <c r="Y640" s="17"/>
      <c r="AA640" s="17"/>
      <c r="AB640" s="17"/>
      <c r="AC640" s="17"/>
      <c r="AD640" s="32"/>
    </row>
    <row r="641" spans="14:30" x14ac:dyDescent="0.3">
      <c r="N641" s="10"/>
      <c r="P641" s="48"/>
      <c r="Q641" s="17"/>
      <c r="R641" s="17"/>
      <c r="S641" s="17"/>
      <c r="T641" s="17"/>
      <c r="U641" s="17"/>
      <c r="V641" s="17"/>
      <c r="X641" s="17"/>
      <c r="Y641" s="17"/>
      <c r="AA641" s="17"/>
      <c r="AB641" s="17"/>
      <c r="AC641" s="17"/>
      <c r="AD641" s="32"/>
    </row>
    <row r="642" spans="14:30" x14ac:dyDescent="0.3">
      <c r="N642" s="10"/>
      <c r="P642" s="48"/>
      <c r="Q642" s="17"/>
      <c r="R642" s="17"/>
      <c r="S642" s="17"/>
      <c r="T642" s="17"/>
      <c r="U642" s="17"/>
      <c r="V642" s="17"/>
      <c r="X642" s="17"/>
      <c r="Y642" s="17"/>
      <c r="AA642" s="17"/>
      <c r="AB642" s="17"/>
      <c r="AC642" s="17"/>
      <c r="AD642" s="32"/>
    </row>
    <row r="643" spans="14:30" x14ac:dyDescent="0.3">
      <c r="N643" s="10"/>
      <c r="P643" s="48"/>
      <c r="Q643" s="17"/>
      <c r="R643" s="17"/>
      <c r="S643" s="17"/>
      <c r="T643" s="17"/>
      <c r="U643" s="17"/>
      <c r="V643" s="17"/>
      <c r="X643" s="17"/>
      <c r="Y643" s="17"/>
      <c r="AA643" s="17"/>
      <c r="AB643" s="17"/>
      <c r="AC643" s="17"/>
      <c r="AD643" s="32"/>
    </row>
    <row r="644" spans="14:30" x14ac:dyDescent="0.3">
      <c r="N644" s="10"/>
      <c r="P644" s="48"/>
      <c r="Q644" s="17"/>
      <c r="R644" s="17"/>
      <c r="S644" s="17"/>
      <c r="T644" s="17"/>
      <c r="U644" s="17"/>
      <c r="V644" s="17"/>
      <c r="X644" s="17"/>
      <c r="Y644" s="17"/>
      <c r="AA644" s="17"/>
      <c r="AB644" s="17"/>
      <c r="AC644" s="17"/>
      <c r="AD644" s="32"/>
    </row>
    <row r="645" spans="14:30" x14ac:dyDescent="0.3">
      <c r="N645" s="10"/>
      <c r="P645" s="48"/>
      <c r="Q645" s="17"/>
      <c r="R645" s="17"/>
      <c r="S645" s="17"/>
      <c r="T645" s="17"/>
      <c r="U645" s="17"/>
      <c r="V645" s="17"/>
      <c r="X645" s="17"/>
      <c r="Y645" s="17"/>
      <c r="AA645" s="17"/>
      <c r="AB645" s="17"/>
      <c r="AC645" s="17"/>
      <c r="AD645" s="32"/>
    </row>
    <row r="646" spans="14:30" x14ac:dyDescent="0.3">
      <c r="N646" s="10"/>
      <c r="P646" s="48"/>
      <c r="Q646" s="17"/>
      <c r="R646" s="17"/>
      <c r="S646" s="17"/>
      <c r="T646" s="17"/>
      <c r="U646" s="17"/>
      <c r="V646" s="17"/>
      <c r="X646" s="17"/>
      <c r="Y646" s="17"/>
      <c r="AA646" s="17"/>
      <c r="AB646" s="17"/>
      <c r="AC646" s="17"/>
      <c r="AD646" s="32"/>
    </row>
    <row r="647" spans="14:30" x14ac:dyDescent="0.3">
      <c r="N647" s="10"/>
      <c r="P647" s="48"/>
      <c r="Q647" s="17"/>
      <c r="R647" s="17"/>
      <c r="S647" s="17"/>
      <c r="T647" s="17"/>
      <c r="U647" s="17"/>
      <c r="V647" s="17"/>
      <c r="X647" s="17"/>
      <c r="Y647" s="17"/>
      <c r="AA647" s="17"/>
      <c r="AB647" s="17"/>
      <c r="AC647" s="17"/>
      <c r="AD647" s="32"/>
    </row>
    <row r="648" spans="14:30" x14ac:dyDescent="0.3">
      <c r="N648" s="10"/>
      <c r="P648" s="48"/>
      <c r="Q648" s="17"/>
      <c r="R648" s="17"/>
      <c r="S648" s="17"/>
      <c r="T648" s="17"/>
      <c r="U648" s="17"/>
      <c r="V648" s="17"/>
      <c r="X648" s="17"/>
      <c r="Y648" s="17"/>
      <c r="AA648" s="17"/>
      <c r="AB648" s="17"/>
      <c r="AC648" s="17"/>
      <c r="AD648" s="32"/>
    </row>
    <row r="649" spans="14:30" x14ac:dyDescent="0.3">
      <c r="N649" s="10"/>
      <c r="P649" s="48"/>
      <c r="Q649" s="17"/>
      <c r="R649" s="17"/>
      <c r="S649" s="17"/>
      <c r="T649" s="17"/>
      <c r="U649" s="17"/>
      <c r="V649" s="17"/>
      <c r="X649" s="17"/>
      <c r="Y649" s="17"/>
      <c r="AA649" s="17"/>
      <c r="AB649" s="17"/>
      <c r="AC649" s="17"/>
      <c r="AD649" s="32"/>
    </row>
    <row r="650" spans="14:30" x14ac:dyDescent="0.3">
      <c r="N650" s="10"/>
      <c r="P650" s="48"/>
      <c r="Q650" s="17"/>
      <c r="R650" s="17"/>
      <c r="S650" s="17"/>
      <c r="T650" s="17"/>
      <c r="U650" s="17"/>
      <c r="V650" s="17"/>
      <c r="X650" s="17"/>
      <c r="Y650" s="17"/>
      <c r="AA650" s="17"/>
      <c r="AB650" s="17"/>
      <c r="AC650" s="17"/>
      <c r="AD650" s="32"/>
    </row>
    <row r="651" spans="14:30" x14ac:dyDescent="0.3">
      <c r="N651" s="10"/>
      <c r="P651" s="48"/>
      <c r="Q651" s="17"/>
      <c r="R651" s="17"/>
      <c r="S651" s="17"/>
      <c r="T651" s="17"/>
      <c r="U651" s="17"/>
      <c r="V651" s="17"/>
      <c r="X651" s="17"/>
      <c r="Y651" s="17"/>
      <c r="AA651" s="17"/>
      <c r="AB651" s="17"/>
      <c r="AC651" s="17"/>
      <c r="AD651" s="32"/>
    </row>
    <row r="652" spans="14:30" x14ac:dyDescent="0.3">
      <c r="N652" s="10"/>
      <c r="P652" s="48"/>
      <c r="Q652" s="17"/>
      <c r="R652" s="17"/>
      <c r="S652" s="17"/>
      <c r="T652" s="17"/>
      <c r="U652" s="17"/>
      <c r="V652" s="17"/>
      <c r="X652" s="17"/>
      <c r="Y652" s="17"/>
      <c r="AA652" s="17"/>
      <c r="AB652" s="17"/>
      <c r="AC652" s="17"/>
      <c r="AD652" s="32"/>
    </row>
    <row r="653" spans="14:30" x14ac:dyDescent="0.3">
      <c r="N653" s="10"/>
      <c r="P653" s="48"/>
      <c r="Q653" s="17"/>
      <c r="R653" s="17"/>
      <c r="S653" s="17"/>
      <c r="T653" s="17"/>
      <c r="U653" s="17"/>
      <c r="V653" s="17"/>
      <c r="X653" s="17"/>
      <c r="Y653" s="17"/>
      <c r="AA653" s="17"/>
      <c r="AB653" s="17"/>
      <c r="AC653" s="17"/>
      <c r="AD653" s="32"/>
    </row>
    <row r="654" spans="14:30" x14ac:dyDescent="0.3">
      <c r="N654" s="10"/>
      <c r="P654" s="48"/>
      <c r="Q654" s="17"/>
      <c r="R654" s="17"/>
      <c r="S654" s="17"/>
      <c r="T654" s="17"/>
      <c r="U654" s="17"/>
      <c r="V654" s="17"/>
      <c r="X654" s="17"/>
      <c r="Y654" s="17"/>
      <c r="AA654" s="17"/>
      <c r="AB654" s="17"/>
      <c r="AC654" s="17"/>
      <c r="AD654" s="32"/>
    </row>
    <row r="655" spans="14:30" x14ac:dyDescent="0.3">
      <c r="N655" s="10"/>
      <c r="P655" s="48"/>
      <c r="Q655" s="17"/>
      <c r="R655" s="17"/>
      <c r="S655" s="17"/>
      <c r="T655" s="17"/>
      <c r="U655" s="17"/>
      <c r="V655" s="17"/>
      <c r="X655" s="17"/>
      <c r="Y655" s="17"/>
      <c r="AA655" s="17"/>
      <c r="AB655" s="17"/>
      <c r="AC655" s="17"/>
      <c r="AD655" s="32"/>
    </row>
    <row r="656" spans="14:30" x14ac:dyDescent="0.3">
      <c r="N656" s="10"/>
      <c r="P656" s="48"/>
      <c r="Q656" s="17"/>
      <c r="R656" s="17"/>
      <c r="S656" s="17"/>
      <c r="T656" s="17"/>
      <c r="U656" s="17"/>
      <c r="V656" s="17"/>
      <c r="X656" s="17"/>
      <c r="Y656" s="17"/>
      <c r="AA656" s="17"/>
      <c r="AB656" s="17"/>
      <c r="AC656" s="17"/>
      <c r="AD656" s="32"/>
    </row>
    <row r="657" spans="14:30" x14ac:dyDescent="0.3">
      <c r="N657" s="10"/>
      <c r="P657" s="48"/>
      <c r="Q657" s="17"/>
      <c r="R657" s="17"/>
      <c r="S657" s="17"/>
      <c r="T657" s="17"/>
      <c r="U657" s="17"/>
      <c r="V657" s="17"/>
      <c r="X657" s="17"/>
      <c r="Y657" s="17"/>
      <c r="AA657" s="17"/>
      <c r="AB657" s="17"/>
      <c r="AC657" s="17"/>
      <c r="AD657" s="32"/>
    </row>
    <row r="658" spans="14:30" x14ac:dyDescent="0.3">
      <c r="N658" s="10"/>
      <c r="P658" s="48"/>
      <c r="Q658" s="17"/>
      <c r="R658" s="17"/>
      <c r="S658" s="17"/>
      <c r="T658" s="17"/>
      <c r="U658" s="17"/>
      <c r="V658" s="17"/>
      <c r="X658" s="17"/>
      <c r="Y658" s="17"/>
      <c r="AA658" s="17"/>
      <c r="AB658" s="17"/>
      <c r="AC658" s="17"/>
      <c r="AD658" s="32"/>
    </row>
    <row r="659" spans="14:30" x14ac:dyDescent="0.3">
      <c r="N659" s="10"/>
      <c r="P659" s="48"/>
      <c r="Q659" s="17"/>
      <c r="R659" s="17"/>
      <c r="S659" s="17"/>
      <c r="T659" s="17"/>
      <c r="U659" s="17"/>
      <c r="V659" s="17"/>
      <c r="X659" s="17"/>
      <c r="Y659" s="17"/>
      <c r="AA659" s="17"/>
      <c r="AB659" s="17"/>
      <c r="AC659" s="17"/>
      <c r="AD659" s="32"/>
    </row>
    <row r="660" spans="14:30" x14ac:dyDescent="0.3">
      <c r="N660" s="10"/>
      <c r="P660" s="48"/>
      <c r="Q660" s="17"/>
      <c r="R660" s="17"/>
      <c r="S660" s="17"/>
      <c r="T660" s="17"/>
      <c r="U660" s="17"/>
      <c r="V660" s="17"/>
      <c r="X660" s="17"/>
      <c r="Y660" s="17"/>
      <c r="AA660" s="17"/>
      <c r="AB660" s="17"/>
      <c r="AC660" s="17"/>
      <c r="AD660" s="32"/>
    </row>
    <row r="661" spans="14:30" x14ac:dyDescent="0.3">
      <c r="N661" s="10"/>
      <c r="P661" s="48"/>
      <c r="Q661" s="17"/>
      <c r="R661" s="17"/>
      <c r="S661" s="17"/>
      <c r="T661" s="17"/>
      <c r="U661" s="17"/>
      <c r="V661" s="17"/>
      <c r="X661" s="17"/>
      <c r="Y661" s="17"/>
      <c r="AA661" s="17"/>
      <c r="AB661" s="17"/>
      <c r="AC661" s="17"/>
      <c r="AD661" s="32"/>
    </row>
    <row r="662" spans="14:30" x14ac:dyDescent="0.3">
      <c r="N662" s="10"/>
      <c r="P662" s="48"/>
      <c r="Q662" s="17"/>
      <c r="R662" s="17"/>
      <c r="S662" s="17"/>
      <c r="T662" s="17"/>
      <c r="U662" s="17"/>
      <c r="V662" s="17"/>
      <c r="X662" s="17"/>
      <c r="Y662" s="17"/>
      <c r="AA662" s="17"/>
      <c r="AB662" s="17"/>
      <c r="AC662" s="17"/>
      <c r="AD662" s="32"/>
    </row>
    <row r="663" spans="14:30" x14ac:dyDescent="0.3">
      <c r="N663" s="10"/>
      <c r="P663" s="48"/>
      <c r="Q663" s="17"/>
      <c r="R663" s="17"/>
      <c r="S663" s="17"/>
      <c r="T663" s="17"/>
      <c r="U663" s="17"/>
      <c r="V663" s="17"/>
      <c r="X663" s="17"/>
      <c r="Y663" s="17"/>
      <c r="AA663" s="17"/>
      <c r="AB663" s="17"/>
      <c r="AC663" s="17"/>
      <c r="AD663" s="32"/>
    </row>
    <row r="664" spans="14:30" x14ac:dyDescent="0.3">
      <c r="N664" s="10"/>
      <c r="P664" s="48"/>
      <c r="Q664" s="17"/>
      <c r="R664" s="17"/>
      <c r="S664" s="17"/>
      <c r="T664" s="17"/>
      <c r="U664" s="17"/>
      <c r="V664" s="17"/>
      <c r="X664" s="17"/>
      <c r="Y664" s="17"/>
      <c r="AA664" s="17"/>
      <c r="AB664" s="17"/>
      <c r="AC664" s="17"/>
      <c r="AD664" s="32"/>
    </row>
    <row r="665" spans="14:30" x14ac:dyDescent="0.3">
      <c r="N665" s="10"/>
      <c r="P665" s="48"/>
      <c r="Q665" s="17"/>
      <c r="R665" s="17"/>
      <c r="S665" s="17"/>
      <c r="T665" s="17"/>
      <c r="U665" s="17"/>
      <c r="V665" s="17"/>
      <c r="X665" s="17"/>
      <c r="Y665" s="17"/>
      <c r="AA665" s="17"/>
      <c r="AB665" s="17"/>
      <c r="AC665" s="17"/>
      <c r="AD665" s="32"/>
    </row>
    <row r="666" spans="14:30" x14ac:dyDescent="0.3">
      <c r="N666" s="10"/>
      <c r="P666" s="48"/>
      <c r="Q666" s="17"/>
      <c r="R666" s="17"/>
      <c r="S666" s="17"/>
      <c r="T666" s="17"/>
      <c r="U666" s="17"/>
      <c r="V666" s="17"/>
      <c r="X666" s="17"/>
      <c r="Y666" s="17"/>
      <c r="AA666" s="17"/>
      <c r="AB666" s="17"/>
      <c r="AC666" s="17"/>
      <c r="AD666" s="32"/>
    </row>
    <row r="667" spans="14:30" x14ac:dyDescent="0.3">
      <c r="N667" s="10"/>
      <c r="P667" s="48"/>
      <c r="Q667" s="17"/>
      <c r="R667" s="17"/>
      <c r="S667" s="17"/>
      <c r="T667" s="17"/>
      <c r="U667" s="17"/>
      <c r="V667" s="17"/>
      <c r="X667" s="17"/>
      <c r="Y667" s="17"/>
      <c r="AA667" s="17"/>
      <c r="AB667" s="17"/>
      <c r="AC667" s="17"/>
      <c r="AD667" s="32"/>
    </row>
    <row r="668" spans="14:30" x14ac:dyDescent="0.3">
      <c r="N668" s="10"/>
      <c r="P668" s="48"/>
      <c r="Q668" s="17"/>
      <c r="R668" s="17"/>
      <c r="S668" s="17"/>
      <c r="T668" s="17"/>
      <c r="U668" s="17"/>
      <c r="V668" s="17"/>
      <c r="X668" s="17"/>
      <c r="Y668" s="17"/>
      <c r="AA668" s="17"/>
      <c r="AB668" s="17"/>
      <c r="AC668" s="17"/>
      <c r="AD668" s="32"/>
    </row>
    <row r="669" spans="14:30" x14ac:dyDescent="0.3">
      <c r="N669" s="10"/>
      <c r="P669" s="48"/>
      <c r="Q669" s="17"/>
      <c r="R669" s="17"/>
      <c r="S669" s="17"/>
      <c r="T669" s="17"/>
      <c r="U669" s="17"/>
      <c r="V669" s="17"/>
      <c r="X669" s="17"/>
      <c r="Y669" s="17"/>
      <c r="AA669" s="17"/>
      <c r="AB669" s="17"/>
      <c r="AC669" s="17"/>
      <c r="AD669" s="32"/>
    </row>
    <row r="670" spans="14:30" x14ac:dyDescent="0.3">
      <c r="N670" s="10"/>
      <c r="P670" s="48"/>
      <c r="Q670" s="17"/>
      <c r="R670" s="17"/>
      <c r="S670" s="17"/>
      <c r="T670" s="17"/>
      <c r="U670" s="17"/>
      <c r="V670" s="17"/>
      <c r="X670" s="17"/>
      <c r="Y670" s="17"/>
      <c r="AA670" s="17"/>
      <c r="AB670" s="17"/>
      <c r="AC670" s="17"/>
      <c r="AD670" s="32"/>
    </row>
    <row r="671" spans="14:30" x14ac:dyDescent="0.3">
      <c r="N671" s="10"/>
      <c r="P671" s="48"/>
      <c r="Q671" s="17"/>
      <c r="R671" s="17"/>
      <c r="S671" s="17"/>
      <c r="T671" s="17"/>
      <c r="U671" s="17"/>
      <c r="V671" s="17"/>
      <c r="X671" s="17"/>
      <c r="Y671" s="17"/>
      <c r="AA671" s="17"/>
      <c r="AB671" s="17"/>
      <c r="AC671" s="17"/>
      <c r="AD671" s="32"/>
    </row>
    <row r="672" spans="14:30" x14ac:dyDescent="0.3">
      <c r="N672" s="10"/>
      <c r="P672" s="48"/>
      <c r="Q672" s="17"/>
      <c r="R672" s="17"/>
      <c r="S672" s="17"/>
      <c r="T672" s="17"/>
      <c r="U672" s="17"/>
      <c r="V672" s="17"/>
      <c r="X672" s="17"/>
      <c r="Y672" s="17"/>
      <c r="AA672" s="17"/>
      <c r="AB672" s="17"/>
      <c r="AC672" s="17"/>
      <c r="AD672" s="32"/>
    </row>
    <row r="673" spans="14:30" x14ac:dyDescent="0.3">
      <c r="N673" s="10"/>
      <c r="P673" s="48"/>
      <c r="Q673" s="17"/>
      <c r="R673" s="17"/>
      <c r="S673" s="17"/>
      <c r="T673" s="17"/>
      <c r="U673" s="17"/>
      <c r="V673" s="17"/>
      <c r="X673" s="17"/>
      <c r="Y673" s="17"/>
      <c r="AA673" s="17"/>
      <c r="AB673" s="17"/>
      <c r="AC673" s="17"/>
      <c r="AD673" s="32"/>
    </row>
    <row r="674" spans="14:30" x14ac:dyDescent="0.3">
      <c r="N674" s="10"/>
      <c r="P674" s="48"/>
      <c r="Q674" s="17"/>
      <c r="R674" s="17"/>
      <c r="S674" s="17"/>
      <c r="T674" s="17"/>
      <c r="U674" s="17"/>
      <c r="V674" s="17"/>
      <c r="X674" s="17"/>
      <c r="Y674" s="17"/>
      <c r="AA674" s="17"/>
      <c r="AB674" s="17"/>
      <c r="AC674" s="17"/>
      <c r="AD674" s="32"/>
    </row>
    <row r="675" spans="14:30" x14ac:dyDescent="0.3">
      <c r="N675" s="10"/>
      <c r="P675" s="48"/>
      <c r="Q675" s="17"/>
      <c r="R675" s="17"/>
      <c r="S675" s="17"/>
      <c r="T675" s="17"/>
      <c r="U675" s="17"/>
      <c r="V675" s="17"/>
      <c r="X675" s="17"/>
      <c r="Y675" s="17"/>
      <c r="AA675" s="17"/>
      <c r="AB675" s="17"/>
      <c r="AC675" s="17"/>
      <c r="AD675" s="32"/>
    </row>
    <row r="676" spans="14:30" x14ac:dyDescent="0.3">
      <c r="N676" s="10"/>
      <c r="P676" s="48"/>
      <c r="Q676" s="17"/>
      <c r="R676" s="17"/>
      <c r="S676" s="17"/>
      <c r="T676" s="17"/>
      <c r="U676" s="17"/>
      <c r="V676" s="17"/>
      <c r="X676" s="17"/>
      <c r="Y676" s="17"/>
      <c r="AA676" s="17"/>
      <c r="AB676" s="17"/>
      <c r="AC676" s="17"/>
      <c r="AD676" s="32"/>
    </row>
    <row r="677" spans="14:30" x14ac:dyDescent="0.3">
      <c r="N677" s="10"/>
      <c r="P677" s="48"/>
      <c r="Q677" s="17"/>
      <c r="R677" s="17"/>
      <c r="S677" s="17"/>
      <c r="T677" s="17"/>
      <c r="U677" s="17"/>
      <c r="V677" s="17"/>
      <c r="X677" s="17"/>
      <c r="Y677" s="17"/>
      <c r="AA677" s="17"/>
      <c r="AB677" s="17"/>
      <c r="AC677" s="17"/>
      <c r="AD677" s="32"/>
    </row>
    <row r="678" spans="14:30" x14ac:dyDescent="0.3">
      <c r="N678" s="10"/>
      <c r="P678" s="48"/>
      <c r="Q678" s="17"/>
      <c r="R678" s="17"/>
      <c r="S678" s="17"/>
      <c r="T678" s="17"/>
      <c r="U678" s="17"/>
      <c r="V678" s="17"/>
      <c r="X678" s="17"/>
      <c r="Y678" s="17"/>
      <c r="AA678" s="17"/>
      <c r="AB678" s="17"/>
      <c r="AC678" s="17"/>
      <c r="AD678" s="32"/>
    </row>
    <row r="679" spans="14:30" x14ac:dyDescent="0.3">
      <c r="N679" s="10"/>
      <c r="P679" s="48"/>
      <c r="Q679" s="17"/>
      <c r="R679" s="17"/>
      <c r="S679" s="17"/>
      <c r="T679" s="17"/>
      <c r="U679" s="17"/>
      <c r="V679" s="17"/>
      <c r="X679" s="17"/>
      <c r="Y679" s="17"/>
      <c r="AA679" s="17"/>
      <c r="AB679" s="17"/>
      <c r="AC679" s="17"/>
      <c r="AD679" s="32"/>
    </row>
    <row r="680" spans="14:30" x14ac:dyDescent="0.3">
      <c r="N680" s="10"/>
      <c r="P680" s="48"/>
      <c r="Q680" s="17"/>
      <c r="R680" s="17"/>
      <c r="S680" s="17"/>
      <c r="T680" s="17"/>
      <c r="U680" s="17"/>
      <c r="V680" s="17"/>
      <c r="X680" s="17"/>
      <c r="Y680" s="17"/>
      <c r="AA680" s="17"/>
      <c r="AB680" s="17"/>
      <c r="AC680" s="17"/>
      <c r="AD680" s="32"/>
    </row>
    <row r="681" spans="14:30" x14ac:dyDescent="0.3">
      <c r="N681" s="10"/>
      <c r="P681" s="48"/>
      <c r="Q681" s="17"/>
      <c r="R681" s="17"/>
      <c r="S681" s="17"/>
      <c r="T681" s="17"/>
      <c r="U681" s="17"/>
      <c r="V681" s="17"/>
      <c r="X681" s="17"/>
      <c r="Y681" s="17"/>
      <c r="AA681" s="17"/>
      <c r="AB681" s="17"/>
      <c r="AC681" s="17"/>
      <c r="AD681" s="32"/>
    </row>
    <row r="682" spans="14:30" x14ac:dyDescent="0.3">
      <c r="N682" s="10"/>
      <c r="P682" s="48"/>
      <c r="Q682" s="17"/>
      <c r="R682" s="17"/>
      <c r="S682" s="17"/>
      <c r="T682" s="17"/>
      <c r="U682" s="17"/>
      <c r="V682" s="17"/>
      <c r="X682" s="17"/>
      <c r="Y682" s="17"/>
      <c r="AA682" s="17"/>
      <c r="AB682" s="17"/>
      <c r="AC682" s="17"/>
      <c r="AD682" s="32"/>
    </row>
    <row r="683" spans="14:30" x14ac:dyDescent="0.3">
      <c r="N683" s="10"/>
      <c r="P683" s="48"/>
      <c r="Q683" s="17"/>
      <c r="R683" s="17"/>
      <c r="S683" s="17"/>
      <c r="T683" s="17"/>
      <c r="U683" s="17"/>
      <c r="V683" s="17"/>
      <c r="X683" s="17"/>
      <c r="Y683" s="17"/>
      <c r="AA683" s="17"/>
      <c r="AB683" s="17"/>
      <c r="AC683" s="17"/>
      <c r="AD683" s="32"/>
    </row>
    <row r="684" spans="14:30" x14ac:dyDescent="0.3">
      <c r="N684" s="10"/>
      <c r="P684" s="48"/>
      <c r="Q684" s="17"/>
      <c r="R684" s="17"/>
      <c r="S684" s="17"/>
      <c r="T684" s="17"/>
      <c r="U684" s="17"/>
      <c r="V684" s="17"/>
      <c r="X684" s="17"/>
      <c r="Y684" s="17"/>
      <c r="AA684" s="17"/>
      <c r="AB684" s="17"/>
      <c r="AC684" s="17"/>
      <c r="AD684" s="32"/>
    </row>
    <row r="685" spans="14:30" x14ac:dyDescent="0.3">
      <c r="N685" s="10"/>
      <c r="P685" s="48"/>
      <c r="Q685" s="17"/>
      <c r="R685" s="17"/>
      <c r="S685" s="17"/>
      <c r="T685" s="17"/>
      <c r="U685" s="17"/>
      <c r="V685" s="17"/>
      <c r="X685" s="17"/>
      <c r="Y685" s="17"/>
      <c r="AA685" s="17"/>
      <c r="AB685" s="17"/>
      <c r="AC685" s="17"/>
      <c r="AD685" s="32"/>
    </row>
    <row r="686" spans="14:30" x14ac:dyDescent="0.3">
      <c r="N686" s="10"/>
      <c r="P686" s="48"/>
      <c r="Q686" s="17"/>
      <c r="R686" s="17"/>
      <c r="S686" s="17"/>
      <c r="T686" s="17"/>
      <c r="U686" s="17"/>
      <c r="V686" s="17"/>
      <c r="X686" s="17"/>
      <c r="Y686" s="17"/>
      <c r="AA686" s="17"/>
      <c r="AB686" s="17"/>
      <c r="AC686" s="17"/>
      <c r="AD686" s="32"/>
    </row>
    <row r="687" spans="14:30" x14ac:dyDescent="0.3">
      <c r="N687" s="10"/>
      <c r="P687" s="48"/>
      <c r="Q687" s="17"/>
      <c r="R687" s="17"/>
      <c r="S687" s="17"/>
      <c r="T687" s="17"/>
      <c r="U687" s="17"/>
      <c r="V687" s="17"/>
      <c r="X687" s="17"/>
      <c r="Y687" s="17"/>
      <c r="AA687" s="17"/>
      <c r="AB687" s="17"/>
      <c r="AC687" s="17"/>
      <c r="AD687" s="32"/>
    </row>
    <row r="688" spans="14:30" x14ac:dyDescent="0.3">
      <c r="N688" s="10"/>
      <c r="P688" s="48"/>
      <c r="Q688" s="17"/>
      <c r="R688" s="17"/>
      <c r="S688" s="17"/>
      <c r="T688" s="17"/>
      <c r="U688" s="17"/>
      <c r="V688" s="17"/>
      <c r="X688" s="17"/>
      <c r="Y688" s="17"/>
      <c r="AA688" s="17"/>
      <c r="AB688" s="17"/>
      <c r="AC688" s="17"/>
      <c r="AD688" s="32"/>
    </row>
    <row r="689" spans="14:30" x14ac:dyDescent="0.3">
      <c r="N689" s="10"/>
      <c r="P689" s="48"/>
      <c r="Q689" s="17"/>
      <c r="R689" s="17"/>
      <c r="S689" s="17"/>
      <c r="T689" s="17"/>
      <c r="U689" s="17"/>
      <c r="V689" s="17"/>
      <c r="X689" s="17"/>
      <c r="Y689" s="17"/>
      <c r="AA689" s="17"/>
      <c r="AB689" s="17"/>
      <c r="AC689" s="17"/>
      <c r="AD689" s="32"/>
    </row>
    <row r="690" spans="14:30" x14ac:dyDescent="0.3">
      <c r="N690" s="10"/>
      <c r="P690" s="48"/>
      <c r="Q690" s="17"/>
      <c r="R690" s="17"/>
      <c r="S690" s="17"/>
      <c r="T690" s="17"/>
      <c r="U690" s="17"/>
      <c r="V690" s="17"/>
      <c r="X690" s="17"/>
      <c r="Y690" s="17"/>
      <c r="AA690" s="17"/>
      <c r="AB690" s="17"/>
      <c r="AC690" s="17"/>
      <c r="AD690" s="32"/>
    </row>
    <row r="691" spans="14:30" x14ac:dyDescent="0.3">
      <c r="N691" s="10"/>
      <c r="P691" s="48"/>
      <c r="Q691" s="17"/>
      <c r="R691" s="17"/>
      <c r="S691" s="17"/>
      <c r="T691" s="17"/>
      <c r="U691" s="17"/>
      <c r="V691" s="17"/>
      <c r="X691" s="17"/>
      <c r="Y691" s="17"/>
      <c r="AA691" s="17"/>
      <c r="AB691" s="17"/>
      <c r="AC691" s="17"/>
      <c r="AD691" s="32"/>
    </row>
    <row r="692" spans="14:30" x14ac:dyDescent="0.3">
      <c r="N692" s="10"/>
      <c r="P692" s="48"/>
      <c r="Q692" s="17"/>
      <c r="R692" s="17"/>
      <c r="S692" s="17"/>
      <c r="T692" s="17"/>
      <c r="U692" s="17"/>
      <c r="V692" s="17"/>
      <c r="X692" s="17"/>
      <c r="Y692" s="17"/>
      <c r="AA692" s="17"/>
      <c r="AB692" s="17"/>
      <c r="AC692" s="17"/>
      <c r="AD692" s="32"/>
    </row>
    <row r="693" spans="14:30" x14ac:dyDescent="0.3">
      <c r="N693" s="10"/>
      <c r="P693" s="48"/>
      <c r="Q693" s="17"/>
      <c r="R693" s="17"/>
      <c r="S693" s="17"/>
      <c r="T693" s="17"/>
      <c r="U693" s="17"/>
      <c r="V693" s="17"/>
      <c r="X693" s="17"/>
      <c r="Y693" s="17"/>
      <c r="AA693" s="17"/>
      <c r="AB693" s="17"/>
      <c r="AC693" s="17"/>
      <c r="AD693" s="32"/>
    </row>
    <row r="694" spans="14:30" x14ac:dyDescent="0.3">
      <c r="N694" s="10"/>
      <c r="P694" s="48"/>
      <c r="Q694" s="17"/>
      <c r="R694" s="17"/>
      <c r="S694" s="17"/>
      <c r="T694" s="17"/>
      <c r="U694" s="17"/>
      <c r="V694" s="17"/>
      <c r="X694" s="17"/>
      <c r="Y694" s="17"/>
      <c r="AA694" s="17"/>
      <c r="AB694" s="17"/>
      <c r="AC694" s="17"/>
      <c r="AD694" s="32"/>
    </row>
    <row r="695" spans="14:30" x14ac:dyDescent="0.3">
      <c r="N695" s="10"/>
      <c r="P695" s="48"/>
      <c r="Q695" s="17"/>
      <c r="R695" s="17"/>
      <c r="S695" s="17"/>
      <c r="T695" s="17"/>
      <c r="U695" s="17"/>
      <c r="V695" s="17"/>
      <c r="X695" s="17"/>
      <c r="Y695" s="17"/>
      <c r="AA695" s="17"/>
      <c r="AB695" s="17"/>
      <c r="AC695" s="17"/>
      <c r="AD695" s="32"/>
    </row>
    <row r="696" spans="14:30" x14ac:dyDescent="0.3">
      <c r="N696" s="10"/>
      <c r="P696" s="48"/>
      <c r="Q696" s="17"/>
      <c r="R696" s="17"/>
      <c r="S696" s="17"/>
      <c r="T696" s="17"/>
      <c r="U696" s="17"/>
      <c r="V696" s="17"/>
      <c r="X696" s="17"/>
      <c r="Y696" s="17"/>
      <c r="AA696" s="17"/>
      <c r="AB696" s="17"/>
      <c r="AC696" s="17"/>
      <c r="AD696" s="32"/>
    </row>
    <row r="697" spans="14:30" x14ac:dyDescent="0.3">
      <c r="N697" s="10"/>
      <c r="P697" s="48"/>
      <c r="Q697" s="17"/>
      <c r="R697" s="17"/>
      <c r="S697" s="17"/>
      <c r="T697" s="17"/>
      <c r="U697" s="17"/>
      <c r="V697" s="17"/>
      <c r="X697" s="17"/>
      <c r="Y697" s="17"/>
      <c r="AA697" s="17"/>
      <c r="AB697" s="17"/>
      <c r="AC697" s="17"/>
      <c r="AD697" s="32"/>
    </row>
    <row r="698" spans="14:30" x14ac:dyDescent="0.3">
      <c r="N698" s="10"/>
      <c r="P698" s="48"/>
      <c r="Q698" s="17"/>
      <c r="R698" s="17"/>
      <c r="S698" s="17"/>
      <c r="T698" s="17"/>
      <c r="U698" s="17"/>
      <c r="V698" s="17"/>
      <c r="X698" s="17"/>
      <c r="Y698" s="17"/>
      <c r="AA698" s="17"/>
      <c r="AB698" s="17"/>
      <c r="AC698" s="17"/>
      <c r="AD698" s="32"/>
    </row>
    <row r="699" spans="14:30" x14ac:dyDescent="0.3">
      <c r="N699" s="10"/>
      <c r="P699" s="48"/>
      <c r="Q699" s="17"/>
      <c r="R699" s="17"/>
      <c r="S699" s="17"/>
      <c r="T699" s="17"/>
      <c r="U699" s="17"/>
      <c r="V699" s="17"/>
      <c r="X699" s="17"/>
      <c r="Y699" s="17"/>
      <c r="AA699" s="17"/>
      <c r="AB699" s="17"/>
      <c r="AC699" s="17"/>
      <c r="AD699" s="32"/>
    </row>
    <row r="700" spans="14:30" x14ac:dyDescent="0.3">
      <c r="N700" s="10"/>
      <c r="P700" s="48"/>
      <c r="Q700" s="17"/>
      <c r="R700" s="17"/>
      <c r="S700" s="17"/>
      <c r="T700" s="17"/>
      <c r="U700" s="17"/>
      <c r="V700" s="17"/>
      <c r="X700" s="17"/>
      <c r="Y700" s="17"/>
      <c r="AA700" s="17"/>
      <c r="AB700" s="17"/>
      <c r="AC700" s="17"/>
      <c r="AD700" s="32"/>
    </row>
    <row r="701" spans="14:30" x14ac:dyDescent="0.3">
      <c r="N701" s="10"/>
      <c r="P701" s="48"/>
      <c r="Q701" s="17"/>
      <c r="R701" s="17"/>
      <c r="S701" s="17"/>
      <c r="T701" s="17"/>
      <c r="U701" s="17"/>
      <c r="V701" s="17"/>
      <c r="X701" s="17"/>
      <c r="Y701" s="17"/>
      <c r="AA701" s="17"/>
      <c r="AB701" s="17"/>
      <c r="AC701" s="17"/>
      <c r="AD701" s="32"/>
    </row>
    <row r="702" spans="14:30" x14ac:dyDescent="0.3">
      <c r="N702" s="10"/>
      <c r="P702" s="48"/>
      <c r="Q702" s="17"/>
      <c r="R702" s="17"/>
      <c r="S702" s="17"/>
      <c r="T702" s="17"/>
      <c r="U702" s="17"/>
      <c r="V702" s="17"/>
      <c r="X702" s="17"/>
      <c r="Y702" s="17"/>
      <c r="AA702" s="17"/>
      <c r="AB702" s="17"/>
      <c r="AC702" s="17"/>
      <c r="AD702" s="32"/>
    </row>
    <row r="703" spans="14:30" x14ac:dyDescent="0.3">
      <c r="N703" s="10"/>
      <c r="P703" s="48"/>
      <c r="Q703" s="17"/>
      <c r="R703" s="17"/>
      <c r="S703" s="17"/>
      <c r="T703" s="17"/>
      <c r="U703" s="17"/>
      <c r="V703" s="17"/>
      <c r="X703" s="17"/>
      <c r="Y703" s="17"/>
      <c r="AA703" s="17"/>
      <c r="AB703" s="17"/>
      <c r="AC703" s="17"/>
      <c r="AD703" s="32"/>
    </row>
    <row r="704" spans="14:30" x14ac:dyDescent="0.3">
      <c r="N704" s="10"/>
      <c r="P704" s="48"/>
      <c r="Q704" s="17"/>
      <c r="R704" s="17"/>
      <c r="S704" s="17"/>
      <c r="T704" s="17"/>
      <c r="U704" s="17"/>
      <c r="V704" s="17"/>
      <c r="X704" s="17"/>
      <c r="Y704" s="17"/>
      <c r="AA704" s="17"/>
      <c r="AB704" s="17"/>
      <c r="AC704" s="17"/>
      <c r="AD704" s="32"/>
    </row>
    <row r="705" spans="14:30" x14ac:dyDescent="0.3">
      <c r="N705" s="10"/>
      <c r="P705" s="48"/>
      <c r="Q705" s="17"/>
      <c r="R705" s="17"/>
      <c r="S705" s="17"/>
      <c r="T705" s="17"/>
      <c r="U705" s="17"/>
      <c r="V705" s="17"/>
      <c r="X705" s="17"/>
      <c r="Y705" s="17"/>
      <c r="AA705" s="17"/>
      <c r="AB705" s="17"/>
      <c r="AC705" s="17"/>
      <c r="AD705" s="32"/>
    </row>
    <row r="706" spans="14:30" x14ac:dyDescent="0.3">
      <c r="N706" s="10"/>
      <c r="P706" s="48"/>
      <c r="Q706" s="17"/>
      <c r="R706" s="17"/>
      <c r="S706" s="17"/>
      <c r="T706" s="17"/>
      <c r="U706" s="17"/>
      <c r="V706" s="17"/>
      <c r="X706" s="17"/>
      <c r="Y706" s="17"/>
      <c r="AA706" s="17"/>
      <c r="AB706" s="17"/>
      <c r="AC706" s="17"/>
      <c r="AD706" s="32"/>
    </row>
    <row r="707" spans="14:30" x14ac:dyDescent="0.3">
      <c r="N707" s="10"/>
      <c r="P707" s="48"/>
      <c r="Q707" s="17"/>
      <c r="R707" s="17"/>
      <c r="S707" s="17"/>
      <c r="T707" s="17"/>
      <c r="U707" s="17"/>
      <c r="V707" s="17"/>
      <c r="X707" s="17"/>
      <c r="Y707" s="17"/>
      <c r="AA707" s="17"/>
      <c r="AB707" s="17"/>
      <c r="AC707" s="17"/>
      <c r="AD707" s="32"/>
    </row>
    <row r="708" spans="14:30" x14ac:dyDescent="0.3">
      <c r="N708" s="10"/>
      <c r="P708" s="48"/>
      <c r="Q708" s="17"/>
      <c r="R708" s="17"/>
      <c r="S708" s="17"/>
      <c r="T708" s="17"/>
      <c r="U708" s="17"/>
      <c r="V708" s="17"/>
      <c r="X708" s="17"/>
      <c r="Y708" s="17"/>
      <c r="AA708" s="17"/>
      <c r="AB708" s="17"/>
      <c r="AC708" s="17"/>
      <c r="AD708" s="32"/>
    </row>
  </sheetData>
  <mergeCells count="31">
    <mergeCell ref="AV4:AX4"/>
    <mergeCell ref="Q5:S5"/>
    <mergeCell ref="T5:V5"/>
    <mergeCell ref="W5:Y5"/>
    <mergeCell ref="Z5:AB5"/>
    <mergeCell ref="AC5:AE5"/>
    <mergeCell ref="AM5:AO5"/>
    <mergeCell ref="AV5:AX5"/>
    <mergeCell ref="E6:K6"/>
    <mergeCell ref="A1:M1"/>
    <mergeCell ref="N1:X1"/>
    <mergeCell ref="P4:AE4"/>
    <mergeCell ref="AF4:AU4"/>
    <mergeCell ref="AG5:AI5"/>
    <mergeCell ref="AJ5:AL5"/>
    <mergeCell ref="AP5:AR5"/>
    <mergeCell ref="AS5:AU5"/>
    <mergeCell ref="P16:AE16"/>
    <mergeCell ref="AF16:AU16"/>
    <mergeCell ref="AV16:AX16"/>
    <mergeCell ref="Q17:S17"/>
    <mergeCell ref="T17:V17"/>
    <mergeCell ref="W17:Y17"/>
    <mergeCell ref="Z17:AB17"/>
    <mergeCell ref="AC17:AE17"/>
    <mergeCell ref="AG17:AI17"/>
    <mergeCell ref="AJ17:AL17"/>
    <mergeCell ref="AM17:AO17"/>
    <mergeCell ref="AP17:AR17"/>
    <mergeCell ref="AS17:AU17"/>
    <mergeCell ref="AV17:AX1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708"/>
  <sheetViews>
    <sheetView zoomScale="85" zoomScaleNormal="85" workbookViewId="0">
      <selection activeCell="K35" sqref="K35"/>
    </sheetView>
  </sheetViews>
  <sheetFormatPr defaultRowHeight="14.4" x14ac:dyDescent="0.3"/>
  <cols>
    <col min="1" max="1" width="13.109375" customWidth="1"/>
    <col min="2" max="2" width="25" customWidth="1"/>
    <col min="8" max="10" width="8.88671875" style="31"/>
    <col min="15" max="15" width="16.6640625" style="50" bestFit="1" customWidth="1"/>
    <col min="16" max="16" width="16.6640625" customWidth="1"/>
    <col min="29" max="29" width="8.88671875" style="31"/>
    <col min="33" max="33" width="10.109375" customWidth="1"/>
    <col min="34" max="34" width="12" bestFit="1" customWidth="1"/>
    <col min="42" max="42" width="8.88671875" style="31"/>
    <col min="45" max="45" width="8.88671875" style="31"/>
  </cols>
  <sheetData>
    <row r="1" spans="1:48" s="31" customFormat="1" ht="28.2" x14ac:dyDescent="0.5">
      <c r="A1" s="283" t="s">
        <v>16</v>
      </c>
      <c r="B1" s="283"/>
      <c r="C1" s="283"/>
      <c r="D1" s="283"/>
      <c r="E1" s="283"/>
      <c r="F1" s="283"/>
      <c r="G1" s="283"/>
      <c r="H1" s="283"/>
      <c r="I1" s="283"/>
      <c r="J1" s="283"/>
      <c r="K1" s="283"/>
      <c r="L1" s="283"/>
      <c r="M1" s="283"/>
      <c r="N1" s="283" t="s">
        <v>183</v>
      </c>
      <c r="O1" s="283"/>
      <c r="P1" s="283"/>
      <c r="Q1" s="283"/>
      <c r="R1" s="283"/>
      <c r="S1" s="283"/>
      <c r="T1" s="283"/>
      <c r="U1" s="283"/>
      <c r="V1" s="283"/>
      <c r="W1" s="283"/>
      <c r="X1" s="283"/>
    </row>
    <row r="2" spans="1:48" s="31" customFormat="1" x14ac:dyDescent="0.3">
      <c r="A2" s="11"/>
      <c r="B2" s="11" t="s">
        <v>17</v>
      </c>
      <c r="C2" s="12"/>
      <c r="D2" s="17"/>
      <c r="E2" s="11"/>
      <c r="F2" s="11"/>
      <c r="G2" s="11"/>
      <c r="H2" s="11"/>
      <c r="I2" s="11"/>
      <c r="J2" s="11"/>
      <c r="K2" s="11"/>
      <c r="L2" s="11"/>
      <c r="M2" s="11"/>
    </row>
    <row r="3" spans="1:48" s="31" customFormat="1" ht="15" thickBot="1" x14ac:dyDescent="0.35">
      <c r="A3" s="11"/>
      <c r="B3" s="11" t="s">
        <v>18</v>
      </c>
      <c r="C3" s="13"/>
      <c r="D3" s="17"/>
      <c r="E3" s="11"/>
      <c r="F3" s="23"/>
      <c r="G3" s="24"/>
      <c r="H3" s="24"/>
      <c r="I3" s="24"/>
      <c r="J3" s="24"/>
      <c r="K3" s="38"/>
      <c r="L3" s="11"/>
      <c r="M3" s="11"/>
    </row>
    <row r="4" spans="1:48" s="31" customFormat="1" ht="15" thickBot="1" x14ac:dyDescent="0.35">
      <c r="A4" s="11"/>
      <c r="B4" s="11" t="s">
        <v>19</v>
      </c>
      <c r="C4" s="14"/>
      <c r="D4" s="17"/>
      <c r="E4" s="11"/>
      <c r="F4" s="23"/>
      <c r="G4" s="24"/>
      <c r="H4" s="24"/>
      <c r="I4" s="24"/>
      <c r="J4" s="24"/>
      <c r="K4" s="38"/>
      <c r="L4" s="11"/>
      <c r="M4" s="11"/>
      <c r="N4" s="84"/>
      <c r="O4" s="90"/>
      <c r="P4" s="285" t="s">
        <v>214</v>
      </c>
      <c r="Q4" s="285"/>
      <c r="R4" s="285"/>
      <c r="S4" s="285"/>
      <c r="T4" s="285"/>
      <c r="U4" s="285"/>
      <c r="V4" s="285"/>
      <c r="W4" s="285"/>
      <c r="X4" s="285"/>
      <c r="Y4" s="285"/>
      <c r="Z4" s="285"/>
      <c r="AA4" s="285"/>
      <c r="AB4" s="285"/>
      <c r="AC4" s="285"/>
      <c r="AD4" s="285"/>
      <c r="AE4" s="286"/>
      <c r="AF4" s="287" t="s">
        <v>215</v>
      </c>
      <c r="AG4" s="285"/>
      <c r="AH4" s="285"/>
      <c r="AI4" s="285"/>
      <c r="AJ4" s="285"/>
      <c r="AK4" s="285"/>
      <c r="AL4" s="285"/>
      <c r="AM4" s="285"/>
      <c r="AN4" s="285"/>
      <c r="AO4" s="285"/>
      <c r="AP4" s="285"/>
      <c r="AQ4" s="285"/>
      <c r="AR4" s="286"/>
      <c r="AS4" s="287" t="s">
        <v>226</v>
      </c>
      <c r="AT4" s="285"/>
      <c r="AU4" s="286"/>
    </row>
    <row r="5" spans="1:48" s="31" customFormat="1" x14ac:dyDescent="0.3">
      <c r="A5" s="11"/>
      <c r="D5" s="17"/>
      <c r="E5" s="11"/>
      <c r="F5" s="11"/>
      <c r="G5" s="11"/>
      <c r="H5" s="11"/>
      <c r="I5" s="11"/>
      <c r="J5" s="11"/>
      <c r="K5" s="11"/>
      <c r="L5" s="11"/>
      <c r="M5" s="11"/>
      <c r="N5" s="58"/>
      <c r="O5" s="61"/>
      <c r="P5" s="49"/>
      <c r="Q5" s="288" t="s">
        <v>206</v>
      </c>
      <c r="R5" s="288"/>
      <c r="S5" s="288"/>
      <c r="T5" s="289" t="s">
        <v>208</v>
      </c>
      <c r="U5" s="289"/>
      <c r="V5" s="289"/>
      <c r="W5" s="289" t="s">
        <v>208</v>
      </c>
      <c r="X5" s="289"/>
      <c r="Y5" s="289"/>
      <c r="Z5" s="289" t="s">
        <v>211</v>
      </c>
      <c r="AA5" s="289"/>
      <c r="AB5" s="289"/>
      <c r="AC5" s="290" t="s">
        <v>213</v>
      </c>
      <c r="AD5" s="289"/>
      <c r="AE5" s="291"/>
      <c r="AF5" s="49"/>
      <c r="AG5" s="289" t="s">
        <v>222</v>
      </c>
      <c r="AH5" s="289"/>
      <c r="AI5" s="289"/>
      <c r="AJ5" s="289" t="s">
        <v>223</v>
      </c>
      <c r="AK5" s="289"/>
      <c r="AL5" s="289"/>
      <c r="AM5" s="289" t="s">
        <v>217</v>
      </c>
      <c r="AN5" s="289"/>
      <c r="AO5" s="289"/>
      <c r="AP5" s="290" t="s">
        <v>213</v>
      </c>
      <c r="AQ5" s="289"/>
      <c r="AR5" s="291"/>
      <c r="AS5" s="290" t="s">
        <v>213</v>
      </c>
      <c r="AT5" s="289"/>
      <c r="AU5" s="291"/>
    </row>
    <row r="6" spans="1:48" s="31" customFormat="1" ht="15" thickBot="1" x14ac:dyDescent="0.35">
      <c r="A6" s="10" t="s">
        <v>20</v>
      </c>
      <c r="B6" s="10" t="s">
        <v>21</v>
      </c>
      <c r="C6" s="10" t="s">
        <v>22</v>
      </c>
      <c r="D6" s="17"/>
      <c r="E6" s="284" t="s">
        <v>23</v>
      </c>
      <c r="F6" s="284"/>
      <c r="G6" s="284"/>
      <c r="H6" s="284"/>
      <c r="I6" s="284"/>
      <c r="J6" s="284"/>
      <c r="K6" s="284"/>
      <c r="L6" s="35"/>
      <c r="M6" s="25"/>
      <c r="N6" s="58"/>
      <c r="O6" s="61"/>
      <c r="P6" s="79" t="s">
        <v>189</v>
      </c>
      <c r="Q6" s="49" t="s">
        <v>212</v>
      </c>
      <c r="R6" s="79" t="s">
        <v>209</v>
      </c>
      <c r="S6" s="79" t="s">
        <v>210</v>
      </c>
      <c r="T6" s="79" t="s">
        <v>212</v>
      </c>
      <c r="U6" s="79" t="s">
        <v>209</v>
      </c>
      <c r="V6" s="79" t="s">
        <v>210</v>
      </c>
      <c r="W6" s="81" t="s">
        <v>212</v>
      </c>
      <c r="X6" s="79" t="s">
        <v>209</v>
      </c>
      <c r="Y6" s="79" t="s">
        <v>210</v>
      </c>
      <c r="Z6" s="81" t="s">
        <v>212</v>
      </c>
      <c r="AA6" s="81" t="s">
        <v>209</v>
      </c>
      <c r="AB6" s="81" t="s">
        <v>210</v>
      </c>
      <c r="AC6" s="82" t="s">
        <v>227</v>
      </c>
      <c r="AD6" s="81" t="s">
        <v>209</v>
      </c>
      <c r="AE6" s="83" t="s">
        <v>210</v>
      </c>
      <c r="AF6" s="79" t="s">
        <v>224</v>
      </c>
      <c r="AG6" s="81" t="s">
        <v>212</v>
      </c>
      <c r="AH6" s="81" t="s">
        <v>225</v>
      </c>
      <c r="AI6" s="81" t="s">
        <v>210</v>
      </c>
      <c r="AJ6" s="81" t="s">
        <v>212</v>
      </c>
      <c r="AK6" s="81" t="s">
        <v>225</v>
      </c>
      <c r="AL6" s="81" t="s">
        <v>210</v>
      </c>
      <c r="AM6" s="81" t="s">
        <v>212</v>
      </c>
      <c r="AN6" s="81" t="s">
        <v>225</v>
      </c>
      <c r="AO6" s="81" t="s">
        <v>210</v>
      </c>
      <c r="AP6" s="82" t="s">
        <v>227</v>
      </c>
      <c r="AQ6" s="81" t="s">
        <v>209</v>
      </c>
      <c r="AR6" s="83" t="s">
        <v>210</v>
      </c>
      <c r="AS6" s="82" t="s">
        <v>227</v>
      </c>
      <c r="AT6" s="81" t="s">
        <v>209</v>
      </c>
      <c r="AU6" s="83" t="s">
        <v>210</v>
      </c>
    </row>
    <row r="7" spans="1:48" s="31" customFormat="1" ht="15" thickBot="1" x14ac:dyDescent="0.35">
      <c r="A7" s="10"/>
      <c r="B7" s="10"/>
      <c r="C7" s="10"/>
      <c r="D7" s="17"/>
      <c r="E7" s="45"/>
      <c r="F7" s="45"/>
      <c r="G7" s="45"/>
      <c r="H7" s="45"/>
      <c r="I7" s="45"/>
      <c r="J7" s="45"/>
      <c r="K7" s="45"/>
      <c r="L7" s="45"/>
      <c r="M7" s="25"/>
      <c r="N7" s="31" t="s">
        <v>395</v>
      </c>
      <c r="O7" s="90">
        <f>fcross</f>
        <v>640</v>
      </c>
      <c r="P7" s="86" t="str">
        <f>COMPLEX(ADC_VINmin,0)</f>
        <v>47911.3110539846</v>
      </c>
      <c r="Q7" s="87" t="str">
        <f>IMSUM(COMPLEX(1,0),IMDIV(COMPLEX(0,2*PI()*O7),COMPLEX(wp_lf_VINmin,0)))</f>
        <v>1+187.468282645885i</v>
      </c>
      <c r="R7" s="87">
        <f>IMABS(Q7)</f>
        <v>187.47094974474695</v>
      </c>
      <c r="S7" s="87">
        <f t="shared" ref="S7" si="0">IMARGUMENT(Q7)</f>
        <v>1.5654621417191161</v>
      </c>
      <c r="T7" s="87" t="str">
        <f>IMSUM(COMPLEX(1,0),IMDIV(COMPLEX(0,2*PI()*O7),COMPLEX(wz_esr_VINmin,0)))</f>
        <v>1+1.20637157897848E-08i</v>
      </c>
      <c r="U7" s="87">
        <f>IMABS(T7)</f>
        <v>1</v>
      </c>
      <c r="V7" s="87">
        <f t="shared" ref="V7" si="1">IMARGUMENT(T7)</f>
        <v>1.2063715789784799E-8</v>
      </c>
      <c r="W7" s="85" t="str">
        <f>IMSUB(COMPLEX(1,0),IMDIV(COMPLEX(0,2*PI()*O7),COMPLEX(wz_RHP_VINmin,0)))</f>
        <v>1-0.00744134305604585i</v>
      </c>
      <c r="X7" s="87">
        <f>IMABS(W7)</f>
        <v>1.0000276864099702</v>
      </c>
      <c r="Y7" s="87">
        <f t="shared" ref="Y7" si="2">IMARGUMENT(W7)</f>
        <v>-7.4412057093246409E-3</v>
      </c>
      <c r="Z7" s="85" t="str">
        <f>IMSUM(COMPLEX(1,0),IMDIV(COMPLEX(0,2*PI()*O7),COMPLEX(Q_VINmin*(wsl_VINmin/2),0)),IMDIV(IMPOWER(COMPLEX(0,2*PI()*O7),2),IMPOWER(COMPLEX(wsl_VINmin/2,0),2)))</f>
        <v>0.99983616-0.015584276670782i</v>
      </c>
      <c r="AA7" s="87">
        <f>IMABS(Z7)</f>
        <v>0.99995760736288064</v>
      </c>
      <c r="AB7" s="87">
        <f t="shared" ref="AB7" si="3">IMARGUMENT(Z7)</f>
        <v>-1.5585568331290959E-2</v>
      </c>
      <c r="AC7" s="88" t="str">
        <f>(IMDIV(IMPRODUCT(P7,T7,W7),IMPRODUCT(Q7,Z7)))</f>
        <v>3.444806638317-255.561283173984i</v>
      </c>
      <c r="AD7" s="89">
        <f>20*LOG(IMABS(AC7))</f>
        <v>48.150690214698393</v>
      </c>
      <c r="AE7" s="90">
        <f t="shared" ref="AE7" si="4">(180/PI())*IMARGUMENT(AC7)</f>
        <v>-89.227735411753343</v>
      </c>
      <c r="AF7" s="85" t="str">
        <f t="shared" ref="AF7:AF13" si="5">COMPLEX(Adc_ea,0)</f>
        <v>-1.33333333333333E-06</v>
      </c>
      <c r="AG7" s="85" t="str">
        <f>COMPLEX(0,2*PI()*O7*wp0_ea)</f>
        <v>0.00402525983519153i</v>
      </c>
      <c r="AH7" s="85">
        <f>IMABS(AG7)</f>
        <v>4.0252598351915303E-3</v>
      </c>
      <c r="AI7" s="85">
        <f>IMARGUMENT(AG7)</f>
        <v>1.5707963267948966</v>
      </c>
      <c r="AJ7" s="85" t="str">
        <f>IMSUM(COMPLEX(1,0),IMDIV(COMPLEX(0,2*PI()*O7),COMPLEX(wp1_ea,0)))</f>
        <v>1+0.0130157972557119i</v>
      </c>
      <c r="AK7" s="85">
        <f>IMABS(AJ7)</f>
        <v>1.0000847019018948</v>
      </c>
      <c r="AL7" s="85">
        <f>IMARGUMENT(AJ7)</f>
        <v>1.3015062324098688E-2</v>
      </c>
      <c r="AM7" s="85" t="str">
        <f>IMSUM(COMPLEX(1,0),IMDIV(COMPLEX(0,2*PI()*O7),COMPLEX(wz_ea,0)))</f>
        <v>1+13.0288130529676i</v>
      </c>
      <c r="AN7" s="85">
        <f>IMABS(AM7)</f>
        <v>13.06713318096892</v>
      </c>
      <c r="AO7" s="85">
        <f>IMARGUMENT(AM7)</f>
        <v>1.4941935514486133</v>
      </c>
      <c r="AP7" s="84" t="str">
        <f>IMPRODUCT(AF7,IMDIV(AM7,IMPRODUCT(AG7,AJ7)))</f>
        <v>-0.00431064267254974+0.00038734800761929i</v>
      </c>
      <c r="AQ7" s="85">
        <f>20*LOG(IMABS(AP7))</f>
        <v>-47.27423299493389</v>
      </c>
      <c r="AR7" s="90">
        <f>(180/PI())*IMARGUMENT(AP7)</f>
        <v>174.86527613239861</v>
      </c>
      <c r="AS7" s="84" t="str">
        <f>IMPRODUCT(AC7,AP7)</f>
        <v>0.08414182336826+1.10296771168933i</v>
      </c>
      <c r="AT7" s="89">
        <f>20*LOG(IMABS(AS7))</f>
        <v>0.87645721976451485</v>
      </c>
      <c r="AU7" s="90">
        <f>(180/PI())*IMARGUMENT(AS7)</f>
        <v>85.637540720645262</v>
      </c>
    </row>
    <row r="8" spans="1:48" s="31" customFormat="1" ht="15" thickBot="1" x14ac:dyDescent="0.35">
      <c r="A8" s="10"/>
      <c r="B8" s="10"/>
      <c r="C8" s="10"/>
      <c r="D8" s="17"/>
      <c r="E8" s="97"/>
      <c r="F8" s="97"/>
      <c r="G8" s="97"/>
      <c r="H8" s="97"/>
      <c r="I8" s="97"/>
      <c r="J8" s="97"/>
      <c r="K8" s="97"/>
      <c r="L8" s="97"/>
      <c r="M8" s="25"/>
      <c r="N8" s="84" t="s">
        <v>254</v>
      </c>
      <c r="O8" s="90">
        <f>fcross</f>
        <v>640</v>
      </c>
      <c r="P8" s="86" t="str">
        <f t="shared" ref="P8:P13" si="6">COMPLEX(Adc,0)</f>
        <v>51201.9230769231</v>
      </c>
      <c r="Q8" s="87" t="str">
        <f>IMSUM(COMPLEX(1,0),IMDIV(COMPLEX(0,2*PI()*O8),COMPLEX(wp_lf,0)))</f>
        <v>1+187.915572879341i</v>
      </c>
      <c r="R8" s="87">
        <f>IMABS(Q8)</f>
        <v>187.91823362987137</v>
      </c>
      <c r="S8" s="87">
        <f t="shared" ref="S8" si="7">IMARGUMENT(Q8)</f>
        <v>1.5654748382921264</v>
      </c>
      <c r="T8" s="87" t="str">
        <f>IMSUM(COMPLEX(1,0),IMDIV(COMPLEX(0,2*PI()*O8),COMPLEX(wz_esr,0)))</f>
        <v>1+1.20637157897848E-08i</v>
      </c>
      <c r="U8" s="87">
        <f>IMABS(T8)</f>
        <v>1</v>
      </c>
      <c r="V8" s="87">
        <f t="shared" ref="V8" si="8">IMARGUMENT(T8)</f>
        <v>1.2063715789784799E-8</v>
      </c>
      <c r="W8" s="85" t="str">
        <f>IMSUB(COMPLEX(1,0),IMDIV(COMPLEX(0,2*PI()*O8),COMPLEX(wz_rhp,0)))</f>
        <v>1-0.0065144065264838i</v>
      </c>
      <c r="X8" s="87">
        <f>IMABS(W8)</f>
        <v>1.0000212185210833</v>
      </c>
      <c r="Y8" s="87">
        <f t="shared" ref="Y8" si="9">IMARGUMENT(W8)</f>
        <v>-6.5143143771376711E-3</v>
      </c>
      <c r="Z8" s="85" t="str">
        <f>IMSUM(COMPLEX(1,0),IMDIV(COMPLEX(0,2*PI()*O8),COMPLEX(Q*(wsl/2),0)),IMDIV(IMPOWER(COMPLEX(0,2*PI()*O8),2),IMPOWER(COMPLEX(wsl/2,0),2)))</f>
        <v>0.99983616+0.397532573258139i</v>
      </c>
      <c r="AA8" s="87">
        <f>IMABS(Z8)</f>
        <v>1.0759667716267001</v>
      </c>
      <c r="AB8" s="87">
        <f t="shared" ref="AB8" si="10">IMARGUMENT(Z8)</f>
        <v>0.37843372838065337</v>
      </c>
      <c r="AC8" s="88" t="str">
        <f>(IMDIV(IMPRODUCT(P8,T8,W8),IMPRODUCT(Q8,Z8)))</f>
        <v>-93.8430715994193-235.207605226788i</v>
      </c>
      <c r="AD8" s="89">
        <f>20*LOG(IMABS(AC8))</f>
        <v>48.070554134633944</v>
      </c>
      <c r="AE8" s="90">
        <f t="shared" ref="AE8" si="11">(180/PI())*IMARGUMENT(AC8)</f>
        <v>-111.75099865870679</v>
      </c>
      <c r="AF8" s="85" t="str">
        <f t="shared" si="5"/>
        <v>-1.33333333333333E-06</v>
      </c>
      <c r="AG8" s="85" t="str">
        <f>COMPLEX(0,2*PI()*O8*wp0_ea)</f>
        <v>0.00402525983519153i</v>
      </c>
      <c r="AH8" s="85">
        <f>IMABS(AG8)</f>
        <v>4.0252598351915303E-3</v>
      </c>
      <c r="AI8" s="85">
        <f>IMARGUMENT(AG8)</f>
        <v>1.5707963267948966</v>
      </c>
      <c r="AJ8" s="85" t="str">
        <f>IMSUM(COMPLEX(1,0),IMDIV(COMPLEX(0,2*PI()*O8),COMPLEX(wp1_ea,0)))</f>
        <v>1+0.0130157972557119i</v>
      </c>
      <c r="AK8" s="85">
        <f>IMABS(AJ8)</f>
        <v>1.0000847019018948</v>
      </c>
      <c r="AL8" s="85">
        <f>IMARGUMENT(AJ8)</f>
        <v>1.3015062324098688E-2</v>
      </c>
      <c r="AM8" s="85" t="str">
        <f>IMSUM(COMPLEX(1,0),IMDIV(COMPLEX(0,2*PI()*O8),COMPLEX(wz_ea,0)))</f>
        <v>1+13.0288130529676i</v>
      </c>
      <c r="AN8" s="85">
        <f>IMABS(AM8)</f>
        <v>13.06713318096892</v>
      </c>
      <c r="AO8" s="85">
        <f>IMARGUMENT(AM8)</f>
        <v>1.4941935514486133</v>
      </c>
      <c r="AP8" s="84" t="str">
        <f>IMPRODUCT(AF8,IMDIV(AM8,IMPRODUCT(AG8,AJ8)))</f>
        <v>-0.00431064267254974+0.00038734800761929i</v>
      </c>
      <c r="AQ8" s="85">
        <f>20*LOG(IMABS(AP8))</f>
        <v>-47.27423299493389</v>
      </c>
      <c r="AR8" s="90">
        <f>(180/PI())*IMARGUMENT(AP8)</f>
        <v>174.86527613239861</v>
      </c>
      <c r="AS8" s="84" t="str">
        <f>IMPRODUCT(AC8,AP8)</f>
        <v>0.495631146221098+0.977546013185916i</v>
      </c>
      <c r="AT8" s="89">
        <f>20*LOG(IMABS(AS8))</f>
        <v>0.79632113970005114</v>
      </c>
      <c r="AU8" s="90">
        <f>(180/PI())*IMARGUMENT(AS8)</f>
        <v>63.114277473691821</v>
      </c>
    </row>
    <row r="9" spans="1:48" s="31" customFormat="1" x14ac:dyDescent="0.3">
      <c r="A9" s="69" t="s">
        <v>159</v>
      </c>
      <c r="B9" s="10"/>
      <c r="C9" s="10"/>
      <c r="D9" s="17"/>
      <c r="E9" s="35"/>
      <c r="F9" s="35"/>
      <c r="G9" s="35"/>
      <c r="H9" s="45"/>
      <c r="I9" s="45"/>
      <c r="J9" s="45"/>
      <c r="K9" s="35"/>
      <c r="L9" s="35"/>
      <c r="M9" s="25"/>
      <c r="N9" s="71" t="s">
        <v>255</v>
      </c>
      <c r="O9" s="91">
        <f>wz_rhp/(2*PI())</f>
        <v>98243.792032034165</v>
      </c>
      <c r="P9" s="72" t="str">
        <f t="shared" si="6"/>
        <v>51201.9230769231</v>
      </c>
      <c r="Q9" s="73" t="str">
        <f>IMSUM(COMPLEX(1,0),IMDIV(COMPLEX(0,2*PI()*O9),COMPLEX(wp_lf,0)))</f>
        <v>1+28846.1538461539i</v>
      </c>
      <c r="R9" s="73">
        <f t="shared" ref="R9:R13" si="12">IMABS(Q9)</f>
        <v>28846.15386348723</v>
      </c>
      <c r="S9" s="73">
        <f t="shared" ref="S9:S11" si="13">IMARGUMENT(Q9)</f>
        <v>1.5707616601282439</v>
      </c>
      <c r="T9" s="73" t="str">
        <f t="shared" ref="T9:T13" si="14">IMSUM(COMPLEX(1,0),IMDIV(COMPLEX(0,2*PI()*O9),COMPLEX(wz_esr,0)))</f>
        <v>1+1.85185185185185E-06i</v>
      </c>
      <c r="U9" s="73">
        <f t="shared" ref="U9:U13" si="15">IMABS(T9)</f>
        <v>1.0000000000017146</v>
      </c>
      <c r="V9" s="73">
        <f t="shared" ref="V9:V11" si="16">IMARGUMENT(T9)</f>
        <v>1.851851851849733E-6</v>
      </c>
      <c r="W9" s="74" t="str">
        <f t="shared" ref="W9:W13" si="17">IMSUB(COMPLEX(1,0),IMDIV(COMPLEX(0,2*PI()*O9),COMPLEX(wz_rhp,0)))</f>
        <v>1-i</v>
      </c>
      <c r="X9" s="73">
        <f t="shared" ref="X9:X13" si="18">IMABS(W9)</f>
        <v>1.4142135623730951</v>
      </c>
      <c r="Y9" s="73">
        <f t="shared" ref="Y9:Y11" si="19">IMARGUMENT(W9)</f>
        <v>-0.78539816339744828</v>
      </c>
      <c r="Z9" s="74" t="str">
        <f t="shared" ref="Z9:Z13" si="20">IMSUM(COMPLEX(1,0),IMDIV(COMPLEX(0,2*PI()*O9),COMPLEX(Q*(wsl/2),0)),IMDIV(IMPOWER(COMPLEX(0,2*PI()*O9),2),IMPOWER(COMPLEX(wsl/2,0),2)))</f>
        <v>-2.86073706913344+61.0236053955187i</v>
      </c>
      <c r="AA9" s="73">
        <f t="shared" ref="AA9:AA13" si="21">IMABS(Z9)</f>
        <v>61.090623110643527</v>
      </c>
      <c r="AB9" s="73">
        <f t="shared" ref="AB9:AB11" si="22">IMARGUMENT(Z9)</f>
        <v>1.617641218517595</v>
      </c>
      <c r="AC9" s="75" t="str">
        <f t="shared" ref="AC9:AC11" si="23">(IMDIV(IMPRODUCT(P9,T9,W9),IMPRODUCT(Q9,Z9)))</f>
        <v>-0.0276638411710161+0.030382900867265i</v>
      </c>
      <c r="AD9" s="76">
        <f t="shared" ref="AD9:AD13" si="24">20*LOG(IMABS(AC9))</f>
        <v>-27.725223997959031</v>
      </c>
      <c r="AE9" s="77">
        <f t="shared" ref="AE9:AE11" si="25">(180/PI())*IMARGUMENT(AC9)</f>
        <v>132.31807776952644</v>
      </c>
      <c r="AF9" s="74" t="str">
        <f t="shared" si="5"/>
        <v>-1.33333333333333E-06</v>
      </c>
      <c r="AG9" s="74" t="str">
        <f t="shared" ref="AG9:AG13" si="26">COMPLEX(0,2*PI()*O9*wp0_ea)</f>
        <v>0.617901234567901i</v>
      </c>
      <c r="AH9" s="74">
        <f t="shared" ref="AH9:AH13" si="27">IMABS(AG9)</f>
        <v>0.61790123456790103</v>
      </c>
      <c r="AI9" s="74">
        <f t="shared" ref="AI9:AI11" si="28">IMARGUMENT(AG9)</f>
        <v>1.5707963267948966</v>
      </c>
      <c r="AJ9" s="74" t="str">
        <f t="shared" ref="AJ9:AJ13" si="29">IMSUM(COMPLEX(1,0),IMDIV(COMPLEX(0,2*PI()*O9),COMPLEX(wp1_ea,0)))</f>
        <v>1+1.998001998002i</v>
      </c>
      <c r="AK9" s="74">
        <f t="shared" ref="AK9:AK13" si="30">IMABS(AJ9)</f>
        <v>2.2342810888560969</v>
      </c>
      <c r="AL9" s="74">
        <f t="shared" ref="AL9:AL11" si="31">IMARGUMENT(AJ9)</f>
        <v>1.1067487977994146</v>
      </c>
      <c r="AM9" s="74" t="str">
        <f t="shared" ref="AM9:AM13" si="32">IMSUM(COMPLEX(1,0),IMDIV(COMPLEX(0,2*PI()*O9),COMPLEX(wz_ea,0)))</f>
        <v>1+2000i</v>
      </c>
      <c r="AN9" s="74">
        <f t="shared" ref="AN9:AN13" si="33">IMABS(AM9)</f>
        <v>2000.0002499999844</v>
      </c>
      <c r="AO9" s="74">
        <f t="shared" ref="AO9:AO11" si="34">IMARGUMENT(AM9)</f>
        <v>1.5702963268365633</v>
      </c>
      <c r="AP9" s="71" t="str">
        <f t="shared" ref="AP9:AP11" si="35">IMPRODUCT(AF9,IMDIV(AM9,IMPRODUCT(AG9,AJ9)))</f>
        <v>-0.000863654365522912+0.00172774099005577i</v>
      </c>
      <c r="AQ9" s="74">
        <f t="shared" ref="AQ9:AQ13" si="36">20*LOG(IMABS(AP9))</f>
        <v>-54.281761720152161</v>
      </c>
      <c r="AR9" s="77">
        <f t="shared" ref="AR9:AR11" si="37">(180/PI())*IMARGUMENT(AP9)</f>
        <v>116.55931701754659</v>
      </c>
      <c r="AS9" s="71" t="str">
        <f t="shared" ref="AS9:AS11" si="38">IMPRODUCT(AC9,AP9)</f>
        <v>-0.0000286017860306942-0.0000740362773048202i</v>
      </c>
      <c r="AT9" s="76">
        <f t="shared" ref="AT9:AT13" si="39">20*LOG(IMABS(AS9))</f>
        <v>-82.006985718111181</v>
      </c>
      <c r="AU9" s="77">
        <f t="shared" ref="AU9:AU11" si="40">(180/PI())*IMARGUMENT(AS9)</f>
        <v>-111.12260521292694</v>
      </c>
    </row>
    <row r="10" spans="1:48" s="31" customFormat="1" x14ac:dyDescent="0.3">
      <c r="A10" s="31" t="s">
        <v>26</v>
      </c>
      <c r="B10" s="3">
        <f>VIN_min</f>
        <v>14</v>
      </c>
      <c r="C10" s="31" t="s">
        <v>11</v>
      </c>
      <c r="E10" s="31" t="s">
        <v>29</v>
      </c>
      <c r="N10" s="58" t="s">
        <v>208</v>
      </c>
      <c r="O10" s="92">
        <f>wz_esr/(2*PI())</f>
        <v>53051647697.298447</v>
      </c>
      <c r="P10" s="78" t="str">
        <f t="shared" si="6"/>
        <v>51201.9230769231</v>
      </c>
      <c r="Q10" s="79" t="str">
        <f t="shared" ref="Q10:Q13" si="41">IMSUM(COMPLEX(1,0),IMDIV(COMPLEX(0,2*PI()*O10),COMPLEX(wp_lf,0)))</f>
        <v>1+15576923076.9231i</v>
      </c>
      <c r="R10" s="79">
        <f t="shared" si="12"/>
        <v>15576923076.9231</v>
      </c>
      <c r="S10" s="79">
        <f t="shared" si="13"/>
        <v>1.570796326730699</v>
      </c>
      <c r="T10" s="79" t="str">
        <f t="shared" si="14"/>
        <v>1+i</v>
      </c>
      <c r="U10" s="79">
        <f t="shared" si="15"/>
        <v>1.4142135623730951</v>
      </c>
      <c r="V10" s="79">
        <f t="shared" si="16"/>
        <v>0.78539816339744828</v>
      </c>
      <c r="W10" s="49" t="str">
        <f t="shared" si="17"/>
        <v>1-539999.999999999i</v>
      </c>
      <c r="X10" s="79">
        <f t="shared" si="18"/>
        <v>540000.0000009248</v>
      </c>
      <c r="Y10" s="79">
        <f t="shared" si="19"/>
        <v>-1.5707944749430447</v>
      </c>
      <c r="Z10" s="49" t="str">
        <f t="shared" si="20"/>
        <v>-1125790929358.31+32952746.913718i</v>
      </c>
      <c r="AA10" s="79">
        <f t="shared" si="21"/>
        <v>1125790929840.5859</v>
      </c>
      <c r="AB10" s="79">
        <f t="shared" si="22"/>
        <v>3.1415633828379645</v>
      </c>
      <c r="AC10" s="66" t="str">
        <f t="shared" si="23"/>
        <v>1.57662023148405E-12+1.57671837179415E-12i</v>
      </c>
      <c r="AD10" s="64">
        <f t="shared" si="24"/>
        <v>-233.03488780268441</v>
      </c>
      <c r="AE10" s="61">
        <f t="shared" si="25"/>
        <v>45.001783197516808</v>
      </c>
      <c r="AF10" s="49" t="str">
        <f t="shared" si="5"/>
        <v>-1.33333333333333E-06</v>
      </c>
      <c r="AG10" s="49" t="str">
        <f t="shared" si="26"/>
        <v>333666.666666667i</v>
      </c>
      <c r="AH10" s="49">
        <f t="shared" si="27"/>
        <v>333666.66666666698</v>
      </c>
      <c r="AI10" s="49">
        <f t="shared" si="28"/>
        <v>1.5707963267948966</v>
      </c>
      <c r="AJ10" s="49" t="str">
        <f t="shared" si="29"/>
        <v>1+1078921.07892108i</v>
      </c>
      <c r="AK10" s="49">
        <f t="shared" si="30"/>
        <v>1078921.0789215434</v>
      </c>
      <c r="AL10" s="49">
        <f t="shared" si="31"/>
        <v>1.5707953999430448</v>
      </c>
      <c r="AM10" s="49" t="str">
        <f t="shared" si="32"/>
        <v>1+1080000000i</v>
      </c>
      <c r="AN10" s="49">
        <f t="shared" si="33"/>
        <v>1080000000</v>
      </c>
      <c r="AO10" s="49">
        <f t="shared" si="34"/>
        <v>1.5707963258689708</v>
      </c>
      <c r="AP10" s="58" t="str">
        <f t="shared" si="35"/>
        <v>-3.7037037037005E-15+3.99999999999655E-09i</v>
      </c>
      <c r="AQ10" s="49">
        <f t="shared" si="36"/>
        <v>-167.9588001734445</v>
      </c>
      <c r="AR10" s="61">
        <f t="shared" si="37"/>
        <v>90.000053051647697</v>
      </c>
      <c r="AS10" s="58" t="str">
        <f t="shared" si="38"/>
        <v>-6.30687932650535E-21+6.30647508623309E-21i</v>
      </c>
      <c r="AT10" s="64">
        <f t="shared" si="39"/>
        <v>-400.99368797612897</v>
      </c>
      <c r="AU10" s="61">
        <f t="shared" si="40"/>
        <v>135.00183624916448</v>
      </c>
    </row>
    <row r="11" spans="1:48" s="31" customFormat="1" ht="15" thickBot="1" x14ac:dyDescent="0.35">
      <c r="A11" s="31" t="s">
        <v>27</v>
      </c>
      <c r="B11" s="3">
        <f>VIN_nom</f>
        <v>15</v>
      </c>
      <c r="C11" s="31" t="s">
        <v>11</v>
      </c>
      <c r="E11" s="31" t="s">
        <v>30</v>
      </c>
      <c r="N11" s="62" t="s">
        <v>206</v>
      </c>
      <c r="O11" s="93">
        <f>wp_lf/(2*PI())</f>
        <v>3.4057847904438514</v>
      </c>
      <c r="P11" s="80" t="str">
        <f t="shared" si="6"/>
        <v>51201.9230769231</v>
      </c>
      <c r="Q11" s="54" t="str">
        <f t="shared" si="41"/>
        <v>1+i</v>
      </c>
      <c r="R11" s="54">
        <f t="shared" si="12"/>
        <v>1.4142135623730951</v>
      </c>
      <c r="S11" s="54">
        <f t="shared" si="13"/>
        <v>0.78539816339744828</v>
      </c>
      <c r="T11" s="54" t="str">
        <f t="shared" si="14"/>
        <v>1+6.41975308641976E-11i</v>
      </c>
      <c r="U11" s="54">
        <f t="shared" si="15"/>
        <v>1</v>
      </c>
      <c r="V11" s="54">
        <f t="shared" si="16"/>
        <v>6.4197530864197595E-11</v>
      </c>
      <c r="W11" s="55" t="str">
        <f t="shared" si="17"/>
        <v>1-0.0000346666666666666i</v>
      </c>
      <c r="X11" s="54">
        <f t="shared" si="18"/>
        <v>1.0000000006008889</v>
      </c>
      <c r="Y11" s="54">
        <f t="shared" si="19"/>
        <v>-3.466666665277939E-5</v>
      </c>
      <c r="Z11" s="55" t="str">
        <f t="shared" si="20"/>
        <v>0.999999995360252+0.00211548498704465i</v>
      </c>
      <c r="AA11" s="54">
        <f t="shared" si="21"/>
        <v>1.000002232996124</v>
      </c>
      <c r="AB11" s="54">
        <f t="shared" si="22"/>
        <v>2.1154818410748185E-3</v>
      </c>
      <c r="AC11" s="59" t="str">
        <f t="shared" si="23"/>
        <v>25545.7995065792-25655.8909111932i</v>
      </c>
      <c r="AD11" s="65">
        <f t="shared" si="24"/>
        <v>91.175406109283088</v>
      </c>
      <c r="AE11" s="63">
        <f t="shared" si="25"/>
        <v>-45.123194431141052</v>
      </c>
      <c r="AF11" s="55" t="str">
        <f t="shared" si="5"/>
        <v>-1.33333333333333E-06</v>
      </c>
      <c r="AG11" s="55" t="str">
        <f t="shared" si="26"/>
        <v>0.0000214205761316873i</v>
      </c>
      <c r="AH11" s="55">
        <f t="shared" si="27"/>
        <v>2.1420576131687301E-5</v>
      </c>
      <c r="AI11" s="55">
        <f t="shared" si="28"/>
        <v>1.5707963267948966</v>
      </c>
      <c r="AJ11" s="55" t="str">
        <f t="shared" si="29"/>
        <v>1+0.0000692640692640691i</v>
      </c>
      <c r="AK11" s="55">
        <f t="shared" si="30"/>
        <v>1.0000000023987556</v>
      </c>
      <c r="AL11" s="55">
        <f t="shared" si="31"/>
        <v>6.9264069153304048E-5</v>
      </c>
      <c r="AM11" s="55" t="str">
        <f t="shared" si="32"/>
        <v>1+0.0693333333333333i</v>
      </c>
      <c r="AN11" s="55">
        <f t="shared" si="33"/>
        <v>1.0024006739378777</v>
      </c>
      <c r="AO11" s="55">
        <f t="shared" si="34"/>
        <v>6.9222554993487867E-2</v>
      </c>
      <c r="AP11" s="62" t="str">
        <f t="shared" si="35"/>
        <v>-0.0043113729220577+0.0622457454840638i</v>
      </c>
      <c r="AQ11" s="55">
        <f t="shared" si="36"/>
        <v>-24.097021239530921</v>
      </c>
      <c r="AR11" s="63">
        <f t="shared" si="37"/>
        <v>93.962191709404721</v>
      </c>
      <c r="AS11" s="62" t="str">
        <f t="shared" si="38"/>
        <v>1486.83258756006+1700.72944763924i</v>
      </c>
      <c r="AT11" s="65">
        <f t="shared" si="39"/>
        <v>67.078384869752185</v>
      </c>
      <c r="AU11" s="63">
        <f t="shared" si="40"/>
        <v>48.838997278263697</v>
      </c>
    </row>
    <row r="12" spans="1:48" s="31" customFormat="1" x14ac:dyDescent="0.3">
      <c r="A12" s="31" t="s">
        <v>28</v>
      </c>
      <c r="B12" s="3">
        <f>VIN_max</f>
        <v>16.8</v>
      </c>
      <c r="C12" s="31" t="s">
        <v>11</v>
      </c>
      <c r="E12" s="31" t="s">
        <v>31</v>
      </c>
      <c r="N12" s="71" t="s">
        <v>217</v>
      </c>
      <c r="O12" s="77">
        <f>wz_ea/(2*PI())</f>
        <v>49.121896016017075</v>
      </c>
      <c r="P12" s="72" t="str">
        <f t="shared" si="6"/>
        <v>51201.9230769231</v>
      </c>
      <c r="Q12" s="73" t="str">
        <f t="shared" si="41"/>
        <v>1+14.4230769230769i</v>
      </c>
      <c r="R12" s="73">
        <f t="shared" si="12"/>
        <v>14.457702027950136</v>
      </c>
      <c r="S12" s="73">
        <f t="shared" ref="S12:S13" si="42">IMARGUMENT(Q12)</f>
        <v>1.5015737718014086</v>
      </c>
      <c r="T12" s="73" t="str">
        <f t="shared" si="14"/>
        <v>1+9.25925925925927E-10i</v>
      </c>
      <c r="U12" s="73">
        <f t="shared" si="15"/>
        <v>1</v>
      </c>
      <c r="V12" s="73">
        <f t="shared" ref="V12:V13" si="43">IMARGUMENT(T12)</f>
        <v>9.2592592592592703E-10</v>
      </c>
      <c r="W12" s="74" t="str">
        <f t="shared" si="17"/>
        <v>1-0.0005i</v>
      </c>
      <c r="X12" s="73">
        <f t="shared" si="18"/>
        <v>1.0000001249999921</v>
      </c>
      <c r="Y12" s="73">
        <f t="shared" ref="Y12:Y13" si="44">IMARGUMENT(W12)</f>
        <v>-4.9999995833333955E-4</v>
      </c>
      <c r="Z12" s="74" t="str">
        <f t="shared" si="20"/>
        <v>0.999999034815733+0.0305118026977594i</v>
      </c>
      <c r="AA12" s="73">
        <f t="shared" si="21"/>
        <v>1.0004644120288662</v>
      </c>
      <c r="AB12" s="73">
        <f t="shared" ref="AB12:AB13" si="45">IMARGUMENT(Z12)</f>
        <v>3.0502368879966948E-2</v>
      </c>
      <c r="AC12" s="75" t="str">
        <f t="shared" ref="AC12:AC13" si="46">(IMDIV(IMPRODUCT(P12,T12,W12),IMPRODUCT(Q12,Z12)))</f>
        <v>135.260964840487-3537.26934528453i</v>
      </c>
      <c r="AD12" s="76">
        <f t="shared" si="24"/>
        <v>70.97970825214415</v>
      </c>
      <c r="AE12" s="77">
        <f t="shared" ref="AE12:AE13" si="47">(180/PI())*IMARGUMENT(AC12)</f>
        <v>-87.810144588051756</v>
      </c>
      <c r="AF12" s="74" t="str">
        <f t="shared" si="5"/>
        <v>-1.33333333333333E-06</v>
      </c>
      <c r="AG12" s="74" t="str">
        <f t="shared" si="26"/>
        <v>0.000308950617283951i</v>
      </c>
      <c r="AH12" s="74">
        <f t="shared" si="27"/>
        <v>3.0895061728395101E-4</v>
      </c>
      <c r="AI12" s="74">
        <f t="shared" ref="AI12:AI13" si="48">IMARGUMENT(AG12)</f>
        <v>1.5707963267948966</v>
      </c>
      <c r="AJ12" s="74" t="str">
        <f t="shared" si="29"/>
        <v>1+0.000999000999000998i</v>
      </c>
      <c r="AK12" s="74">
        <f t="shared" si="30"/>
        <v>1.0000004990013736</v>
      </c>
      <c r="AL12" s="74">
        <f t="shared" ref="AL12:AL13" si="49">IMARGUMENT(AJ12)</f>
        <v>9.9900066666586693E-4</v>
      </c>
      <c r="AM12" s="74" t="str">
        <f t="shared" si="32"/>
        <v>1+i</v>
      </c>
      <c r="AN12" s="74">
        <f t="shared" si="33"/>
        <v>1.4142135623730951</v>
      </c>
      <c r="AO12" s="74">
        <f t="shared" ref="AO12:AO13" si="50">IMARGUMENT(AM12)</f>
        <v>0.78539816339744828</v>
      </c>
      <c r="AP12" s="71" t="str">
        <f t="shared" ref="AP12:AP13" si="51">IMPRODUCT(AF12,IMDIV(AM12,IMPRODUCT(AG12,AJ12)))</f>
        <v>-0.00431136863998274+0.00431999137726271i</v>
      </c>
      <c r="AQ12" s="74">
        <f t="shared" si="36"/>
        <v>-44.288710990918119</v>
      </c>
      <c r="AR12" s="77">
        <f t="shared" ref="AR12:AR13" si="52">(180/PI())*IMARGUMENT(AP12)</f>
        <v>134.94276147806926</v>
      </c>
      <c r="AS12" s="71" t="str">
        <f t="shared" ref="AS12:AS13" si="53">IMPRODUCT(AC12,AP12)</f>
        <v>14.6978131886578+15.8347983282231i</v>
      </c>
      <c r="AT12" s="76">
        <f t="shared" si="39"/>
        <v>26.690997261226016</v>
      </c>
      <c r="AU12" s="77">
        <f t="shared" ref="AU12:AU13" si="54">(180/PI())*IMARGUMENT(AS12)</f>
        <v>47.132616890017438</v>
      </c>
    </row>
    <row r="13" spans="1:48" s="31" customFormat="1" ht="15" thickBot="1" x14ac:dyDescent="0.35">
      <c r="A13" s="31" t="s">
        <v>60</v>
      </c>
      <c r="B13" s="3">
        <f>Fsw</f>
        <v>100000</v>
      </c>
      <c r="C13" s="31" t="s">
        <v>61</v>
      </c>
      <c r="E13" s="31" t="s">
        <v>62</v>
      </c>
      <c r="N13" s="62" t="s">
        <v>223</v>
      </c>
      <c r="O13" s="63">
        <f>wp1_ea/(2*PI())</f>
        <v>49171.017912033101</v>
      </c>
      <c r="P13" s="80" t="str">
        <f t="shared" si="6"/>
        <v>51201.9230769231</v>
      </c>
      <c r="Q13" s="54" t="str">
        <f t="shared" si="41"/>
        <v>1+14437.5i</v>
      </c>
      <c r="R13" s="54">
        <f t="shared" si="12"/>
        <v>14437.500034632034</v>
      </c>
      <c r="S13" s="54">
        <f t="shared" si="42"/>
        <v>1.5707270627257433</v>
      </c>
      <c r="T13" s="54" t="str">
        <f t="shared" si="14"/>
        <v>1+9.26851851851854E-07i</v>
      </c>
      <c r="U13" s="54">
        <f t="shared" si="15"/>
        <v>1.0000000000004294</v>
      </c>
      <c r="V13" s="54">
        <f t="shared" si="43"/>
        <v>9.2685185185158851E-7</v>
      </c>
      <c r="W13" s="55" t="str">
        <f t="shared" si="17"/>
        <v>1-0.500500000000001i</v>
      </c>
      <c r="X13" s="54">
        <f t="shared" si="18"/>
        <v>1.1182576849724759</v>
      </c>
      <c r="Y13" s="54">
        <f t="shared" si="44"/>
        <v>-0.46404752899548324</v>
      </c>
      <c r="Z13" s="55" t="str">
        <f t="shared" si="20"/>
        <v>0.032884398997804+30.5423145004572i</v>
      </c>
      <c r="AA13" s="54">
        <f t="shared" si="21"/>
        <v>30.54233220349316</v>
      </c>
      <c r="AB13" s="54">
        <f t="shared" si="45"/>
        <v>1.5697196439426433</v>
      </c>
      <c r="AC13" s="59" t="str">
        <f t="shared" si="46"/>
        <v>-0.116182578410929+0.0579828509145557i</v>
      </c>
      <c r="AD13" s="65">
        <f t="shared" si="24"/>
        <v>-17.73132061211647</v>
      </c>
      <c r="AE13" s="63">
        <f t="shared" si="47"/>
        <v>153.4777461219262</v>
      </c>
      <c r="AF13" s="55" t="str">
        <f t="shared" si="5"/>
        <v>-1.33333333333333E-06</v>
      </c>
      <c r="AG13" s="55" t="str">
        <f t="shared" si="26"/>
        <v>0.309259567901235i</v>
      </c>
      <c r="AH13" s="55">
        <f t="shared" si="27"/>
        <v>0.30925956790123499</v>
      </c>
      <c r="AI13" s="55">
        <f t="shared" si="48"/>
        <v>1.5707963267948966</v>
      </c>
      <c r="AJ13" s="55" t="str">
        <f t="shared" si="29"/>
        <v>1+i</v>
      </c>
      <c r="AK13" s="55">
        <f t="shared" si="30"/>
        <v>1.4142135623730951</v>
      </c>
      <c r="AL13" s="55">
        <f t="shared" si="49"/>
        <v>0.78539816339744828</v>
      </c>
      <c r="AM13" s="55" t="str">
        <f t="shared" si="32"/>
        <v>1+1001i</v>
      </c>
      <c r="AN13" s="55">
        <f t="shared" si="33"/>
        <v>1001.0004995003749</v>
      </c>
      <c r="AO13" s="55">
        <f t="shared" si="50"/>
        <v>1.5697973261282308</v>
      </c>
      <c r="AP13" s="62" t="str">
        <f t="shared" si="51"/>
        <v>-0.00215568647137078+0.00215999784431351i</v>
      </c>
      <c r="AQ13" s="55">
        <f t="shared" si="36"/>
        <v>-50.309302235658215</v>
      </c>
      <c r="AR13" s="63">
        <f t="shared" si="52"/>
        <v>134.94276147806943</v>
      </c>
      <c r="AS13" s="62" t="str">
        <f t="shared" si="53"/>
        <v>0.000125210379506823-0.000375946966202409i</v>
      </c>
      <c r="AT13" s="65">
        <f t="shared" si="39"/>
        <v>-68.040622847774671</v>
      </c>
      <c r="AU13" s="63">
        <f t="shared" si="54"/>
        <v>-71.579492400004327</v>
      </c>
    </row>
    <row r="14" spans="1:48" s="31" customFormat="1" x14ac:dyDescent="0.3">
      <c r="B14" s="26"/>
      <c r="O14" s="50"/>
    </row>
    <row r="15" spans="1:48" ht="15" thickBot="1" x14ac:dyDescent="0.35">
      <c r="A15" s="68" t="s">
        <v>216</v>
      </c>
      <c r="N15" s="31"/>
      <c r="O15" s="50" t="s">
        <v>185</v>
      </c>
      <c r="P15" s="31">
        <f>B16</f>
        <v>15</v>
      </c>
      <c r="Q15" s="31" t="s">
        <v>11</v>
      </c>
      <c r="R15" s="31"/>
      <c r="S15" s="31"/>
      <c r="T15" s="31"/>
      <c r="U15" s="31"/>
      <c r="V15" s="31"/>
      <c r="W15" s="31"/>
      <c r="X15" s="31"/>
      <c r="Y15" s="31"/>
      <c r="Z15" s="31"/>
      <c r="AA15" s="31"/>
      <c r="AB15" s="31"/>
      <c r="AD15" s="31"/>
      <c r="AE15" s="31"/>
      <c r="AF15" s="31"/>
      <c r="AG15" s="31"/>
      <c r="AH15" s="31"/>
      <c r="AI15" s="31"/>
      <c r="AJ15" s="31"/>
      <c r="AK15" s="31"/>
      <c r="AL15" s="31"/>
      <c r="AM15" s="31"/>
      <c r="AN15" s="31"/>
      <c r="AO15" s="31"/>
      <c r="AQ15" s="31"/>
      <c r="AR15" s="31"/>
      <c r="AT15" s="31"/>
      <c r="AU15" s="31"/>
      <c r="AV15" s="31"/>
    </row>
    <row r="16" spans="1:48" ht="15" thickBot="1" x14ac:dyDescent="0.35">
      <c r="A16" t="s">
        <v>187</v>
      </c>
      <c r="B16" s="43">
        <f>VIN_var</f>
        <v>15</v>
      </c>
      <c r="C16" t="s">
        <v>11</v>
      </c>
      <c r="E16" t="s">
        <v>188</v>
      </c>
      <c r="F16" s="31"/>
      <c r="G16" s="31"/>
      <c r="N16" s="31"/>
      <c r="O16" s="67"/>
      <c r="P16" s="285" t="s">
        <v>214</v>
      </c>
      <c r="Q16" s="285"/>
      <c r="R16" s="285"/>
      <c r="S16" s="285"/>
      <c r="T16" s="285"/>
      <c r="U16" s="285"/>
      <c r="V16" s="285"/>
      <c r="W16" s="285"/>
      <c r="X16" s="285"/>
      <c r="Y16" s="285"/>
      <c r="Z16" s="285"/>
      <c r="AA16" s="285"/>
      <c r="AB16" s="285"/>
      <c r="AC16" s="285"/>
      <c r="AD16" s="285"/>
      <c r="AE16" s="286"/>
      <c r="AF16" s="287" t="s">
        <v>215</v>
      </c>
      <c r="AG16" s="285"/>
      <c r="AH16" s="285"/>
      <c r="AI16" s="285"/>
      <c r="AJ16" s="285"/>
      <c r="AK16" s="285"/>
      <c r="AL16" s="285"/>
      <c r="AM16" s="285"/>
      <c r="AN16" s="285"/>
      <c r="AO16" s="285"/>
      <c r="AP16" s="285"/>
      <c r="AQ16" s="285"/>
      <c r="AR16" s="286"/>
      <c r="AS16" s="287" t="s">
        <v>226</v>
      </c>
      <c r="AT16" s="285"/>
      <c r="AU16" s="286"/>
      <c r="AV16" s="31"/>
    </row>
    <row r="17" spans="1:48" x14ac:dyDescent="0.3">
      <c r="A17" t="s">
        <v>501</v>
      </c>
      <c r="B17" s="43">
        <f>POUT_Total</f>
        <v>7.5</v>
      </c>
      <c r="C17" t="s">
        <v>36</v>
      </c>
      <c r="E17" t="s">
        <v>502</v>
      </c>
      <c r="N17" s="31"/>
      <c r="O17" s="52"/>
      <c r="P17" s="49"/>
      <c r="Q17" s="288" t="s">
        <v>206</v>
      </c>
      <c r="R17" s="288"/>
      <c r="S17" s="288"/>
      <c r="T17" s="289" t="s">
        <v>208</v>
      </c>
      <c r="U17" s="289"/>
      <c r="V17" s="289"/>
      <c r="W17" s="289" t="s">
        <v>208</v>
      </c>
      <c r="X17" s="289"/>
      <c r="Y17" s="289"/>
      <c r="Z17" s="289" t="s">
        <v>211</v>
      </c>
      <c r="AA17" s="289"/>
      <c r="AB17" s="289"/>
      <c r="AC17" s="290" t="s">
        <v>213</v>
      </c>
      <c r="AD17" s="289"/>
      <c r="AE17" s="291"/>
      <c r="AF17" s="49"/>
      <c r="AG17" s="289" t="s">
        <v>222</v>
      </c>
      <c r="AH17" s="289"/>
      <c r="AI17" s="289"/>
      <c r="AJ17" s="289" t="s">
        <v>223</v>
      </c>
      <c r="AK17" s="289"/>
      <c r="AL17" s="289"/>
      <c r="AM17" s="289" t="s">
        <v>217</v>
      </c>
      <c r="AN17" s="289"/>
      <c r="AO17" s="289"/>
      <c r="AP17" s="290" t="s">
        <v>213</v>
      </c>
      <c r="AQ17" s="289"/>
      <c r="AR17" s="291"/>
      <c r="AS17" s="290" t="s">
        <v>213</v>
      </c>
      <c r="AT17" s="289"/>
      <c r="AU17" s="291"/>
      <c r="AV17" s="31"/>
    </row>
    <row r="18" spans="1:48" ht="15" thickBot="1" x14ac:dyDescent="0.35">
      <c r="A18" t="s">
        <v>503</v>
      </c>
      <c r="B18" s="1">
        <f>Cout_total</f>
        <v>2.9999999999999999E-7</v>
      </c>
      <c r="C18" t="s">
        <v>151</v>
      </c>
      <c r="N18" s="10"/>
      <c r="O18" s="53" t="s">
        <v>184</v>
      </c>
      <c r="P18" s="54" t="s">
        <v>189</v>
      </c>
      <c r="Q18" s="55" t="s">
        <v>212</v>
      </c>
      <c r="R18" s="54" t="s">
        <v>209</v>
      </c>
      <c r="S18" s="54" t="s">
        <v>210</v>
      </c>
      <c r="T18" s="54" t="s">
        <v>212</v>
      </c>
      <c r="U18" s="54" t="s">
        <v>209</v>
      </c>
      <c r="V18" s="54" t="s">
        <v>210</v>
      </c>
      <c r="W18" s="56" t="s">
        <v>212</v>
      </c>
      <c r="X18" s="54" t="s">
        <v>209</v>
      </c>
      <c r="Y18" s="54" t="s">
        <v>210</v>
      </c>
      <c r="Z18" s="56" t="s">
        <v>212</v>
      </c>
      <c r="AA18" s="56" t="s">
        <v>209</v>
      </c>
      <c r="AB18" s="56" t="s">
        <v>210</v>
      </c>
      <c r="AC18" s="60" t="s">
        <v>227</v>
      </c>
      <c r="AD18" s="56" t="s">
        <v>209</v>
      </c>
      <c r="AE18" s="57" t="s">
        <v>210</v>
      </c>
      <c r="AF18" s="54" t="s">
        <v>224</v>
      </c>
      <c r="AG18" s="56" t="s">
        <v>212</v>
      </c>
      <c r="AH18" s="56" t="s">
        <v>225</v>
      </c>
      <c r="AI18" s="56" t="s">
        <v>210</v>
      </c>
      <c r="AJ18" s="56" t="s">
        <v>212</v>
      </c>
      <c r="AK18" s="56" t="s">
        <v>225</v>
      </c>
      <c r="AL18" s="56" t="s">
        <v>210</v>
      </c>
      <c r="AM18" s="56" t="s">
        <v>212</v>
      </c>
      <c r="AN18" s="56" t="s">
        <v>225</v>
      </c>
      <c r="AO18" s="56" t="s">
        <v>210</v>
      </c>
      <c r="AP18" s="60" t="s">
        <v>227</v>
      </c>
      <c r="AQ18" s="56" t="s">
        <v>209</v>
      </c>
      <c r="AR18" s="57" t="s">
        <v>210</v>
      </c>
      <c r="AS18" s="60" t="s">
        <v>227</v>
      </c>
      <c r="AT18" s="56" t="s">
        <v>209</v>
      </c>
      <c r="AU18" s="57" t="s">
        <v>210</v>
      </c>
      <c r="AV18" s="31"/>
    </row>
    <row r="19" spans="1:48" x14ac:dyDescent="0.3">
      <c r="A19" t="s">
        <v>491</v>
      </c>
      <c r="B19" s="1">
        <f>Resr_total</f>
        <v>1.0000000000000001E-5</v>
      </c>
      <c r="C19" s="2" t="s">
        <v>35</v>
      </c>
      <c r="N19" s="10">
        <v>1</v>
      </c>
      <c r="O19" s="50">
        <f>10^(1+(N19/100))</f>
        <v>10.232929922807543</v>
      </c>
      <c r="P19" s="48" t="str">
        <f t="shared" ref="P19:P82" si="55">COMPLEX(Adc,0)</f>
        <v>51201.9230769231</v>
      </c>
      <c r="Q19" s="17" t="str">
        <f t="shared" ref="Q19:Q82" si="56">IMSUM(COMPLEX(1,0),IMDIV(COMPLEX(0,2*PI()*O19),COMPLEX(wp_lf,0)))</f>
        <v>1+3.00457326356019i</v>
      </c>
      <c r="R19" s="17">
        <f>IMABS(Q19)</f>
        <v>3.1666165691634864</v>
      </c>
      <c r="S19" s="17">
        <f>IMARGUMENT(Q19)</f>
        <v>1.2495024721399919</v>
      </c>
      <c r="T19" s="17" t="str">
        <f t="shared" ref="T19:T82" si="57">IMSUM(COMPLEX(1,0),IMDIV(COMPLEX(0,2*PI()*O19),COMPLEX(wz_esr,0)))</f>
        <v>1+1.92886184821148E-10i</v>
      </c>
      <c r="U19" s="17">
        <f>IMABS(T19)</f>
        <v>1</v>
      </c>
      <c r="V19" s="17">
        <f>IMARGUMENT(T19)</f>
        <v>1.92886184821148E-10</v>
      </c>
      <c r="W19" s="31" t="str">
        <f t="shared" ref="W19:W82" si="58">IMSUB(COMPLEX(1,0),IMDIV(COMPLEX(0,2*PI()*O19),COMPLEX(wz_rhp,0)))</f>
        <v>1-0.00010415853980342i</v>
      </c>
      <c r="X19" s="17">
        <f>IMABS(W19)</f>
        <v>1.0000000054245006</v>
      </c>
      <c r="Y19" s="17">
        <f>IMARGUMENT(W19)</f>
        <v>-1.0415853942674795E-4</v>
      </c>
      <c r="Z19" s="31" t="str">
        <f t="shared" ref="Z19:Z82" si="59">IMSUM(COMPLEX(1,0),IMDIV(COMPLEX(0,2*PI()*O19),COMPLEX(Q*(wsl/2),0)),IMDIV(IMPOWER(COMPLEX(0,2*PI()*O19),2),IMPOWER(COMPLEX(wsl/2,0),2)))</f>
        <v>0.999999958114858+0.00635612963153733i</v>
      </c>
      <c r="AA19" s="17">
        <f>IMABS(Z19)</f>
        <v>1.0000201581036308</v>
      </c>
      <c r="AB19" s="17">
        <f>IMARGUMENT(Z19)</f>
        <v>6.3560443031364065E-3</v>
      </c>
      <c r="AC19" s="66" t="str">
        <f>(IMDIV(IMPRODUCT(P19,T19,W19),IMPRODUCT(Q19,Z19)))</f>
        <v>5006.8522008621-15374.2200898537i</v>
      </c>
      <c r="AD19" s="64">
        <f>20*LOG(IMABS(AC19))</f>
        <v>84.17364081682959</v>
      </c>
      <c r="AE19" s="61">
        <f>(180/PI())*IMARGUMENT(AC19)</f>
        <v>-71.961360491409962</v>
      </c>
      <c r="AF19" s="31" t="str">
        <f t="shared" ref="AF19:AF82" si="60">COMPLEX(Adc_ea,0)</f>
        <v>-1.33333333333333E-06</v>
      </c>
      <c r="AG19" s="31" t="str">
        <f t="shared" ref="AG19:AG82" si="61">COMPLEX(0,2*PI()*O19*wp0_ea)</f>
        <v>0.0000643596903353231i</v>
      </c>
      <c r="AH19" s="31">
        <f>IMABS(AG19)</f>
        <v>6.4359690335323097E-5</v>
      </c>
      <c r="AI19" s="31">
        <f>IMARGUMENT(AG19)</f>
        <v>1.5707963267948966</v>
      </c>
      <c r="AJ19" s="31" t="str">
        <f t="shared" ref="AJ19:AJ82" si="62">IMSUM(COMPLEX(1,0),IMDIV(COMPLEX(0,2*PI()*O19),COMPLEX(wp1_ea,0)))</f>
        <v>1+0.000208108970636203i</v>
      </c>
      <c r="AK19" s="31">
        <f>IMABS(AJ19)</f>
        <v>1.0000000216546716</v>
      </c>
      <c r="AL19" s="31">
        <f>IMARGUMENT(AJ19)</f>
        <v>2.0810896763184879E-4</v>
      </c>
      <c r="AM19" s="31" t="str">
        <f t="shared" ref="AM19:AM82" si="63">IMSUM(COMPLEX(1,0),IMDIV(COMPLEX(0,2*PI()*O19),COMPLEX(wz_ea,0)))</f>
        <v>1+0.20831707960684i</v>
      </c>
      <c r="AN19" s="31">
        <f>IMABS(AM19)</f>
        <v>1.0214675744515449</v>
      </c>
      <c r="AO19" s="31">
        <f>IMARGUMENT(AM19)</f>
        <v>0.20537981152447154</v>
      </c>
      <c r="AP19" s="58" t="str">
        <f>IMPRODUCT(AF19,IMDIV(AM19,IMPRODUCT(AG19,AJ19)))</f>
        <v>-0.00431137275601884+0.0207177982394759i</v>
      </c>
      <c r="AQ19" s="49">
        <f>20*LOG(IMABS(AP19))</f>
        <v>-33.48901267450325</v>
      </c>
      <c r="AR19" s="61">
        <f>(180/PI())*IMARGUMENT(AP19)</f>
        <v>101.75547263202043</v>
      </c>
      <c r="AS19" s="58" t="str">
        <f>IMPRODUCT(AC19,AP19)</f>
        <v>296.933583738676+170.01494735277i</v>
      </c>
      <c r="AT19" s="64">
        <f>20*LOG(IMABS(AS19))</f>
        <v>50.684628142326332</v>
      </c>
      <c r="AU19" s="61">
        <f>(180/PI())*IMARGUMENT(AS19)</f>
        <v>29.794112140610547</v>
      </c>
      <c r="AV19" s="31"/>
    </row>
    <row r="20" spans="1:48" x14ac:dyDescent="0.3">
      <c r="N20" s="10">
        <v>2</v>
      </c>
      <c r="O20" s="50">
        <f t="shared" ref="O20:O83" si="64">10^(1+(N20/100))</f>
        <v>10.471285480509</v>
      </c>
      <c r="P20" s="48" t="str">
        <f t="shared" si="55"/>
        <v>51201.9230769231</v>
      </c>
      <c r="Q20" s="17" t="str">
        <f t="shared" si="56"/>
        <v>1+3.07455876539526i</v>
      </c>
      <c r="R20" s="17">
        <f t="shared" ref="R20:R83" si="65">IMABS(Q20)</f>
        <v>3.2330962871323252</v>
      </c>
      <c r="S20" s="17">
        <f t="shared" ref="S20:S83" si="66">IMARGUMENT(Q20)</f>
        <v>1.2563383980148</v>
      </c>
      <c r="T20" s="17" t="str">
        <f t="shared" si="57"/>
        <v>1+1.97379081235251E-10i</v>
      </c>
      <c r="U20" s="17">
        <f t="shared" ref="U20:U83" si="67">IMABS(T20)</f>
        <v>1</v>
      </c>
      <c r="V20" s="17">
        <f t="shared" ref="V20:V83" si="68">IMARGUMENT(T20)</f>
        <v>1.9737908123525099E-10</v>
      </c>
      <c r="W20" s="31" t="str">
        <f t="shared" si="58"/>
        <v>1-0.000106584703867036i</v>
      </c>
      <c r="X20" s="17">
        <f t="shared" ref="X20:X83" si="69">IMABS(W20)</f>
        <v>1.0000000056801495</v>
      </c>
      <c r="Y20" s="17">
        <f t="shared" ref="Y20:Y83" si="70">IMARGUMENT(W20)</f>
        <v>-1.0658470346342462E-4</v>
      </c>
      <c r="Z20" s="31" t="str">
        <f t="shared" si="59"/>
        <v>0.999999956140872+0.00650418290998021i</v>
      </c>
      <c r="AA20" s="17">
        <f t="shared" ref="AA20:AA83" si="71">IMABS(Z20)</f>
        <v>1.0000211081157599</v>
      </c>
      <c r="AB20" s="17">
        <f t="shared" ref="AB20:AB83" si="72">IMARGUMENT(Z20)</f>
        <v>6.5040914790555661E-3</v>
      </c>
      <c r="AC20" s="66" t="str">
        <f t="shared" ref="AC20:AC83" si="73">(IMDIV(IMPRODUCT(P20,T20,W20),IMPRODUCT(Q20,Z20)))</f>
        <v>4798.57485967763-15091.9701116586i</v>
      </c>
      <c r="AD20" s="64">
        <f t="shared" ref="AD20:AD83" si="74">20*LOG(IMABS(AC20))</f>
        <v>83.993169388028562</v>
      </c>
      <c r="AE20" s="61">
        <f t="shared" ref="AE20:AE83" si="75">(180/PI())*IMARGUMENT(AC20)</f>
        <v>-72.361651680152036</v>
      </c>
      <c r="AF20" s="31" t="str">
        <f t="shared" si="60"/>
        <v>-1.33333333333333E-06</v>
      </c>
      <c r="AG20" s="31" t="str">
        <f t="shared" si="61"/>
        <v>0.0000658588201054955i</v>
      </c>
      <c r="AH20" s="31">
        <f t="shared" ref="AH20:AH83" si="76">IMABS(AG20)</f>
        <v>6.5858820105495496E-5</v>
      </c>
      <c r="AI20" s="31">
        <f t="shared" ref="AI20:AI83" si="77">IMARGUMENT(AG20)</f>
        <v>1.5707963267948966</v>
      </c>
      <c r="AJ20" s="31" t="str">
        <f t="shared" si="62"/>
        <v>1+0.000212956451282788i</v>
      </c>
      <c r="AK20" s="31">
        <f t="shared" ref="AK20:AK83" si="78">IMABS(AJ20)</f>
        <v>1.0000000226752248</v>
      </c>
      <c r="AL20" s="31">
        <f t="shared" ref="AL20:AL83" si="79">IMARGUMENT(AJ20)</f>
        <v>2.1295644806356445E-4</v>
      </c>
      <c r="AM20" s="31" t="str">
        <f t="shared" si="63"/>
        <v>1+0.213169407734071i</v>
      </c>
      <c r="AN20" s="31">
        <f t="shared" ref="AN20:AN83" si="80">IMABS(AM20)</f>
        <v>1.0224681884507187</v>
      </c>
      <c r="AO20" s="31">
        <f t="shared" ref="AO20:AO83" si="81">IMARGUMENT(AM20)</f>
        <v>0.21002579150291384</v>
      </c>
      <c r="AP20" s="58" t="str">
        <f t="shared" ref="AP20:AP83" si="82">IMPRODUCT(AF20,IMDIV(AM20,IMPRODUCT(AG20,AJ20)))</f>
        <v>-0.00431137274721886+0.0202462448987328i</v>
      </c>
      <c r="AQ20" s="49">
        <f t="shared" ref="AQ20:AQ83" si="83">20*LOG(IMABS(AP20))</f>
        <v>-33.680508283553102</v>
      </c>
      <c r="AR20" s="61">
        <f t="shared" ref="AR20:AR83" si="84">(180/PI())*IMARGUMENT(AP20)</f>
        <v>102.02138993631736</v>
      </c>
      <c r="AS20" s="58" t="str">
        <f t="shared" ref="AS20:AS83" si="85">IMPRODUCT(AC20,AP20)</f>
        <v>284.867278009492+162.220230415182i</v>
      </c>
      <c r="AT20" s="64">
        <f t="shared" ref="AT20:AT83" si="86">20*LOG(IMABS(AS20))</f>
        <v>50.31266110447546</v>
      </c>
      <c r="AU20" s="61">
        <f t="shared" ref="AU20:AU83" si="87">(180/PI())*IMARGUMENT(AS20)</f>
        <v>29.659738256165308</v>
      </c>
      <c r="AV20" s="31"/>
    </row>
    <row r="21" spans="1:48" s="31" customFormat="1" x14ac:dyDescent="0.3">
      <c r="N21" s="10">
        <v>3</v>
      </c>
      <c r="O21" s="50">
        <f t="shared" si="64"/>
        <v>10.715193052376069</v>
      </c>
      <c r="P21" s="48" t="str">
        <f t="shared" si="55"/>
        <v>51201.9230769231</v>
      </c>
      <c r="Q21" s="17" t="str">
        <f t="shared" si="56"/>
        <v>1+3.14617443898434i</v>
      </c>
      <c r="R21" s="17">
        <f t="shared" si="65"/>
        <v>3.3012745418275085</v>
      </c>
      <c r="S21" s="17">
        <f t="shared" si="66"/>
        <v>1.2630482209263834</v>
      </c>
      <c r="T21" s="17" t="str">
        <f t="shared" si="57"/>
        <v>1+2.01976630650847E-10i</v>
      </c>
      <c r="U21" s="17">
        <f t="shared" si="67"/>
        <v>1</v>
      </c>
      <c r="V21" s="17">
        <f t="shared" si="68"/>
        <v>2.01976630650847E-10</v>
      </c>
      <c r="W21" s="31" t="str">
        <f t="shared" si="58"/>
        <v>1-0.000109067380551457i</v>
      </c>
      <c r="X21" s="17">
        <f t="shared" si="69"/>
        <v>1.0000000059478467</v>
      </c>
      <c r="Y21" s="17">
        <f t="shared" si="70"/>
        <v>-1.0906738011897962E-4</v>
      </c>
      <c r="Z21" s="31" t="str">
        <f t="shared" si="59"/>
        <v>0.999999954073855+0.00665568479229499i</v>
      </c>
      <c r="AA21" s="17">
        <f t="shared" si="71"/>
        <v>1.0000221028996141</v>
      </c>
      <c r="AB21" s="17">
        <f t="shared" si="72"/>
        <v>6.6555868224110878E-3</v>
      </c>
      <c r="AC21" s="66" t="str">
        <f t="shared" si="73"/>
        <v>4597.91076912632-14812.1823333662i</v>
      </c>
      <c r="AD21" s="64">
        <f t="shared" si="74"/>
        <v>83.811900670832586</v>
      </c>
      <c r="AE21" s="61">
        <f t="shared" si="75"/>
        <v>-72.75491850468697</v>
      </c>
      <c r="AF21" s="31" t="str">
        <f t="shared" si="60"/>
        <v>-1.33333333333333E-06</v>
      </c>
      <c r="AG21" s="31" t="str">
        <f t="shared" si="61"/>
        <v>0.0000673928690938324i</v>
      </c>
      <c r="AH21" s="31">
        <f t="shared" si="76"/>
        <v>6.7392869093832404E-5</v>
      </c>
      <c r="AI21" s="31">
        <f t="shared" si="77"/>
        <v>1.5707963267948966</v>
      </c>
      <c r="AJ21" s="31" t="str">
        <f t="shared" si="62"/>
        <v>1+0.000217916844258655i</v>
      </c>
      <c r="AK21" s="31">
        <f t="shared" si="78"/>
        <v>1.0000000237438753</v>
      </c>
      <c r="AL21" s="31">
        <f t="shared" si="79"/>
        <v>2.1791684080919483E-4</v>
      </c>
      <c r="AM21" s="31" t="str">
        <f t="shared" si="63"/>
        <v>1+0.218134761102914i</v>
      </c>
      <c r="AN21" s="31">
        <f t="shared" si="80"/>
        <v>1.023514911469992</v>
      </c>
      <c r="AO21" s="31">
        <f t="shared" si="81"/>
        <v>0.21477048116572414</v>
      </c>
      <c r="AP21" s="58" t="str">
        <f t="shared" si="82"/>
        <v>-0.00431137273800416+0.0197854263850254i</v>
      </c>
      <c r="AQ21" s="49">
        <f t="shared" si="83"/>
        <v>-33.871620906208712</v>
      </c>
      <c r="AR21" s="61">
        <f t="shared" si="84"/>
        <v>102.2929564195267</v>
      </c>
      <c r="AS21" s="58" t="str">
        <f t="shared" si="85"/>
        <v>273.242036016604+154.832464149886i</v>
      </c>
      <c r="AT21" s="64">
        <f t="shared" si="86"/>
        <v>49.940279764623874</v>
      </c>
      <c r="AU21" s="61">
        <f t="shared" si="87"/>
        <v>29.538037914839684</v>
      </c>
    </row>
    <row r="22" spans="1:48" x14ac:dyDescent="0.3">
      <c r="N22" s="10">
        <v>4</v>
      </c>
      <c r="O22" s="50">
        <f t="shared" si="64"/>
        <v>10.964781961431854</v>
      </c>
      <c r="P22" s="48" t="str">
        <f t="shared" si="55"/>
        <v>51201.9230769231</v>
      </c>
      <c r="Q22" s="17" t="str">
        <f t="shared" si="56"/>
        <v>1+3.21945825590551i</v>
      </c>
      <c r="R22" s="17">
        <f t="shared" si="65"/>
        <v>3.3711884345907079</v>
      </c>
      <c r="S22" s="17">
        <f t="shared" si="66"/>
        <v>1.2696330809653218</v>
      </c>
      <c r="T22" s="17" t="str">
        <f t="shared" si="57"/>
        <v>1+2.06681270749489E-10i</v>
      </c>
      <c r="U22" s="17">
        <f t="shared" si="67"/>
        <v>1</v>
      </c>
      <c r="V22" s="17">
        <f t="shared" si="68"/>
        <v>2.0668127074948899E-10</v>
      </c>
      <c r="W22" s="31" t="str">
        <f t="shared" si="58"/>
        <v>1-0.000111607886204724i</v>
      </c>
      <c r="X22" s="17">
        <f t="shared" si="69"/>
        <v>1.00000000622816</v>
      </c>
      <c r="Y22" s="17">
        <f t="shared" si="70"/>
        <v>-1.1160788574131615E-4</v>
      </c>
      <c r="Z22" s="31" t="str">
        <f t="shared" si="59"/>
        <v>0.999999951909423+0.00681071560678505i</v>
      </c>
      <c r="AA22" s="17">
        <f t="shared" si="71"/>
        <v>1.0000231445651269</v>
      </c>
      <c r="AB22" s="17">
        <f t="shared" si="72"/>
        <v>6.8106106302943314E-3</v>
      </c>
      <c r="AC22" s="66" t="str">
        <f t="shared" si="73"/>
        <v>4404.6512739975-14535.0107666235i</v>
      </c>
      <c r="AD22" s="64">
        <f t="shared" si="74"/>
        <v>83.629863914548039</v>
      </c>
      <c r="AE22" s="61">
        <f t="shared" si="75"/>
        <v>-73.141230963498671</v>
      </c>
      <c r="AF22" s="31" t="str">
        <f t="shared" si="60"/>
        <v>-1.33333333333333E-06</v>
      </c>
      <c r="AG22" s="31" t="str">
        <f t="shared" si="61"/>
        <v>0.0000689626506734129i</v>
      </c>
      <c r="AH22" s="31">
        <f t="shared" si="76"/>
        <v>6.8962650673412904E-5</v>
      </c>
      <c r="AI22" s="31">
        <f t="shared" si="77"/>
        <v>1.5707963267948966</v>
      </c>
      <c r="AJ22" s="31" t="str">
        <f t="shared" si="62"/>
        <v>1+0.000222992779629818i</v>
      </c>
      <c r="AK22" s="31">
        <f t="shared" si="78"/>
        <v>1.0000000248628895</v>
      </c>
      <c r="AL22" s="31">
        <f t="shared" si="79"/>
        <v>2.2299277593365482E-4</v>
      </c>
      <c r="AM22" s="31" t="str">
        <f t="shared" si="63"/>
        <v>1+0.223215772409448i</v>
      </c>
      <c r="AN22" s="31">
        <f t="shared" si="80"/>
        <v>1.0246098189322346</v>
      </c>
      <c r="AO22" s="31">
        <f t="shared" si="81"/>
        <v>0.21961554131284561</v>
      </c>
      <c r="AP22" s="58" t="str">
        <f t="shared" si="82"/>
        <v>-0.00431137272835519+0.0193350983662782i</v>
      </c>
      <c r="AQ22" s="49">
        <f t="shared" si="83"/>
        <v>-34.062334131636646</v>
      </c>
      <c r="AR22" s="61">
        <f t="shared" si="84"/>
        <v>102.57026708778416</v>
      </c>
      <c r="AS22" s="58" t="str">
        <f t="shared" si="85"/>
        <v>262.04576954695+147.830214677464i</v>
      </c>
      <c r="AT22" s="64">
        <f t="shared" si="86"/>
        <v>49.567529782911393</v>
      </c>
      <c r="AU22" s="61">
        <f t="shared" si="87"/>
        <v>29.429036124285542</v>
      </c>
      <c r="AV22" s="31"/>
    </row>
    <row r="23" spans="1:48" x14ac:dyDescent="0.3">
      <c r="N23" s="10">
        <v>5</v>
      </c>
      <c r="O23" s="50">
        <f t="shared" si="64"/>
        <v>11.220184543019636</v>
      </c>
      <c r="P23" s="48" t="str">
        <f t="shared" si="55"/>
        <v>51201.9230769231</v>
      </c>
      <c r="Q23" s="17" t="str">
        <f t="shared" si="56"/>
        <v>1+3.29444907220852i</v>
      </c>
      <c r="R23" s="17">
        <f t="shared" si="65"/>
        <v>3.4428759329048697</v>
      </c>
      <c r="S23" s="17">
        <f t="shared" si="66"/>
        <v>1.2760941845185014</v>
      </c>
      <c r="T23" s="17" t="str">
        <f t="shared" si="57"/>
        <v>1+2.11495495993634E-10i</v>
      </c>
      <c r="U23" s="17">
        <f t="shared" si="67"/>
        <v>1</v>
      </c>
      <c r="V23" s="17">
        <f t="shared" si="68"/>
        <v>2.11495495993634E-10</v>
      </c>
      <c r="W23" s="31" t="str">
        <f t="shared" si="58"/>
        <v>1-0.000114207567836562i</v>
      </c>
      <c r="X23" s="17">
        <f t="shared" si="69"/>
        <v>1.0000000065216843</v>
      </c>
      <c r="Y23" s="17">
        <f t="shared" si="70"/>
        <v>-1.1420756734001154E-4</v>
      </c>
      <c r="Z23" s="31" t="str">
        <f t="shared" si="59"/>
        <v>0.999999949642984+0.0069693575528403i</v>
      </c>
      <c r="AA23" s="17">
        <f t="shared" si="71"/>
        <v>1.0000242353216595</v>
      </c>
      <c r="AB23" s="17">
        <f t="shared" si="72"/>
        <v>6.9692450686511271E-3</v>
      </c>
      <c r="AC23" s="66" t="str">
        <f t="shared" si="73"/>
        <v>4218.58771004657-14260.5969334065i</v>
      </c>
      <c r="AD23" s="64">
        <f t="shared" si="74"/>
        <v>83.447087554130306</v>
      </c>
      <c r="AE23" s="61">
        <f t="shared" si="75"/>
        <v>-73.520662962403975</v>
      </c>
      <c r="AF23" s="31" t="str">
        <f t="shared" si="60"/>
        <v>-1.33333333333333E-06</v>
      </c>
      <c r="AG23" s="31" t="str">
        <f t="shared" si="61"/>
        <v>0.000070568997163209i</v>
      </c>
      <c r="AH23" s="31">
        <f t="shared" si="76"/>
        <v>7.0568997163208998E-5</v>
      </c>
      <c r="AI23" s="31">
        <f t="shared" si="77"/>
        <v>1.5707963267948966</v>
      </c>
      <c r="AJ23" s="31" t="str">
        <f t="shared" si="62"/>
        <v>1+0.000228186948724399i</v>
      </c>
      <c r="AK23" s="31">
        <f t="shared" si="78"/>
        <v>1.0000000260346413</v>
      </c>
      <c r="AL23" s="31">
        <f t="shared" si="79"/>
        <v>2.281869447638888E-4</v>
      </c>
      <c r="AM23" s="31" t="str">
        <f t="shared" si="63"/>
        <v>1+0.228415135673124i</v>
      </c>
      <c r="AN23" s="31">
        <f t="shared" si="80"/>
        <v>1.0257550751541868</v>
      </c>
      <c r="AO23" s="31">
        <f t="shared" si="81"/>
        <v>0.22456263055635681</v>
      </c>
      <c r="AP23" s="58" t="str">
        <f t="shared" si="82"/>
        <v>-0.00431137271825147+0.018895022072615i</v>
      </c>
      <c r="AQ23" s="49">
        <f t="shared" si="83"/>
        <v>-34.252630922436744</v>
      </c>
      <c r="AR23" s="61">
        <f t="shared" si="84"/>
        <v>102.8534168183598</v>
      </c>
      <c r="AS23" s="58" t="str">
        <f t="shared" si="85"/>
        <v>251.266389862736+141.193056461262i</v>
      </c>
      <c r="AT23" s="64">
        <f t="shared" si="86"/>
        <v>49.194456631693562</v>
      </c>
      <c r="AU23" s="61">
        <f t="shared" si="87"/>
        <v>29.332753855955879</v>
      </c>
      <c r="AV23" s="31"/>
    </row>
    <row r="24" spans="1:48" x14ac:dyDescent="0.3">
      <c r="N24" s="10">
        <v>6</v>
      </c>
      <c r="O24" s="50">
        <f t="shared" si="64"/>
        <v>11.481536214968834</v>
      </c>
      <c r="P24" s="48" t="str">
        <f t="shared" si="55"/>
        <v>51201.9230769231</v>
      </c>
      <c r="Q24" s="17" t="str">
        <f t="shared" si="56"/>
        <v>1+3.37118664901681i</v>
      </c>
      <c r="R24" s="17">
        <f t="shared" si="65"/>
        <v>3.5163758932328593</v>
      </c>
      <c r="S24" s="17">
        <f t="shared" si="66"/>
        <v>1.2824327987650548</v>
      </c>
      <c r="T24" s="17" t="str">
        <f t="shared" si="57"/>
        <v>1+2.16421858949228E-10i</v>
      </c>
      <c r="U24" s="17">
        <f t="shared" si="67"/>
        <v>1</v>
      </c>
      <c r="V24" s="17">
        <f t="shared" si="68"/>
        <v>2.16421858949228E-10</v>
      </c>
      <c r="W24" s="31" t="str">
        <f t="shared" si="58"/>
        <v>1-0.000116867803832583i</v>
      </c>
      <c r="X24" s="17">
        <f t="shared" si="69"/>
        <v>1.0000000068290418</v>
      </c>
      <c r="Y24" s="17">
        <f t="shared" si="70"/>
        <v>-1.168678033005196E-4</v>
      </c>
      <c r="Z24" s="31" t="str">
        <f t="shared" si="59"/>
        <v>0.99999994726973+0.00713169474452043i</v>
      </c>
      <c r="AA24" s="17">
        <f t="shared" si="71"/>
        <v>1.0000253774826875</v>
      </c>
      <c r="AB24" s="17">
        <f t="shared" si="72"/>
        <v>7.1315742157053979E-3</v>
      </c>
      <c r="AC24" s="66" t="str">
        <f t="shared" si="73"/>
        <v>4039.51197001929-13989.0703159974i</v>
      </c>
      <c r="AD24" s="64">
        <f t="shared" si="74"/>
        <v>83.263599211226861</v>
      </c>
      <c r="AE24" s="61">
        <f t="shared" si="75"/>
        <v>-73.893292001721989</v>
      </c>
      <c r="AF24" s="31" t="str">
        <f t="shared" si="60"/>
        <v>-1.33333333333333E-06</v>
      </c>
      <c r="AG24" s="31" t="str">
        <f t="shared" si="61"/>
        <v>0.0000722127602693923i</v>
      </c>
      <c r="AH24" s="31">
        <f t="shared" si="76"/>
        <v>7.2212760269392301E-5</v>
      </c>
      <c r="AI24" s="31">
        <f t="shared" si="77"/>
        <v>1.5707963267948966</v>
      </c>
      <c r="AJ24" s="31" t="str">
        <f t="shared" si="62"/>
        <v>1+0.000233502105559606i</v>
      </c>
      <c r="AK24" s="31">
        <f t="shared" si="78"/>
        <v>1.0000000272616163</v>
      </c>
      <c r="AL24" s="31">
        <f t="shared" si="79"/>
        <v>2.3350210131584288E-4</v>
      </c>
      <c r="AM24" s="31" t="str">
        <f t="shared" si="63"/>
        <v>1+0.233735607665166i</v>
      </c>
      <c r="AN24" s="31">
        <f t="shared" si="80"/>
        <v>1.0269529367456935</v>
      </c>
      <c r="AO24" s="31">
        <f t="shared" si="81"/>
        <v>0.22961340288231397</v>
      </c>
      <c r="AP24" s="58" t="str">
        <f t="shared" si="82"/>
        <v>-0.00431137270767159+0.0184649641697596i</v>
      </c>
      <c r="AQ24" s="49">
        <f t="shared" si="83"/>
        <v>-34.442493597724251</v>
      </c>
      <c r="AR24" s="61">
        <f t="shared" si="84"/>
        <v>103.14250021988076</v>
      </c>
      <c r="AS24" s="58" t="str">
        <f t="shared" si="85"/>
        <v>240.891840493286+134.901539755811i</v>
      </c>
      <c r="AT24" s="64">
        <f t="shared" si="86"/>
        <v>48.82110561350261</v>
      </c>
      <c r="AU24" s="61">
        <f t="shared" si="87"/>
        <v>29.249208218158721</v>
      </c>
      <c r="AV24" s="31"/>
    </row>
    <row r="25" spans="1:48" x14ac:dyDescent="0.3">
      <c r="A25" t="s">
        <v>32</v>
      </c>
      <c r="B25" s="43">
        <f>VOUT1</f>
        <v>1500</v>
      </c>
      <c r="C25" t="s">
        <v>11</v>
      </c>
      <c r="E25" t="s">
        <v>160</v>
      </c>
      <c r="N25" s="10">
        <v>7</v>
      </c>
      <c r="O25" s="50">
        <f t="shared" si="64"/>
        <v>11.748975549395301</v>
      </c>
      <c r="P25" s="48" t="str">
        <f t="shared" si="55"/>
        <v>51201.9230769231</v>
      </c>
      <c r="Q25" s="17" t="str">
        <f t="shared" si="56"/>
        <v>1+3.44971167360935i</v>
      </c>
      <c r="R25" s="17">
        <f t="shared" si="65"/>
        <v>3.5917280842286239</v>
      </c>
      <c r="S25" s="17">
        <f t="shared" si="66"/>
        <v>1.2886502463769622</v>
      </c>
      <c r="T25" s="17" t="str">
        <f t="shared" si="57"/>
        <v>1+2.21462971639119E-10i</v>
      </c>
      <c r="U25" s="17">
        <f t="shared" si="67"/>
        <v>1</v>
      </c>
      <c r="V25" s="17">
        <f t="shared" si="68"/>
        <v>2.21462971639119E-10</v>
      </c>
      <c r="W25" s="31" t="str">
        <f t="shared" si="58"/>
        <v>1-0.000119590004685124i</v>
      </c>
      <c r="X25" s="17">
        <f t="shared" si="69"/>
        <v>1.0000000071508846</v>
      </c>
      <c r="Y25" s="17">
        <f t="shared" si="70"/>
        <v>-1.195900041150078E-4</v>
      </c>
      <c r="Z25" s="31" t="str">
        <f t="shared" si="59"/>
        <v>0.999999944784629+0.00729781325515324i</v>
      </c>
      <c r="AA25" s="17">
        <f t="shared" si="71"/>
        <v>1.0000265734707094</v>
      </c>
      <c r="AB25" s="17">
        <f t="shared" si="72"/>
        <v>7.2976841063864444E-3</v>
      </c>
      <c r="AC25" s="66" t="str">
        <f t="shared" si="73"/>
        <v>3867.21702128888-13720.5488185618i</v>
      </c>
      <c r="AD25" s="64">
        <f t="shared" si="74"/>
        <v>83.079425697329654</v>
      </c>
      <c r="AE25" s="61">
        <f t="shared" si="75"/>
        <v>-74.25919887522808</v>
      </c>
      <c r="AF25" s="31" t="str">
        <f t="shared" si="60"/>
        <v>-1.33333333333333E-06</v>
      </c>
      <c r="AG25" s="31" t="str">
        <f t="shared" si="61"/>
        <v>0.0000738948115369191i</v>
      </c>
      <c r="AH25" s="31">
        <f t="shared" si="76"/>
        <v>7.3894811536919094E-5</v>
      </c>
      <c r="AI25" s="31">
        <f t="shared" si="77"/>
        <v>1.5707963267948966</v>
      </c>
      <c r="AJ25" s="31" t="str">
        <f t="shared" si="62"/>
        <v>1+0.000238941068301946i</v>
      </c>
      <c r="AK25" s="31">
        <f t="shared" si="78"/>
        <v>1.0000000285464166</v>
      </c>
      <c r="AL25" s="31">
        <f t="shared" si="79"/>
        <v>2.389410637546719E-4</v>
      </c>
      <c r="AM25" s="31" t="str">
        <f t="shared" si="63"/>
        <v>1+0.239180009370248i</v>
      </c>
      <c r="AN25" s="31">
        <f t="shared" si="80"/>
        <v>1.0282057561025186</v>
      </c>
      <c r="AO25" s="31">
        <f t="shared" si="81"/>
        <v>0.23476950504267596</v>
      </c>
      <c r="AP25" s="58" t="str">
        <f t="shared" si="82"/>
        <v>-0.00431137269659308+0.0180446966353196i</v>
      </c>
      <c r="AQ25" s="49">
        <f t="shared" si="83"/>
        <v>-34.63190381642098</v>
      </c>
      <c r="AR25" s="61">
        <f t="shared" si="84"/>
        <v>103.43761148281503</v>
      </c>
      <c r="AS25" s="58" t="str">
        <f t="shared" si="85"/>
        <v>230.910127223656+128.937157530722i</v>
      </c>
      <c r="AT25" s="64">
        <f t="shared" si="86"/>
        <v>48.447521880908688</v>
      </c>
      <c r="AU25" s="61">
        <f t="shared" si="87"/>
        <v>29.178412607586917</v>
      </c>
      <c r="AV25" s="31"/>
    </row>
    <row r="26" spans="1:48" s="31" customFormat="1" x14ac:dyDescent="0.3">
      <c r="A26" t="s">
        <v>33</v>
      </c>
      <c r="B26" s="43">
        <f>IOUT1</f>
        <v>5.0000000000000001E-3</v>
      </c>
      <c r="C26" t="s">
        <v>12</v>
      </c>
      <c r="D26"/>
      <c r="E26" t="s">
        <v>34</v>
      </c>
      <c r="F26"/>
      <c r="G26"/>
      <c r="K26"/>
      <c r="N26" s="10">
        <v>8</v>
      </c>
      <c r="O26" s="50">
        <f t="shared" si="64"/>
        <v>12.022644346174133</v>
      </c>
      <c r="P26" s="48" t="str">
        <f t="shared" si="55"/>
        <v>51201.9230769231</v>
      </c>
      <c r="Q26" s="17" t="str">
        <f t="shared" si="56"/>
        <v>1+3.53006578099355i</v>
      </c>
      <c r="R26" s="17">
        <f t="shared" si="65"/>
        <v>3.668973210333049</v>
      </c>
      <c r="S26" s="17">
        <f t="shared" si="66"/>
        <v>1.2947479004287072</v>
      </c>
      <c r="T26" s="17" t="str">
        <f t="shared" si="57"/>
        <v>1+2.26621506927981E-10i</v>
      </c>
      <c r="U26" s="17">
        <f t="shared" si="67"/>
        <v>1</v>
      </c>
      <c r="V26" s="17">
        <f t="shared" si="68"/>
        <v>2.2662150692798099E-10</v>
      </c>
      <c r="W26" s="31" t="str">
        <f t="shared" si="58"/>
        <v>1-0.00012237561374111i</v>
      </c>
      <c r="X26" s="17">
        <f t="shared" si="69"/>
        <v>1.0000000074878954</v>
      </c>
      <c r="Y26" s="17">
        <f t="shared" si="70"/>
        <v>-1.2237561313021948E-4</v>
      </c>
      <c r="Z26" s="31" t="str">
        <f t="shared" si="59"/>
        <v>0.999999942182409+0.0074678011629719i</v>
      </c>
      <c r="AA26" s="17">
        <f t="shared" si="71"/>
        <v>1.0000278258223771</v>
      </c>
      <c r="AB26" s="17">
        <f t="shared" si="72"/>
        <v>7.4676627777829933E-3</v>
      </c>
      <c r="AC26" s="66" t="str">
        <f t="shared" si="73"/>
        <v>3701.49737680896-13455.1392367195i</v>
      </c>
      <c r="AD26" s="64">
        <f t="shared" si="74"/>
        <v>82.89459301885222</v>
      </c>
      <c r="AE26" s="61">
        <f t="shared" si="75"/>
        <v>-74.618467381146658</v>
      </c>
      <c r="AF26" s="31" t="str">
        <f t="shared" si="60"/>
        <v>-1.33333333333333E-06</v>
      </c>
      <c r="AG26" s="31" t="str">
        <f t="shared" si="61"/>
        <v>0.0000756160428116364i</v>
      </c>
      <c r="AH26" s="31">
        <f t="shared" si="76"/>
        <v>7.56160428116364E-5</v>
      </c>
      <c r="AI26" s="31">
        <f t="shared" si="77"/>
        <v>1.5707963267948966</v>
      </c>
      <c r="AJ26" s="31" t="str">
        <f t="shared" si="62"/>
        <v>1+0.000244506720761458i</v>
      </c>
      <c r="AK26" s="31">
        <f t="shared" si="78"/>
        <v>1.0000000298917677</v>
      </c>
      <c r="AL26" s="31">
        <f t="shared" si="79"/>
        <v>2.4450671588896602E-4</v>
      </c>
      <c r="AM26" s="31" t="str">
        <f t="shared" si="63"/>
        <v>1+0.244751227482219i</v>
      </c>
      <c r="AN26" s="31">
        <f t="shared" si="80"/>
        <v>1.0295159849920024</v>
      </c>
      <c r="AO26" s="31">
        <f t="shared" si="81"/>
        <v>0.2400325737710606</v>
      </c>
      <c r="AP26" s="58" t="str">
        <f t="shared" si="82"/>
        <v>-0.00431137268499244+0.017633996637885i</v>
      </c>
      <c r="AQ26" s="49">
        <f t="shared" si="83"/>
        <v>-34.820842560836674</v>
      </c>
      <c r="AR26" s="61">
        <f t="shared" si="84"/>
        <v>103.73884421986126</v>
      </c>
      <c r="AS26" s="58" t="str">
        <f t="shared" si="85"/>
        <v>221.309345378641+123.282312075752i</v>
      </c>
      <c r="AT26" s="64">
        <f t="shared" si="86"/>
        <v>48.073750458015553</v>
      </c>
      <c r="AU26" s="61">
        <f t="shared" si="87"/>
        <v>29.12037683871463</v>
      </c>
      <c r="AV26"/>
    </row>
    <row r="27" spans="1:48" s="31" customFormat="1" x14ac:dyDescent="0.3">
      <c r="A27"/>
      <c r="B27"/>
      <c r="C27"/>
      <c r="D27"/>
      <c r="E27"/>
      <c r="F27"/>
      <c r="G27"/>
      <c r="K27"/>
      <c r="N27" s="10">
        <v>9</v>
      </c>
      <c r="O27" s="50">
        <f t="shared" si="64"/>
        <v>12.302687708123818</v>
      </c>
      <c r="P27" s="48" t="str">
        <f t="shared" si="55"/>
        <v>51201.9230769231</v>
      </c>
      <c r="Q27" s="17" t="str">
        <f t="shared" si="56"/>
        <v>1+3.61229157598079i</v>
      </c>
      <c r="R27" s="17">
        <f t="shared" si="65"/>
        <v>3.7481529357674002</v>
      </c>
      <c r="S27" s="17">
        <f t="shared" si="66"/>
        <v>1.3007271795188329</v>
      </c>
      <c r="T27" s="17" t="str">
        <f t="shared" si="57"/>
        <v>1+2.31900199939508E-10i</v>
      </c>
      <c r="U27" s="17">
        <f t="shared" si="67"/>
        <v>1</v>
      </c>
      <c r="V27" s="17">
        <f t="shared" si="68"/>
        <v>2.31900199939508E-10</v>
      </c>
      <c r="W27" s="31" t="str">
        <f t="shared" si="58"/>
        <v>1-0.000125226107967334i</v>
      </c>
      <c r="X27" s="17">
        <f t="shared" si="69"/>
        <v>1.0000000078407889</v>
      </c>
      <c r="Y27" s="17">
        <f t="shared" si="70"/>
        <v>-1.2522610731275301E-4</v>
      </c>
      <c r="Z27" s="31" t="str">
        <f t="shared" si="59"/>
        <v>0.99999993945755+0.00764174859781522i</v>
      </c>
      <c r="AA27" s="17">
        <f t="shared" si="71"/>
        <v>1.0000291371938796</v>
      </c>
      <c r="AB27" s="17">
        <f t="shared" si="72"/>
        <v>7.6416003156470867E-3</v>
      </c>
      <c r="AC27" s="66" t="str">
        <f t="shared" si="73"/>
        <v>3542.14952124021-13192.9377318239i</v>
      </c>
      <c r="AD27" s="64">
        <f t="shared" si="74"/>
        <v>82.709126383951102</v>
      </c>
      <c r="AE27" s="61">
        <f t="shared" si="75"/>
        <v>-74.97118404534389</v>
      </c>
      <c r="AF27" s="31" t="str">
        <f t="shared" si="60"/>
        <v>-1.33333333333333E-06</v>
      </c>
      <c r="AG27" s="31" t="str">
        <f t="shared" si="61"/>
        <v>0.000077377366713149i</v>
      </c>
      <c r="AH27" s="31">
        <f t="shared" si="76"/>
        <v>7.7377366713148998E-5</v>
      </c>
      <c r="AI27" s="31">
        <f t="shared" si="77"/>
        <v>1.5707963267948966</v>
      </c>
      <c r="AJ27" s="31" t="str">
        <f t="shared" si="62"/>
        <v>1+0.000250202013920747i</v>
      </c>
      <c r="AK27" s="31">
        <f t="shared" si="78"/>
        <v>1.0000000313005233</v>
      </c>
      <c r="AL27" s="31">
        <f t="shared" si="79"/>
        <v>2.5020200869977776E-4</v>
      </c>
      <c r="AM27" s="31" t="str">
        <f t="shared" si="63"/>
        <v>1+0.250452215934668i</v>
      </c>
      <c r="AN27" s="31">
        <f t="shared" si="80"/>
        <v>1.0308861782304513</v>
      </c>
      <c r="AO27" s="31">
        <f t="shared" si="81"/>
        <v>0.24540423281629387</v>
      </c>
      <c r="AP27" s="58" t="str">
        <f t="shared" si="82"/>
        <v>-0.00431137267284511+0.0172326464188812i</v>
      </c>
      <c r="AQ27" s="49">
        <f t="shared" si="83"/>
        <v>-35.0092901206257</v>
      </c>
      <c r="AR27" s="61">
        <f t="shared" si="84"/>
        <v>104.04629129589522</v>
      </c>
      <c r="AS27" s="58" t="str">
        <f t="shared" si="85"/>
        <v>212.077704509831+117.920281473875i</v>
      </c>
      <c r="AT27" s="64">
        <f t="shared" si="86"/>
        <v>47.699836263325388</v>
      </c>
      <c r="AU27" s="61">
        <f t="shared" si="87"/>
        <v>29.075107250551458</v>
      </c>
      <c r="AV27"/>
    </row>
    <row r="28" spans="1:48" x14ac:dyDescent="0.3">
      <c r="A28" t="s">
        <v>161</v>
      </c>
      <c r="K28" s="31"/>
      <c r="N28" s="10">
        <v>10</v>
      </c>
      <c r="O28" s="50">
        <f t="shared" si="64"/>
        <v>12.58925411794168</v>
      </c>
      <c r="P28" s="48" t="str">
        <f t="shared" si="55"/>
        <v>51201.9230769231</v>
      </c>
      <c r="Q28" s="17" t="str">
        <f t="shared" si="56"/>
        <v>1+3.69643265577595i</v>
      </c>
      <c r="R28" s="17">
        <f t="shared" si="65"/>
        <v>3.8293099089374896</v>
      </c>
      <c r="S28" s="17">
        <f t="shared" si="66"/>
        <v>1.3065895431048087</v>
      </c>
      <c r="T28" s="17" t="str">
        <f t="shared" si="57"/>
        <v>1+2.37301849506604E-10i</v>
      </c>
      <c r="U28" s="17">
        <f t="shared" si="67"/>
        <v>1</v>
      </c>
      <c r="V28" s="17">
        <f t="shared" si="68"/>
        <v>2.37301849506604E-10</v>
      </c>
      <c r="W28" s="31" t="str">
        <f t="shared" si="58"/>
        <v>1-0.000128142998733566i</v>
      </c>
      <c r="X28" s="17">
        <f t="shared" si="69"/>
        <v>1.000000008210314</v>
      </c>
      <c r="Y28" s="17">
        <f t="shared" si="70"/>
        <v>-1.2814299803216983E-4</v>
      </c>
      <c r="Z28" s="31" t="str">
        <f t="shared" si="59"/>
        <v>0.999999936604272+0.00781974778891559i</v>
      </c>
      <c r="AA28" s="17">
        <f t="shared" si="71"/>
        <v>1.0000305103665739</v>
      </c>
      <c r="AB28" s="17">
        <f t="shared" si="72"/>
        <v>7.819588901971623E-3</v>
      </c>
      <c r="AC28" s="66" t="str">
        <f t="shared" si="73"/>
        <v>3388.9722942292-12934.0303069905i</v>
      </c>
      <c r="AD28" s="64">
        <f t="shared" si="74"/>
        <v>82.523050210923031</v>
      </c>
      <c r="AE28" s="61">
        <f t="shared" si="75"/>
        <v>-75.317437856807373</v>
      </c>
      <c r="AF28" s="31" t="str">
        <f t="shared" si="60"/>
        <v>-1.33333333333333E-06</v>
      </c>
      <c r="AG28" s="31" t="str">
        <f t="shared" si="61"/>
        <v>0.0000791797171187035i</v>
      </c>
      <c r="AH28" s="31">
        <f t="shared" si="76"/>
        <v>7.9179717118703499E-5</v>
      </c>
      <c r="AI28" s="31">
        <f t="shared" si="77"/>
        <v>1.5707963267948966</v>
      </c>
      <c r="AJ28" s="31" t="str">
        <f t="shared" si="62"/>
        <v>1+0.000256029967499632i</v>
      </c>
      <c r="AK28" s="31">
        <f t="shared" si="78"/>
        <v>1.0000000327756717</v>
      </c>
      <c r="AL28" s="31">
        <f t="shared" si="79"/>
        <v>2.560299619052627E-4</v>
      </c>
      <c r="AM28" s="31" t="str">
        <f t="shared" si="63"/>
        <v>1+0.256285997467132i</v>
      </c>
      <c r="AN28" s="31">
        <f t="shared" si="80"/>
        <v>1.0323189974507505</v>
      </c>
      <c r="AO28" s="31">
        <f t="shared" si="81"/>
        <v>0.25088608978798554</v>
      </c>
      <c r="AP28" s="58" t="str">
        <f t="shared" si="82"/>
        <v>-0.00431137266012528+0.0168404331771093i</v>
      </c>
      <c r="AQ28" s="49">
        <f t="shared" si="83"/>
        <v>-35.197226077215703</v>
      </c>
      <c r="AR28" s="61">
        <f t="shared" si="84"/>
        <v>104.36004464714571</v>
      </c>
      <c r="AS28" s="58" t="str">
        <f t="shared" si="85"/>
        <v>203.203550600318+112.835186110832i</v>
      </c>
      <c r="AT28" s="64">
        <f t="shared" si="86"/>
        <v>47.325824133707322</v>
      </c>
      <c r="AU28" s="61">
        <f t="shared" si="87"/>
        <v>29.042606790338315</v>
      </c>
    </row>
    <row r="29" spans="1:48" x14ac:dyDescent="0.3">
      <c r="A29" t="s">
        <v>162</v>
      </c>
      <c r="B29" s="43">
        <f>Lm</f>
        <v>4.4999999999999996E-5</v>
      </c>
      <c r="C29" t="s">
        <v>75</v>
      </c>
      <c r="E29" t="s">
        <v>163</v>
      </c>
      <c r="N29" s="10">
        <v>11</v>
      </c>
      <c r="O29" s="50">
        <f t="shared" si="64"/>
        <v>12.882495516931346</v>
      </c>
      <c r="P29" s="48" t="str">
        <f t="shared" si="55"/>
        <v>51201.9230769231</v>
      </c>
      <c r="Q29" s="17" t="str">
        <f t="shared" si="56"/>
        <v>1+3.78253363309326i</v>
      </c>
      <c r="R29" s="17">
        <f t="shared" si="65"/>
        <v>3.9124877872629451</v>
      </c>
      <c r="S29" s="17">
        <f t="shared" si="66"/>
        <v>1.3123364870514151</v>
      </c>
      <c r="T29" s="17" t="str">
        <f t="shared" si="57"/>
        <v>1+2.4282931965537E-10i</v>
      </c>
      <c r="U29" s="17">
        <f t="shared" si="67"/>
        <v>1</v>
      </c>
      <c r="V29" s="17">
        <f t="shared" si="68"/>
        <v>2.4282931965536998E-10</v>
      </c>
      <c r="W29" s="31" t="str">
        <f t="shared" si="58"/>
        <v>1-0.0001311278326139i</v>
      </c>
      <c r="X29" s="17">
        <f t="shared" si="69"/>
        <v>1.0000000085972542</v>
      </c>
      <c r="Y29" s="17">
        <f t="shared" si="70"/>
        <v>-1.3112783186234047E-4</v>
      </c>
      <c r="Z29" s="31" t="str">
        <f t="shared" si="59"/>
        <v>0.999999933616524+0.00800189311380024i</v>
      </c>
      <c r="AA29" s="17">
        <f t="shared" si="71"/>
        <v>1.000031948252883</v>
      </c>
      <c r="AB29" s="17">
        <f t="shared" si="72"/>
        <v>8.0017228636661778E-3</v>
      </c>
      <c r="AC29" s="66" t="str">
        <f t="shared" si="73"/>
        <v>3241.76723290497-12678.4932822146i</v>
      </c>
      <c r="AD29" s="64">
        <f t="shared" si="74"/>
        <v>82.336388138013092</v>
      </c>
      <c r="AE29" s="61">
        <f t="shared" si="75"/>
        <v>-75.657320015421618</v>
      </c>
      <c r="AF29" s="31" t="str">
        <f t="shared" si="60"/>
        <v>-1.33333333333333E-06</v>
      </c>
      <c r="AG29" s="31" t="str">
        <f t="shared" si="61"/>
        <v>0.0000810240496583417i</v>
      </c>
      <c r="AH29" s="31">
        <f t="shared" si="76"/>
        <v>8.1024049658341704E-5</v>
      </c>
      <c r="AI29" s="31">
        <f t="shared" si="77"/>
        <v>1.5707963267948966</v>
      </c>
      <c r="AJ29" s="31" t="str">
        <f t="shared" si="62"/>
        <v>1+0.000261993671556243i</v>
      </c>
      <c r="AK29" s="31">
        <f t="shared" si="78"/>
        <v>1.0000000343203415</v>
      </c>
      <c r="AL29" s="31">
        <f t="shared" si="79"/>
        <v>2.6199366556176832E-4</v>
      </c>
      <c r="AM29" s="31" t="str">
        <f t="shared" si="63"/>
        <v>1+0.262255665227799i</v>
      </c>
      <c r="AN29" s="31">
        <f t="shared" si="80"/>
        <v>1.0338172149582707</v>
      </c>
      <c r="AO29" s="31">
        <f t="shared" si="81"/>
        <v>0.25647973280874697</v>
      </c>
      <c r="AP29" s="58" t="str">
        <f t="shared" si="82"/>
        <v>-0.00431137264680599+0.0164571489559172i</v>
      </c>
      <c r="AQ29" s="49">
        <f t="shared" si="83"/>
        <v>-35.384629288808092</v>
      </c>
      <c r="AR29" s="61">
        <f t="shared" si="84"/>
        <v>104.68019508928839</v>
      </c>
      <c r="AS29" s="58" t="str">
        <f t="shared" si="85"/>
        <v>194.675385906743+108.011955371982i</v>
      </c>
      <c r="AT29" s="64">
        <f t="shared" si="86"/>
        <v>46.951758849205014</v>
      </c>
      <c r="AU29" s="61">
        <f t="shared" si="87"/>
        <v>29.022875073866704</v>
      </c>
    </row>
    <row r="30" spans="1:48" x14ac:dyDescent="0.3">
      <c r="A30" s="31"/>
      <c r="B30" s="31"/>
      <c r="C30" s="31"/>
      <c r="D30" s="31"/>
      <c r="E30" s="31"/>
      <c r="F30" s="31"/>
      <c r="G30" s="31"/>
      <c r="N30" s="10">
        <v>12</v>
      </c>
      <c r="O30" s="50">
        <f t="shared" si="64"/>
        <v>13.182567385564075</v>
      </c>
      <c r="P30" s="48" t="str">
        <f t="shared" si="55"/>
        <v>51201.9230769231</v>
      </c>
      <c r="Q30" s="17" t="str">
        <f t="shared" si="56"/>
        <v>1+3.87064015981059i</v>
      </c>
      <c r="R30" s="17">
        <f t="shared" si="65"/>
        <v>3.9977312624460573</v>
      </c>
      <c r="S30" s="17">
        <f t="shared" si="66"/>
        <v>1.3179695393916813</v>
      </c>
      <c r="T30" s="17" t="str">
        <f t="shared" si="57"/>
        <v>1+2.48485541123643E-10i</v>
      </c>
      <c r="U30" s="17">
        <f t="shared" si="67"/>
        <v>1</v>
      </c>
      <c r="V30" s="17">
        <f t="shared" si="68"/>
        <v>2.4848554112364299E-10</v>
      </c>
      <c r="W30" s="31" t="str">
        <f t="shared" si="58"/>
        <v>1-0.000134182192206767i</v>
      </c>
      <c r="X30" s="17">
        <f t="shared" si="69"/>
        <v>1.0000000090024304</v>
      </c>
      <c r="Y30" s="17">
        <f t="shared" si="70"/>
        <v>-1.3418219140145645E-4</v>
      </c>
      <c r="Z30" s="31" t="str">
        <f t="shared" si="59"/>
        <v>0.999999930487967+0.00818828114833141i</v>
      </c>
      <c r="AA30" s="17">
        <f t="shared" si="71"/>
        <v>1.0000334539024696</v>
      </c>
      <c r="AB30" s="17">
        <f t="shared" si="72"/>
        <v>8.1880987223556419E-3</v>
      </c>
      <c r="AC30" s="66" t="str">
        <f t="shared" si="73"/>
        <v>3100.33887571759-12426.3937662145i</v>
      </c>
      <c r="AD30" s="64">
        <f t="shared" si="74"/>
        <v>82.149163034478903</v>
      </c>
      <c r="AE30" s="61">
        <f t="shared" si="75"/>
        <v>-75.990923691987874</v>
      </c>
      <c r="AF30" s="31" t="str">
        <f t="shared" si="60"/>
        <v>-1.33333333333333E-06</v>
      </c>
      <c r="AG30" s="31" t="str">
        <f t="shared" si="61"/>
        <v>0.0000829113422215889i</v>
      </c>
      <c r="AH30" s="31">
        <f t="shared" si="76"/>
        <v>8.2911342221588896E-5</v>
      </c>
      <c r="AI30" s="31">
        <f t="shared" si="77"/>
        <v>1.5707963267948966</v>
      </c>
      <c r="AJ30" s="31" t="str">
        <f t="shared" si="62"/>
        <v>1+0.000268096288125409i</v>
      </c>
      <c r="AK30" s="31">
        <f t="shared" si="78"/>
        <v>1.0000000359378092</v>
      </c>
      <c r="AL30" s="31">
        <f t="shared" si="79"/>
        <v>2.6809628170221364E-4</v>
      </c>
      <c r="AM30" s="31" t="str">
        <f t="shared" si="63"/>
        <v>1+0.268364384413534i</v>
      </c>
      <c r="AN30" s="31">
        <f t="shared" si="80"/>
        <v>1.0353837176726584</v>
      </c>
      <c r="AO30" s="31">
        <f t="shared" si="81"/>
        <v>0.26218672696806056</v>
      </c>
      <c r="AP30" s="58" t="str">
        <f t="shared" si="82"/>
        <v>-0.00431137263285898+0.0160825905329373i</v>
      </c>
      <c r="AQ30" s="49">
        <f t="shared" si="83"/>
        <v>-35.571477876062694</v>
      </c>
      <c r="AR30" s="61">
        <f t="shared" si="84"/>
        <v>105.00683211417403</v>
      </c>
      <c r="AS30" s="58" t="str">
        <f t="shared" si="85"/>
        <v>186.481886561715+103.4362946603i</v>
      </c>
      <c r="AT30" s="64">
        <f t="shared" si="86"/>
        <v>46.577685158416216</v>
      </c>
      <c r="AU30" s="61">
        <f t="shared" si="87"/>
        <v>29.015908422186211</v>
      </c>
    </row>
    <row r="31" spans="1:48" x14ac:dyDescent="0.3">
      <c r="A31" t="s">
        <v>124</v>
      </c>
      <c r="B31" s="43">
        <f>R_cs</f>
        <v>4.0000000000000001E-3</v>
      </c>
      <c r="C31" s="2" t="s">
        <v>35</v>
      </c>
      <c r="E31" t="s">
        <v>164</v>
      </c>
      <c r="N31" s="10">
        <v>13</v>
      </c>
      <c r="O31" s="50">
        <f t="shared" si="64"/>
        <v>13.489628825916535</v>
      </c>
      <c r="P31" s="48" t="str">
        <f t="shared" si="55"/>
        <v>51201.9230769231</v>
      </c>
      <c r="Q31" s="17" t="str">
        <f t="shared" si="56"/>
        <v>1+3.96079895117464i</v>
      </c>
      <c r="R31" s="17">
        <f t="shared" si="65"/>
        <v>4.0850860861952629</v>
      </c>
      <c r="S31" s="17">
        <f t="shared" si="66"/>
        <v>1.3234902562984252</v>
      </c>
      <c r="T31" s="17" t="str">
        <f t="shared" si="57"/>
        <v>1+2.54273512914915E-10i</v>
      </c>
      <c r="U31" s="17">
        <f t="shared" si="67"/>
        <v>1</v>
      </c>
      <c r="V31" s="17">
        <f t="shared" si="68"/>
        <v>2.5427351291491501E-10</v>
      </c>
      <c r="W31" s="31" t="str">
        <f t="shared" si="58"/>
        <v>1-0.000137307696974054i</v>
      </c>
      <c r="X31" s="17">
        <f t="shared" si="69"/>
        <v>1.0000000094267019</v>
      </c>
      <c r="Y31" s="17">
        <f t="shared" si="70"/>
        <v>-1.3730769611114819E-4</v>
      </c>
      <c r="Z31" s="31" t="str">
        <f t="shared" si="59"/>
        <v>0.999999927211966+0.00837901071791214i</v>
      </c>
      <c r="AA31" s="17">
        <f t="shared" si="71"/>
        <v>1.0000350305087058</v>
      </c>
      <c r="AB31" s="17">
        <f t="shared" si="72"/>
        <v>8.3788152453271383E-3</v>
      </c>
      <c r="AC31" s="66" t="str">
        <f t="shared" si="73"/>
        <v>2964.49502977667-12177.7901229162i</v>
      </c>
      <c r="AD31" s="64">
        <f t="shared" si="74"/>
        <v>81.961397012765374</v>
      </c>
      <c r="AE31" s="61">
        <f t="shared" si="75"/>
        <v>-76.318343800377519</v>
      </c>
      <c r="AF31" s="31" t="str">
        <f t="shared" si="60"/>
        <v>-1.33333333333333E-06</v>
      </c>
      <c r="AG31" s="31" t="str">
        <f t="shared" si="61"/>
        <v>0.0000848425954759433i</v>
      </c>
      <c r="AH31" s="31">
        <f t="shared" si="76"/>
        <v>8.4842595475943306E-5</v>
      </c>
      <c r="AI31" s="31">
        <f t="shared" si="77"/>
        <v>1.5707963267948966</v>
      </c>
      <c r="AJ31" s="31" t="str">
        <f t="shared" si="62"/>
        <v>1+0.000274341052895213i</v>
      </c>
      <c r="AK31" s="31">
        <f t="shared" si="78"/>
        <v>1.0000000376315059</v>
      </c>
      <c r="AL31" s="31">
        <f t="shared" si="79"/>
        <v>2.7434104601263521E-4</v>
      </c>
      <c r="AM31" s="31" t="str">
        <f t="shared" si="63"/>
        <v>1+0.274615393948108i</v>
      </c>
      <c r="AN31" s="31">
        <f t="shared" si="80"/>
        <v>1.0370215111526253</v>
      </c>
      <c r="AO31" s="31">
        <f t="shared" si="81"/>
        <v>0.26800861057336339</v>
      </c>
      <c r="AP31" s="58" t="str">
        <f t="shared" si="82"/>
        <v>-0.00431137261825467+0.0157165593123358i</v>
      </c>
      <c r="AQ31" s="49">
        <f t="shared" si="83"/>
        <v>-35.757749208583228</v>
      </c>
      <c r="AR31" s="61">
        <f t="shared" si="84"/>
        <v>105.34004367493532</v>
      </c>
      <c r="AS31" s="58" t="str">
        <f t="shared" si="85"/>
        <v>178.611918061658+99.0946528534028i</v>
      </c>
      <c r="AT31" s="64">
        <f t="shared" si="86"/>
        <v>46.203647804182133</v>
      </c>
      <c r="AU31" s="61">
        <f t="shared" si="87"/>
        <v>29.021699874557868</v>
      </c>
    </row>
    <row r="32" spans="1:48" x14ac:dyDescent="0.3">
      <c r="A32" t="s">
        <v>125</v>
      </c>
      <c r="B32" s="43">
        <f>R_sl</f>
        <v>3250</v>
      </c>
      <c r="C32" s="2" t="s">
        <v>35</v>
      </c>
      <c r="E32" t="s">
        <v>165</v>
      </c>
      <c r="N32" s="10">
        <v>14</v>
      </c>
      <c r="O32" s="50">
        <f t="shared" si="64"/>
        <v>13.803842646028857</v>
      </c>
      <c r="P32" s="48" t="str">
        <f t="shared" si="55"/>
        <v>51201.9230769231</v>
      </c>
      <c r="Q32" s="17" t="str">
        <f t="shared" si="56"/>
        <v>1+4.05305781056997i</v>
      </c>
      <c r="R32" s="17">
        <f t="shared" si="65"/>
        <v>4.174599096418989</v>
      </c>
      <c r="S32" s="17">
        <f t="shared" si="66"/>
        <v>1.3289002182635827</v>
      </c>
      <c r="T32" s="17" t="str">
        <f t="shared" si="57"/>
        <v>1+2.60196303888443E-10i</v>
      </c>
      <c r="U32" s="17">
        <f t="shared" si="67"/>
        <v>1</v>
      </c>
      <c r="V32" s="17">
        <f t="shared" si="68"/>
        <v>2.6019630388844299E-10</v>
      </c>
      <c r="W32" s="31" t="str">
        <f t="shared" si="58"/>
        <v>1-0.000140506004099759i</v>
      </c>
      <c r="X32" s="17">
        <f t="shared" si="69"/>
        <v>1.0000000098709685</v>
      </c>
      <c r="Y32" s="17">
        <f t="shared" si="70"/>
        <v>-1.4050600317513879E-4</v>
      </c>
      <c r="Z32" s="31" t="str">
        <f t="shared" si="59"/>
        <v>0.999999923781571+0.00857418294988483i</v>
      </c>
      <c r="AA32" s="17">
        <f t="shared" si="71"/>
        <v>1.0000366814154398</v>
      </c>
      <c r="AB32" s="17">
        <f t="shared" si="72"/>
        <v>8.5739734976512955E-3</v>
      </c>
      <c r="AC32" s="66" t="str">
        <f t="shared" si="73"/>
        <v>2834.04700385729-11932.7324307555i</v>
      </c>
      <c r="AD32" s="64">
        <f t="shared" si="74"/>
        <v>81.773111441651224</v>
      </c>
      <c r="AE32" s="61">
        <f t="shared" si="75"/>
        <v>-76.639676781659716</v>
      </c>
      <c r="AF32" s="31" t="str">
        <f t="shared" si="60"/>
        <v>-1.33333333333333E-06</v>
      </c>
      <c r="AG32" s="31" t="str">
        <f t="shared" si="61"/>
        <v>0.0000868188333974437i</v>
      </c>
      <c r="AH32" s="31">
        <f t="shared" si="76"/>
        <v>8.6818833397443702E-5</v>
      </c>
      <c r="AI32" s="31">
        <f t="shared" si="77"/>
        <v>1.5707963267948966</v>
      </c>
      <c r="AJ32" s="31" t="str">
        <f t="shared" si="62"/>
        <v>1+0.000280731276922595i</v>
      </c>
      <c r="AK32" s="31">
        <f t="shared" si="78"/>
        <v>1.0000000394050241</v>
      </c>
      <c r="AL32" s="31">
        <f t="shared" si="79"/>
        <v>2.8073126954778003E-4</v>
      </c>
      <c r="AM32" s="31" t="str">
        <f t="shared" si="63"/>
        <v>1+0.281012008199518i</v>
      </c>
      <c r="AN32" s="31">
        <f t="shared" si="80"/>
        <v>1.0387337237003167</v>
      </c>
      <c r="AO32" s="31">
        <f t="shared" si="81"/>
        <v>0.27394689119451809</v>
      </c>
      <c r="AP32" s="58" t="str">
        <f t="shared" si="82"/>
        <v>-0.00431137260296207+0.0153588612195148i</v>
      </c>
      <c r="AQ32" s="49">
        <f t="shared" si="83"/>
        <v>-35.943419892331065</v>
      </c>
      <c r="AR32" s="61">
        <f t="shared" si="84"/>
        <v>105.67991595925291</v>
      </c>
      <c r="AS32" s="58" t="str">
        <f t="shared" si="85"/>
        <v>171.05454876564+94.9741903022621i</v>
      </c>
      <c r="AT32" s="64">
        <f t="shared" si="86"/>
        <v>45.82969154932016</v>
      </c>
      <c r="AU32" s="61">
        <f t="shared" si="87"/>
        <v>29.040239177593232</v>
      </c>
      <c r="AV32" s="31"/>
    </row>
    <row r="33" spans="1:48" x14ac:dyDescent="0.3">
      <c r="A33" t="s">
        <v>111</v>
      </c>
      <c r="B33" s="21">
        <f>Rsl_int</f>
        <v>1333</v>
      </c>
      <c r="C33" s="2" t="s">
        <v>35</v>
      </c>
      <c r="E33" t="s">
        <v>166</v>
      </c>
      <c r="K33" s="31"/>
      <c r="N33" s="10">
        <v>15</v>
      </c>
      <c r="O33" s="50">
        <f t="shared" si="64"/>
        <v>14.125375446227544</v>
      </c>
      <c r="P33" s="48" t="str">
        <f t="shared" si="55"/>
        <v>51201.9230769231</v>
      </c>
      <c r="Q33" s="17" t="str">
        <f t="shared" si="56"/>
        <v>1+4.14746565486503i</v>
      </c>
      <c r="R33" s="17">
        <f t="shared" si="65"/>
        <v>4.2663182439059817</v>
      </c>
      <c r="S33" s="17">
        <f t="shared" si="66"/>
        <v>1.3342010264817368</v>
      </c>
      <c r="T33" s="17" t="str">
        <f t="shared" si="57"/>
        <v>1+2.66257054386397E-10i</v>
      </c>
      <c r="U33" s="17">
        <f t="shared" si="67"/>
        <v>1</v>
      </c>
      <c r="V33" s="17">
        <f t="shared" si="68"/>
        <v>2.6625705438639699E-10</v>
      </c>
      <c r="W33" s="31" t="str">
        <f t="shared" si="58"/>
        <v>1-0.000143778809368654i</v>
      </c>
      <c r="X33" s="17">
        <f t="shared" si="69"/>
        <v>1.000000010336173</v>
      </c>
      <c r="Y33" s="17">
        <f t="shared" si="70"/>
        <v>-1.4377880837790558E-4</v>
      </c>
      <c r="Z33" s="31" t="str">
        <f t="shared" si="59"/>
        <v>0.999999920189507+0.00877390132715026i</v>
      </c>
      <c r="AA33" s="17">
        <f t="shared" si="71"/>
        <v>1.0000384101240907</v>
      </c>
      <c r="AB33" s="17">
        <f t="shared" si="72"/>
        <v>8.7736768955040643E-3</v>
      </c>
      <c r="AC33" s="66" t="str">
        <f t="shared" si="73"/>
        <v>2708.80980923205-11691.26293322i</v>
      </c>
      <c r="AD33" s="64">
        <f t="shared" si="74"/>
        <v>81.584326960236922</v>
      </c>
      <c r="AE33" s="61">
        <f t="shared" si="75"/>
        <v>-76.955020399997579</v>
      </c>
      <c r="AF33" s="31" t="str">
        <f t="shared" si="60"/>
        <v>-1.33333333333333E-06</v>
      </c>
      <c r="AG33" s="31" t="str">
        <f t="shared" si="61"/>
        <v>0.0000888411038135943i</v>
      </c>
      <c r="AH33" s="31">
        <f t="shared" si="76"/>
        <v>8.8841103813594303E-5</v>
      </c>
      <c r="AI33" s="31">
        <f t="shared" si="77"/>
        <v>1.5707963267948966</v>
      </c>
      <c r="AJ33" s="31" t="str">
        <f t="shared" si="62"/>
        <v>1+0.000287270348388919i</v>
      </c>
      <c r="AK33" s="31">
        <f t="shared" si="78"/>
        <v>1.0000000412621257</v>
      </c>
      <c r="AL33" s="31">
        <f t="shared" si="79"/>
        <v>2.8727034048666242E-4</v>
      </c>
      <c r="AM33" s="31" t="str">
        <f t="shared" si="63"/>
        <v>1+0.287557618737308i</v>
      </c>
      <c r="AN33" s="31">
        <f t="shared" si="80"/>
        <v>1.0405236105412845</v>
      </c>
      <c r="AO33" s="31">
        <f t="shared" si="81"/>
        <v>0.28000304149856797</v>
      </c>
      <c r="AP33" s="58" t="str">
        <f t="shared" si="82"/>
        <v>-0.00431137258694876+0.0150093065982104i</v>
      </c>
      <c r="AQ33" s="49">
        <f t="shared" si="83"/>
        <v>-36.128465758102806</v>
      </c>
      <c r="AR33" s="61">
        <f t="shared" si="84"/>
        <v>106.02653315060513</v>
      </c>
      <c r="AS33" s="58" t="str">
        <f t="shared" si="85"/>
        <v>163.799061530211+91.0627474600985i</v>
      </c>
      <c r="AT33" s="64">
        <f t="shared" si="86"/>
        <v>45.455861202134116</v>
      </c>
      <c r="AU33" s="61">
        <f t="shared" si="87"/>
        <v>29.0715127506075</v>
      </c>
    </row>
    <row r="34" spans="1:48" x14ac:dyDescent="0.3">
      <c r="A34" t="s">
        <v>109</v>
      </c>
      <c r="B34" s="21">
        <f>Isl</f>
        <v>2.9999999999999997E-5</v>
      </c>
      <c r="C34" s="2" t="s">
        <v>12</v>
      </c>
      <c r="E34" t="s">
        <v>167</v>
      </c>
      <c r="K34" s="31"/>
      <c r="N34" s="10">
        <v>16</v>
      </c>
      <c r="O34" s="50">
        <f t="shared" si="64"/>
        <v>14.454397707459275</v>
      </c>
      <c r="P34" s="48" t="str">
        <f t="shared" si="55"/>
        <v>51201.9230769231</v>
      </c>
      <c r="Q34" s="17" t="str">
        <f t="shared" si="56"/>
        <v>1+4.24407254034849i</v>
      </c>
      <c r="R34" s="17">
        <f t="shared" si="65"/>
        <v>4.360292619508475</v>
      </c>
      <c r="S34" s="17">
        <f t="shared" si="66"/>
        <v>1.3393942994335994</v>
      </c>
      <c r="T34" s="17" t="str">
        <f t="shared" si="57"/>
        <v>1+2.72458977898915E-10i</v>
      </c>
      <c r="U34" s="17">
        <f t="shared" si="67"/>
        <v>1</v>
      </c>
      <c r="V34" s="17">
        <f t="shared" si="68"/>
        <v>2.7245897789891499E-10</v>
      </c>
      <c r="W34" s="31" t="str">
        <f t="shared" si="58"/>
        <v>1-0.000147127848065414i</v>
      </c>
      <c r="X34" s="17">
        <f t="shared" si="69"/>
        <v>1.0000000108233018</v>
      </c>
      <c r="Y34" s="17">
        <f t="shared" si="70"/>
        <v>-1.4712784700380793E-4</v>
      </c>
      <c r="Z34" s="31" t="str">
        <f t="shared" si="59"/>
        <v>0.999999916428155+0.00897827174303567i</v>
      </c>
      <c r="AA34" s="17">
        <f t="shared" si="71"/>
        <v>1.0000402203010681</v>
      </c>
      <c r="AB34" s="17">
        <f t="shared" si="72"/>
        <v>8.978031260716425E-3</v>
      </c>
      <c r="AC34" s="66" t="str">
        <f t="shared" si="73"/>
        <v>2588.60233046135-11453.4164792847i</v>
      </c>
      <c r="AD34" s="64">
        <f t="shared" si="74"/>
        <v>81.395063492653691</v>
      </c>
      <c r="AE34" s="61">
        <f t="shared" si="75"/>
        <v>-77.264473550073802</v>
      </c>
      <c r="AF34" s="31" t="str">
        <f t="shared" si="60"/>
        <v>-1.33333333333333E-06</v>
      </c>
      <c r="AG34" s="31" t="str">
        <f t="shared" si="61"/>
        <v>0.0000909104789589381i</v>
      </c>
      <c r="AH34" s="31">
        <f t="shared" si="76"/>
        <v>9.0910478958938098E-5</v>
      </c>
      <c r="AI34" s="31">
        <f t="shared" si="77"/>
        <v>1.5707963267948966</v>
      </c>
      <c r="AJ34" s="31" t="str">
        <f t="shared" si="62"/>
        <v>1+0.000293961734396432i</v>
      </c>
      <c r="AK34" s="31">
        <f t="shared" si="78"/>
        <v>1.0000000432067497</v>
      </c>
      <c r="AL34" s="31">
        <f t="shared" si="79"/>
        <v>2.9396172592901154E-4</v>
      </c>
      <c r="AM34" s="31" t="str">
        <f t="shared" si="63"/>
        <v>1+0.294255696130828i</v>
      </c>
      <c r="AN34" s="31">
        <f t="shared" si="80"/>
        <v>1.0423945580755103</v>
      </c>
      <c r="AO34" s="31">
        <f t="shared" si="81"/>
        <v>0.28617849487251301</v>
      </c>
      <c r="AP34" s="58" t="str">
        <f t="shared" si="82"/>
        <v>-0.00431137257018075+0.0146677101099354i</v>
      </c>
      <c r="AQ34" s="49">
        <f t="shared" si="83"/>
        <v>-36.31286185121381</v>
      </c>
      <c r="AR34" s="61">
        <f t="shared" si="84"/>
        <v>106.37997717736721</v>
      </c>
      <c r="AS34" s="58" t="str">
        <f t="shared" si="85"/>
        <v>156.834963603848+87.3488142167545i</v>
      </c>
      <c r="AT34" s="64">
        <f t="shared" si="86"/>
        <v>45.082201641439887</v>
      </c>
      <c r="AU34" s="61">
        <f t="shared" si="87"/>
        <v>29.115503627293403</v>
      </c>
    </row>
    <row r="35" spans="1:48" x14ac:dyDescent="0.3">
      <c r="A35" s="31"/>
      <c r="B35" s="26"/>
      <c r="C35" s="2"/>
      <c r="D35" s="31"/>
      <c r="E35" s="31"/>
      <c r="F35" s="31"/>
      <c r="G35" s="31"/>
      <c r="N35" s="10">
        <v>17</v>
      </c>
      <c r="O35" s="50">
        <f t="shared" si="64"/>
        <v>14.791083881682074</v>
      </c>
      <c r="P35" s="48" t="str">
        <f t="shared" si="55"/>
        <v>51201.9230769231</v>
      </c>
      <c r="Q35" s="17" t="str">
        <f t="shared" si="56"/>
        <v>1+4.34292968926979i</v>
      </c>
      <c r="R35" s="17">
        <f t="shared" si="65"/>
        <v>4.4565724818453241</v>
      </c>
      <c r="S35" s="17">
        <f t="shared" si="66"/>
        <v>1.3444816696646593</v>
      </c>
      <c r="T35" s="17" t="str">
        <f t="shared" si="57"/>
        <v>1+2.78805362767937E-10i</v>
      </c>
      <c r="U35" s="17">
        <f t="shared" si="67"/>
        <v>1</v>
      </c>
      <c r="V35" s="17">
        <f t="shared" si="68"/>
        <v>2.78805362767937E-10</v>
      </c>
      <c r="W35" s="31" t="str">
        <f t="shared" si="58"/>
        <v>1-0.000150554895894686i</v>
      </c>
      <c r="X35" s="17">
        <f t="shared" si="69"/>
        <v>1.0000000113333882</v>
      </c>
      <c r="Y35" s="17">
        <f t="shared" si="70"/>
        <v>-1.5055489475715461E-4</v>
      </c>
      <c r="Z35" s="31" t="str">
        <f t="shared" si="59"/>
        <v>0.999999912489535+0.00918740255744071i</v>
      </c>
      <c r="AA35" s="17">
        <f t="shared" si="71"/>
        <v>1.0000421157855455</v>
      </c>
      <c r="AB35" s="17">
        <f t="shared" si="72"/>
        <v>9.1871448765791733E-3</v>
      </c>
      <c r="AC35" s="66" t="str">
        <f t="shared" si="73"/>
        <v>2473.24746823372-11219.2209526052i</v>
      </c>
      <c r="AD35" s="64">
        <f t="shared" si="74"/>
        <v>81.205340263380151</v>
      </c>
      <c r="AE35" s="61">
        <f t="shared" si="75"/>
        <v>-77.568136075770525</v>
      </c>
      <c r="AF35" s="31" t="str">
        <f t="shared" si="60"/>
        <v>-1.33333333333333E-06</v>
      </c>
      <c r="AG35" s="31" t="str">
        <f t="shared" si="61"/>
        <v>0.0000930280560435683i</v>
      </c>
      <c r="AH35" s="31">
        <f t="shared" si="76"/>
        <v>9.3028056043568296E-5</v>
      </c>
      <c r="AI35" s="31">
        <f t="shared" si="77"/>
        <v>1.5707963267948966</v>
      </c>
      <c r="AJ35" s="31" t="str">
        <f t="shared" si="62"/>
        <v>1+0.000300808982806565i</v>
      </c>
      <c r="AK35" s="31">
        <f t="shared" si="78"/>
        <v>1.0000000452430211</v>
      </c>
      <c r="AL35" s="31">
        <f t="shared" si="79"/>
        <v>3.0080897373356054E-4</v>
      </c>
      <c r="AM35" s="31" t="str">
        <f t="shared" si="63"/>
        <v>1+0.301109791789372i</v>
      </c>
      <c r="AN35" s="31">
        <f t="shared" si="80"/>
        <v>1.0443500881942984</v>
      </c>
      <c r="AO35" s="31">
        <f t="shared" si="81"/>
        <v>0.2924746408327859</v>
      </c>
      <c r="AP35" s="58" t="str">
        <f t="shared" si="82"/>
        <v>-0.00431137255262252+0.0143338906357106i</v>
      </c>
      <c r="AQ35" s="49">
        <f t="shared" si="83"/>
        <v>-36.496582422540655</v>
      </c>
      <c r="AR35" s="61">
        <f t="shared" si="84"/>
        <v>106.74032744968862</v>
      </c>
      <c r="AS35" s="58" t="str">
        <f t="shared" si="85"/>
        <v>150.15199490213+83.8215000015798i</v>
      </c>
      <c r="AT35" s="64">
        <f t="shared" si="86"/>
        <v>44.708757840839503</v>
      </c>
      <c r="AU35" s="61">
        <f t="shared" si="87"/>
        <v>29.172191373918078</v>
      </c>
    </row>
    <row r="36" spans="1:48" x14ac:dyDescent="0.3">
      <c r="A36" s="31" t="s">
        <v>190</v>
      </c>
      <c r="B36" s="21">
        <f>Gcomp</f>
        <v>0.14199999999999999</v>
      </c>
      <c r="C36" s="2"/>
      <c r="D36" s="31"/>
      <c r="E36" s="31" t="s">
        <v>191</v>
      </c>
      <c r="F36" s="31"/>
      <c r="G36" s="31"/>
      <c r="N36" s="10">
        <v>18</v>
      </c>
      <c r="O36" s="50">
        <f t="shared" si="64"/>
        <v>15.135612484362087</v>
      </c>
      <c r="P36" s="48" t="str">
        <f t="shared" si="55"/>
        <v>51201.9230769231</v>
      </c>
      <c r="Q36" s="17" t="str">
        <f t="shared" si="56"/>
        <v>1+4.44408951699781i</v>
      </c>
      <c r="R36" s="17">
        <f t="shared" si="65"/>
        <v>4.555209285542194</v>
      </c>
      <c r="S36" s="17">
        <f t="shared" si="66"/>
        <v>1.3494647807537206</v>
      </c>
      <c r="T36" s="17" t="str">
        <f t="shared" si="57"/>
        <v>1+2.85299573930724E-10i</v>
      </c>
      <c r="U36" s="17">
        <f t="shared" si="67"/>
        <v>1</v>
      </c>
      <c r="V36" s="17">
        <f t="shared" si="68"/>
        <v>2.85299573930724E-10</v>
      </c>
      <c r="W36" s="31" t="str">
        <f t="shared" si="58"/>
        <v>1-0.000154061769922591i</v>
      </c>
      <c r="X36" s="17">
        <f t="shared" si="69"/>
        <v>1.0000000118675145</v>
      </c>
      <c r="Y36" s="17">
        <f t="shared" si="70"/>
        <v>-1.5406176870370417E-4</v>
      </c>
      <c r="Z36" s="31" t="str">
        <f t="shared" si="59"/>
        <v>0.999999908365294+0.00940140465429137i</v>
      </c>
      <c r="AA36" s="17">
        <f t="shared" si="71"/>
        <v>1.0000441005976035</v>
      </c>
      <c r="AB36" s="17">
        <f t="shared" si="72"/>
        <v>9.4011285449312528E-3</v>
      </c>
      <c r="AC36" s="66" t="str">
        <f t="shared" si="73"/>
        <v>2362.57225629482-10988.6976885285i</v>
      </c>
      <c r="AD36" s="64">
        <f t="shared" si="74"/>
        <v>81.015175813060978</v>
      </c>
      <c r="AE36" s="61">
        <f t="shared" si="75"/>
        <v>-77.866108599804278</v>
      </c>
      <c r="AF36" s="31" t="str">
        <f t="shared" si="60"/>
        <v>-1.33333333333333E-06</v>
      </c>
      <c r="AG36" s="31" t="str">
        <f t="shared" si="61"/>
        <v>0.0000951949578348847i</v>
      </c>
      <c r="AH36" s="31">
        <f t="shared" si="76"/>
        <v>9.5194957834884701E-5</v>
      </c>
      <c r="AI36" s="31">
        <f t="shared" si="77"/>
        <v>1.5707963267948966</v>
      </c>
      <c r="AJ36" s="31" t="str">
        <f t="shared" si="62"/>
        <v>1+0.00030781572412106i</v>
      </c>
      <c r="AK36" s="31">
        <f t="shared" si="78"/>
        <v>1.0000000473752588</v>
      </c>
      <c r="AL36" s="31">
        <f t="shared" si="79"/>
        <v>3.0781571439916056E-4</v>
      </c>
      <c r="AM36" s="31" t="str">
        <f t="shared" si="63"/>
        <v>1+0.308123539845181i</v>
      </c>
      <c r="AN36" s="31">
        <f t="shared" si="80"/>
        <v>1.0463938626572333</v>
      </c>
      <c r="AO36" s="31">
        <f t="shared" si="81"/>
        <v>0.29889282022120367</v>
      </c>
      <c r="AP36" s="58" t="str">
        <f t="shared" si="82"/>
        <v>-0.00431137253423678+0.0140076711800317i</v>
      </c>
      <c r="AQ36" s="49">
        <f t="shared" si="83"/>
        <v>-36.679600921083562</v>
      </c>
      <c r="AR36" s="61">
        <f t="shared" si="84"/>
        <v>107.10766058413461</v>
      </c>
      <c r="AS36" s="58" t="str">
        <f t="shared" si="85"/>
        <v>143.740134781742+80.4705047065964i</v>
      </c>
      <c r="AT36" s="64">
        <f t="shared" si="86"/>
        <v>44.335574891977394</v>
      </c>
      <c r="AU36" s="61">
        <f t="shared" si="87"/>
        <v>29.2415519843304</v>
      </c>
    </row>
    <row r="37" spans="1:48" x14ac:dyDescent="0.3">
      <c r="N37" s="10">
        <v>19</v>
      </c>
      <c r="O37" s="50">
        <f t="shared" si="64"/>
        <v>15.488166189124817</v>
      </c>
      <c r="P37" s="48" t="str">
        <f t="shared" si="55"/>
        <v>51201.9230769231</v>
      </c>
      <c r="Q37" s="17" t="str">
        <f t="shared" si="56"/>
        <v>1+4.54760565981222i</v>
      </c>
      <c r="R37" s="17">
        <f t="shared" si="65"/>
        <v>4.6562557100266879</v>
      </c>
      <c r="S37" s="17">
        <f t="shared" si="66"/>
        <v>1.3543452844657002</v>
      </c>
      <c r="T37" s="17" t="str">
        <f t="shared" si="57"/>
        <v>1+2.91945054703994E-10i</v>
      </c>
      <c r="U37" s="17">
        <f t="shared" si="67"/>
        <v>1</v>
      </c>
      <c r="V37" s="17">
        <f t="shared" si="68"/>
        <v>2.9194505470399399E-10</v>
      </c>
      <c r="W37" s="31" t="str">
        <f t="shared" si="58"/>
        <v>1-0.000157650329540157i</v>
      </c>
      <c r="X37" s="17">
        <f t="shared" si="69"/>
        <v>1.0000000124268131</v>
      </c>
      <c r="Y37" s="17">
        <f t="shared" si="70"/>
        <v>-1.5765032823409622E-4</v>
      </c>
      <c r="Z37" s="31" t="str">
        <f t="shared" si="59"/>
        <v>0.999999904046683+0.00962039150033202i</v>
      </c>
      <c r="AA37" s="17">
        <f t="shared" si="71"/>
        <v>1.0000461789467499</v>
      </c>
      <c r="AB37" s="17">
        <f t="shared" si="72"/>
        <v>9.620095644560147E-3</v>
      </c>
      <c r="AC37" s="66" t="str">
        <f t="shared" si="73"/>
        <v>2256.40795444136-10761.8618781612i</v>
      </c>
      <c r="AD37" s="64">
        <f t="shared" si="74"/>
        <v>80.824588014730949</v>
      </c>
      <c r="AE37" s="61">
        <f t="shared" si="75"/>
        <v>-78.158492363994426</v>
      </c>
      <c r="AF37" s="31" t="str">
        <f t="shared" si="60"/>
        <v>-1.33333333333333E-06</v>
      </c>
      <c r="AG37" s="31" t="str">
        <f t="shared" si="61"/>
        <v>0.0000974123332528994i</v>
      </c>
      <c r="AH37" s="31">
        <f t="shared" si="76"/>
        <v>9.7412333252899406E-5</v>
      </c>
      <c r="AI37" s="31">
        <f t="shared" si="77"/>
        <v>1.5707963267948966</v>
      </c>
      <c r="AJ37" s="31" t="str">
        <f t="shared" si="62"/>
        <v>1+0.000314985673406906i</v>
      </c>
      <c r="AK37" s="31">
        <f t="shared" si="78"/>
        <v>1.0000000496079859</v>
      </c>
      <c r="AL37" s="31">
        <f t="shared" si="79"/>
        <v>3.1498566298970312E-4</v>
      </c>
      <c r="AM37" s="31" t="str">
        <f t="shared" si="63"/>
        <v>1+0.315300659080314i</v>
      </c>
      <c r="AN37" s="31">
        <f t="shared" si="80"/>
        <v>1.0485296875227141</v>
      </c>
      <c r="AO37" s="31">
        <f t="shared" si="81"/>
        <v>0.30543432018838207</v>
      </c>
      <c r="AP37" s="58" t="str">
        <f t="shared" si="82"/>
        <v>-0.00431137251498454+0.0136888787770254i</v>
      </c>
      <c r="AQ37" s="49">
        <f t="shared" si="83"/>
        <v>-36.861889988214223</v>
      </c>
      <c r="AR37" s="61">
        <f t="shared" si="84"/>
        <v>107.48205011614527</v>
      </c>
      <c r="AS37" s="58" t="str">
        <f t="shared" si="85"/>
        <v>137.589607427869+77.2860904714277i</v>
      </c>
      <c r="AT37" s="64">
        <f t="shared" si="86"/>
        <v>43.962698026516733</v>
      </c>
      <c r="AU37" s="61">
        <f t="shared" si="87"/>
        <v>29.323557752150784</v>
      </c>
      <c r="AV37" s="31"/>
    </row>
    <row r="38" spans="1:48" x14ac:dyDescent="0.3">
      <c r="N38" s="10">
        <v>20</v>
      </c>
      <c r="O38" s="50">
        <f t="shared" si="64"/>
        <v>15.848931924611136</v>
      </c>
      <c r="P38" s="48" t="str">
        <f t="shared" si="55"/>
        <v>51201.9230769231</v>
      </c>
      <c r="Q38" s="17" t="str">
        <f t="shared" si="56"/>
        <v>1+4.65353300334214i</v>
      </c>
      <c r="R38" s="17">
        <f t="shared" si="65"/>
        <v>4.7597656888963051</v>
      </c>
      <c r="S38" s="17">
        <f t="shared" si="66"/>
        <v>1.3591248380827285</v>
      </c>
      <c r="T38" s="17" t="str">
        <f t="shared" si="57"/>
        <v>1+2.98745328609619E-10i</v>
      </c>
      <c r="U38" s="17">
        <f t="shared" si="67"/>
        <v>1</v>
      </c>
      <c r="V38" s="17">
        <f t="shared" si="68"/>
        <v>2.98745328609619E-10</v>
      </c>
      <c r="W38" s="31" t="str">
        <f t="shared" si="58"/>
        <v>1-0.000161322477449194i</v>
      </c>
      <c r="X38" s="17">
        <f t="shared" si="69"/>
        <v>1.0000000130124709</v>
      </c>
      <c r="Y38" s="17">
        <f t="shared" si="70"/>
        <v>-1.6132247604972466E-4</v>
      </c>
      <c r="Z38" s="31" t="str">
        <f t="shared" si="59"/>
        <v>0.999999899524543+0.00984447920528709i</v>
      </c>
      <c r="AA38" s="17">
        <f t="shared" si="71"/>
        <v>1.000048355240845</v>
      </c>
      <c r="AB38" s="17">
        <f t="shared" si="72"/>
        <v>9.8441621909438302E-3</v>
      </c>
      <c r="AC38" s="66" t="str">
        <f t="shared" si="73"/>
        <v>2154.59011948555-10538.7229588971i</v>
      </c>
      <c r="AD38" s="64">
        <f t="shared" si="74"/>
        <v>80.633594090354364</v>
      </c>
      <c r="AE38" s="61">
        <f t="shared" si="75"/>
        <v>-78.445389079826441</v>
      </c>
      <c r="AF38" s="31" t="str">
        <f t="shared" si="60"/>
        <v>-1.33333333333333E-06</v>
      </c>
      <c r="AG38" s="31" t="str">
        <f t="shared" si="61"/>
        <v>0.0000996813579794094i</v>
      </c>
      <c r="AH38" s="31">
        <f t="shared" si="76"/>
        <v>9.9681357979409404E-5</v>
      </c>
      <c r="AI38" s="31">
        <f t="shared" si="77"/>
        <v>1.5707963267948966</v>
      </c>
      <c r="AJ38" s="31" t="str">
        <f t="shared" si="62"/>
        <v>1+0.000322322632266122i</v>
      </c>
      <c r="AK38" s="31">
        <f t="shared" si="78"/>
        <v>1.0000000519459382</v>
      </c>
      <c r="AL38" s="31">
        <f t="shared" si="79"/>
        <v>3.2232262110388804E-4</v>
      </c>
      <c r="AM38" s="31" t="str">
        <f t="shared" si="63"/>
        <v>1+0.322644954898388i</v>
      </c>
      <c r="AN38" s="31">
        <f t="shared" si="80"/>
        <v>1.0507615176248999</v>
      </c>
      <c r="AO38" s="31">
        <f t="shared" si="81"/>
        <v>0.31210036896692506</v>
      </c>
      <c r="AP38" s="58" t="str">
        <f t="shared" si="82"/>
        <v>-0.00431137249482498+0.0133773443987398i</v>
      </c>
      <c r="AQ38" s="49">
        <f t="shared" si="83"/>
        <v>-37.04342145378785</v>
      </c>
      <c r="AR38" s="61">
        <f t="shared" si="84"/>
        <v>107.86356620044981</v>
      </c>
      <c r="AS38" s="58" t="str">
        <f t="shared" si="85"/>
        <v>131.690885965301+74.2590543620496i</v>
      </c>
      <c r="AT38" s="64">
        <f t="shared" si="86"/>
        <v>43.590172636566528</v>
      </c>
      <c r="AU38" s="61">
        <f t="shared" si="87"/>
        <v>29.418177120623369</v>
      </c>
      <c r="AV38" s="31"/>
    </row>
    <row r="39" spans="1:48" x14ac:dyDescent="0.3">
      <c r="A39" t="s">
        <v>504</v>
      </c>
      <c r="N39" s="10">
        <v>21</v>
      </c>
      <c r="O39" s="50">
        <f t="shared" si="64"/>
        <v>16.218100973589298</v>
      </c>
      <c r="P39" s="48" t="str">
        <f t="shared" si="55"/>
        <v>51201.9230769231</v>
      </c>
      <c r="Q39" s="17" t="str">
        <f t="shared" si="56"/>
        <v>1+4.76192771166721i</v>
      </c>
      <c r="R39" s="17">
        <f t="shared" si="65"/>
        <v>4.865794439877634</v>
      </c>
      <c r="S39" s="17">
        <f t="shared" si="66"/>
        <v>1.3638051019073736</v>
      </c>
      <c r="T39" s="17" t="str">
        <f t="shared" si="57"/>
        <v>1+3.05704001242833E-10i</v>
      </c>
      <c r="U39" s="17">
        <f t="shared" si="67"/>
        <v>1</v>
      </c>
      <c r="V39" s="17">
        <f t="shared" si="68"/>
        <v>3.05704001242833E-10</v>
      </c>
      <c r="W39" s="31" t="str">
        <f t="shared" si="58"/>
        <v>1-0.00016508016067113i</v>
      </c>
      <c r="X39" s="17">
        <f t="shared" si="69"/>
        <v>1.0000000136257297</v>
      </c>
      <c r="Y39" s="17">
        <f t="shared" si="70"/>
        <v>-1.6508015917157161E-4</v>
      </c>
      <c r="Z39" s="31" t="str">
        <f t="shared" si="59"/>
        <v>0.99999989478928+0.0100737865834239i</v>
      </c>
      <c r="AA39" s="17">
        <f t="shared" si="71"/>
        <v>1.000050634095444</v>
      </c>
      <c r="AB39" s="17">
        <f t="shared" si="72"/>
        <v>1.0073446897363954E-2</v>
      </c>
      <c r="AC39" s="66" t="str">
        <f t="shared" si="73"/>
        <v>2056.95865601933-10319.2849909545i</v>
      </c>
      <c r="AD39" s="64">
        <f t="shared" si="74"/>
        <v>80.442210627597802</v>
      </c>
      <c r="AE39" s="61">
        <f t="shared" si="75"/>
        <v>-78.72690078895603</v>
      </c>
      <c r="AF39" s="31" t="str">
        <f t="shared" si="60"/>
        <v>-1.33333333333333E-06</v>
      </c>
      <c r="AG39" s="31" t="str">
        <f t="shared" si="61"/>
        <v>0.000102003235081359i</v>
      </c>
      <c r="AH39" s="31">
        <f t="shared" si="76"/>
        <v>1.0200323508135899E-4</v>
      </c>
      <c r="AI39" s="31">
        <f t="shared" si="77"/>
        <v>1.5707963267948966</v>
      </c>
      <c r="AJ39" s="31" t="str">
        <f t="shared" si="62"/>
        <v>1+0.000329830490851408i</v>
      </c>
      <c r="AK39" s="31">
        <f t="shared" si="78"/>
        <v>1.0000000543940748</v>
      </c>
      <c r="AL39" s="31">
        <f t="shared" si="79"/>
        <v>3.2983047889085886E-4</v>
      </c>
      <c r="AM39" s="31" t="str">
        <f t="shared" si="63"/>
        <v>1+0.33016032134226i</v>
      </c>
      <c r="AN39" s="31">
        <f t="shared" si="80"/>
        <v>1.0530934610891971</v>
      </c>
      <c r="AO39" s="31">
        <f t="shared" si="81"/>
        <v>0.31889213043824338</v>
      </c>
      <c r="AP39" s="58" t="str">
        <f t="shared" si="82"/>
        <v>-0.00431137247371531+0.0130729028655239i</v>
      </c>
      <c r="AQ39" s="49">
        <f t="shared" si="83"/>
        <v>-37.224166334300477</v>
      </c>
      <c r="AR39" s="61">
        <f t="shared" si="84"/>
        <v>108.25227529965153</v>
      </c>
      <c r="AS39" s="58" t="str">
        <f t="shared" si="85"/>
        <v>126.034695399275+71.3807019669641i</v>
      </c>
      <c r="AT39" s="64">
        <f t="shared" si="86"/>
        <v>43.218044293297346</v>
      </c>
      <c r="AU39" s="61">
        <f t="shared" si="87"/>
        <v>29.525374510695475</v>
      </c>
    </row>
    <row r="40" spans="1:48" x14ac:dyDescent="0.3">
      <c r="A40" t="s">
        <v>505</v>
      </c>
      <c r="B40" s="32">
        <f>((Np/NS1_)*(VOUT1+VD))/((VIN_var+(Np/NS1_)*(VOUT1+VD)))</f>
        <v>0.92592592592592593</v>
      </c>
      <c r="C40" t="s">
        <v>14</v>
      </c>
      <c r="E40" t="s">
        <v>506</v>
      </c>
      <c r="N40" s="10">
        <v>22</v>
      </c>
      <c r="O40" s="50">
        <f t="shared" si="64"/>
        <v>16.595869074375614</v>
      </c>
      <c r="P40" s="48" t="str">
        <f t="shared" si="55"/>
        <v>51201.9230769231</v>
      </c>
      <c r="Q40" s="17" t="str">
        <f t="shared" si="56"/>
        <v>1+4.8728472570966i</v>
      </c>
      <c r="R40" s="17">
        <f t="shared" si="65"/>
        <v>4.9743984953955849</v>
      </c>
      <c r="S40" s="17">
        <f t="shared" si="66"/>
        <v>1.3683877369316371</v>
      </c>
      <c r="T40" s="17" t="str">
        <f t="shared" si="57"/>
        <v>1+3.12824762183979E-10i</v>
      </c>
      <c r="U40" s="17">
        <f t="shared" si="67"/>
        <v>1</v>
      </c>
      <c r="V40" s="17">
        <f t="shared" si="68"/>
        <v>3.1282476218397899E-10</v>
      </c>
      <c r="W40" s="31" t="str">
        <f t="shared" si="58"/>
        <v>1-0.000168925371579349i</v>
      </c>
      <c r="X40" s="17">
        <f t="shared" si="69"/>
        <v>1.0000000142678904</v>
      </c>
      <c r="Y40" s="17">
        <f t="shared" si="70"/>
        <v>-1.6892536997254322E-4</v>
      </c>
      <c r="Z40" s="31" t="str">
        <f t="shared" si="59"/>
        <v>0.999999889830852+0.0103084352165495i</v>
      </c>
      <c r="AA40" s="17">
        <f t="shared" si="71"/>
        <v>1.0000530203435865</v>
      </c>
      <c r="AB40" s="17">
        <f t="shared" si="72"/>
        <v>1.030807123742076E-2</v>
      </c>
      <c r="AC40" s="66" t="str">
        <f t="shared" si="73"/>
        <v>1963.35784872546-10103.5470196049i</v>
      </c>
      <c r="AD40" s="64">
        <f t="shared" si="74"/>
        <v>80.250453596759542</v>
      </c>
      <c r="AE40" s="61">
        <f t="shared" si="75"/>
        <v>-79.003129733293775</v>
      </c>
      <c r="AF40" s="31" t="str">
        <f t="shared" si="60"/>
        <v>-1.33333333333333E-06</v>
      </c>
      <c r="AG40" s="31" t="str">
        <f t="shared" si="61"/>
        <v>0.000104379195648721i</v>
      </c>
      <c r="AH40" s="31">
        <f t="shared" si="76"/>
        <v>1.04379195648721E-4</v>
      </c>
      <c r="AI40" s="31">
        <f t="shared" si="77"/>
        <v>1.5707963267948966</v>
      </c>
      <c r="AJ40" s="31" t="str">
        <f t="shared" si="62"/>
        <v>1+0.000337513229928768i</v>
      </c>
      <c r="AK40" s="31">
        <f t="shared" si="78"/>
        <v>1.0000000569575886</v>
      </c>
      <c r="AL40" s="31">
        <f t="shared" si="79"/>
        <v>3.3751321711280869E-4</v>
      </c>
      <c r="AM40" s="31" t="str">
        <f t="shared" si="63"/>
        <v>1+0.337850743158697i</v>
      </c>
      <c r="AN40" s="31">
        <f t="shared" si="80"/>
        <v>1.0555297838776905</v>
      </c>
      <c r="AO40" s="31">
        <f t="shared" si="81"/>
        <v>0.32581069849844879</v>
      </c>
      <c r="AP40" s="58" t="str">
        <f t="shared" si="82"/>
        <v>-0.00431137245161079+0.012775392758447i</v>
      </c>
      <c r="AQ40" s="49">
        <f t="shared" si="83"/>
        <v>-37.404094833281903</v>
      </c>
      <c r="AR40" s="61">
        <f t="shared" si="84"/>
        <v>108.64823986130008</v>
      </c>
      <c r="AS40" s="58" t="str">
        <f t="shared" si="85"/>
        <v>120.61201448724+68.6428219267262i</v>
      </c>
      <c r="AT40" s="64">
        <f t="shared" si="86"/>
        <v>42.846358763477603</v>
      </c>
      <c r="AU40" s="61">
        <f t="shared" si="87"/>
        <v>29.645110128006401</v>
      </c>
    </row>
    <row r="41" spans="1:48" x14ac:dyDescent="0.3">
      <c r="A41" t="s">
        <v>189</v>
      </c>
      <c r="B41" s="27">
        <f>Gcomp*((VOUT1^2)/(Pout_var))*((1-Dc_var_ccm)/((1+Dc_var_ccm)*((Acs*R_cs)/(Np/NS1_))))</f>
        <v>51201.923076923063</v>
      </c>
      <c r="C41" t="s">
        <v>144</v>
      </c>
      <c r="E41" t="s">
        <v>193</v>
      </c>
      <c r="N41" s="10">
        <v>23</v>
      </c>
      <c r="O41" s="50">
        <f t="shared" si="64"/>
        <v>16.982436524617448</v>
      </c>
      <c r="P41" s="48" t="str">
        <f t="shared" si="55"/>
        <v>51201.9230769231</v>
      </c>
      <c r="Q41" s="17" t="str">
        <f t="shared" si="56"/>
        <v>1+4.98635045064143i</v>
      </c>
      <c r="R41" s="17">
        <f t="shared" si="65"/>
        <v>5.0856357337713431</v>
      </c>
      <c r="S41" s="17">
        <f t="shared" si="66"/>
        <v>1.3728744026652435</v>
      </c>
      <c r="T41" s="17" t="str">
        <f t="shared" si="57"/>
        <v>1+3.20111386954758E-10i</v>
      </c>
      <c r="U41" s="17">
        <f t="shared" si="67"/>
        <v>1</v>
      </c>
      <c r="V41" s="17">
        <f t="shared" si="68"/>
        <v>3.2011138695475798E-10</v>
      </c>
      <c r="W41" s="31" t="str">
        <f t="shared" si="58"/>
        <v>1-0.000172860148955569i</v>
      </c>
      <c r="X41" s="17">
        <f t="shared" si="69"/>
        <v>1.0000000149403154</v>
      </c>
      <c r="Y41" s="17">
        <f t="shared" si="70"/>
        <v>-1.7286014723384561E-4</v>
      </c>
      <c r="Z41" s="31" t="str">
        <f t="shared" si="59"/>
        <v>0.99999988463874+0.0105485495184753i</v>
      </c>
      <c r="AA41" s="17">
        <f t="shared" si="71"/>
        <v>1.0000555190460363</v>
      </c>
      <c r="AB41" s="17">
        <f t="shared" si="72"/>
        <v>1.0548159508981532E-2</v>
      </c>
      <c r="AC41" s="66" t="str">
        <f t="shared" si="73"/>
        <v>1873.6363778994-9891.50342289638i</v>
      </c>
      <c r="AD41" s="64">
        <f t="shared" si="74"/>
        <v>80.058338367788622</v>
      </c>
      <c r="AE41" s="61">
        <f t="shared" si="75"/>
        <v>-79.274178234299299</v>
      </c>
      <c r="AF41" s="31" t="str">
        <f t="shared" si="60"/>
        <v>-1.33333333333333E-06</v>
      </c>
      <c r="AG41" s="31" t="str">
        <f t="shared" si="61"/>
        <v>0.000106810499447238i</v>
      </c>
      <c r="AH41" s="31">
        <f t="shared" si="76"/>
        <v>1.06810499447238E-4</v>
      </c>
      <c r="AI41" s="31">
        <f t="shared" si="77"/>
        <v>1.5707963267948966</v>
      </c>
      <c r="AJ41" s="31" t="str">
        <f t="shared" si="62"/>
        <v>1+0.00034537492298815i</v>
      </c>
      <c r="AK41" s="31">
        <f t="shared" si="78"/>
        <v>1.000000059641917</v>
      </c>
      <c r="AL41" s="31">
        <f t="shared" si="79"/>
        <v>3.4537490925560225E-4</v>
      </c>
      <c r="AM41" s="31" t="str">
        <f t="shared" si="63"/>
        <v>1+0.345720297911139i</v>
      </c>
      <c r="AN41" s="31">
        <f t="shared" si="80"/>
        <v>1.0580749143552013</v>
      </c>
      <c r="AO41" s="31">
        <f t="shared" si="81"/>
        <v>0.33285709123059337</v>
      </c>
      <c r="AP41" s="58" t="str">
        <f t="shared" si="82"/>
        <v>-0.00431137242846451+0.0124846563337123i</v>
      </c>
      <c r="AQ41" s="49">
        <f t="shared" si="83"/>
        <v>-37.583176344119259</v>
      </c>
      <c r="AR41" s="61">
        <f t="shared" si="84"/>
        <v>109.05151798386392</v>
      </c>
      <c r="AS41" s="58" t="str">
        <f t="shared" si="85"/>
        <v>115.414076637957+66.0376614059533i</v>
      </c>
      <c r="AT41" s="64">
        <f t="shared" si="86"/>
        <v>42.475162023669384</v>
      </c>
      <c r="AU41" s="61">
        <f t="shared" si="87"/>
        <v>29.777339749564547</v>
      </c>
    </row>
    <row r="42" spans="1:48" s="31" customFormat="1" x14ac:dyDescent="0.3">
      <c r="A42" t="s">
        <v>206</v>
      </c>
      <c r="B42" s="29">
        <f>(1+Dc_var_ccm)/(Cout_total*((VOUT1^2)/Pout_var))</f>
        <v>21.399176954732514</v>
      </c>
      <c r="C42" t="s">
        <v>205</v>
      </c>
      <c r="D42"/>
      <c r="E42" t="s">
        <v>196</v>
      </c>
      <c r="F42"/>
      <c r="G42"/>
      <c r="K42"/>
      <c r="N42" s="10">
        <v>24</v>
      </c>
      <c r="O42" s="50">
        <f t="shared" si="64"/>
        <v>17.378008287493756</v>
      </c>
      <c r="P42" s="48" t="str">
        <f t="shared" si="55"/>
        <v>51201.9230769231</v>
      </c>
      <c r="Q42" s="17" t="str">
        <f t="shared" si="56"/>
        <v>1+5.10249747319737i</v>
      </c>
      <c r="R42" s="17">
        <f t="shared" si="65"/>
        <v>5.199565411069039</v>
      </c>
      <c r="S42" s="17">
        <f t="shared" si="66"/>
        <v>1.3772667551167093</v>
      </c>
      <c r="T42" s="17" t="str">
        <f t="shared" si="57"/>
        <v>1+3.27567739020078E-10i</v>
      </c>
      <c r="U42" s="17">
        <f t="shared" si="67"/>
        <v>1</v>
      </c>
      <c r="V42" s="17">
        <f t="shared" si="68"/>
        <v>3.2756773902007801E-10</v>
      </c>
      <c r="W42" s="31" t="str">
        <f t="shared" si="58"/>
        <v>1-0.000176886579070842i</v>
      </c>
      <c r="X42" s="17">
        <f t="shared" si="69"/>
        <v>1.0000000156444309</v>
      </c>
      <c r="Y42" s="17">
        <f t="shared" si="70"/>
        <v>-1.7688657722598211E-4</v>
      </c>
      <c r="Z42" s="31" t="str">
        <f t="shared" si="59"/>
        <v>0.999999879201931+0.0107942568009823i</v>
      </c>
      <c r="AA42" s="17">
        <f t="shared" si="71"/>
        <v>1.0000581355020128</v>
      </c>
      <c r="AB42" s="17">
        <f t="shared" si="72"/>
        <v>1.079383889959256E-2</v>
      </c>
      <c r="AC42" s="66" t="str">
        <f t="shared" si="73"/>
        <v>1787.64731975774-9683.1442447775i</v>
      </c>
      <c r="AD42" s="64">
        <f t="shared" si="74"/>
        <v>79.865879727329499</v>
      </c>
      <c r="AE42" s="61">
        <f t="shared" si="75"/>
        <v>-79.540148581115446</v>
      </c>
      <c r="AF42" s="31" t="str">
        <f t="shared" si="60"/>
        <v>-1.33333333333333E-06</v>
      </c>
      <c r="AG42" s="31" t="str">
        <f t="shared" si="61"/>
        <v>0.000109298435586366i</v>
      </c>
      <c r="AH42" s="31">
        <f t="shared" si="76"/>
        <v>1.09298435586366E-4</v>
      </c>
      <c r="AI42" s="31">
        <f t="shared" si="77"/>
        <v>1.5707963267948966</v>
      </c>
      <c r="AJ42" s="31" t="str">
        <f t="shared" si="62"/>
        <v>1+0.000353419738403281i</v>
      </c>
      <c r="AK42" s="31">
        <f t="shared" si="78"/>
        <v>1.0000000624527539</v>
      </c>
      <c r="AL42" s="31">
        <f t="shared" si="79"/>
        <v>3.5341972368859104E-4</v>
      </c>
      <c r="AM42" s="31" t="str">
        <f t="shared" si="63"/>
        <v>1+0.353773158141684i</v>
      </c>
      <c r="AN42" s="31">
        <f t="shared" si="80"/>
        <v>1.0607334478659287</v>
      </c>
      <c r="AO42" s="31">
        <f t="shared" si="81"/>
        <v>0.34003224489246603</v>
      </c>
      <c r="AP42" s="58" t="str">
        <f t="shared" si="82"/>
        <v>-0.00431137240422739+0.0122005394390188i</v>
      </c>
      <c r="AQ42" s="49">
        <f t="shared" si="83"/>
        <v>-37.761379455511339</v>
      </c>
      <c r="AR42" s="61">
        <f t="shared" si="84"/>
        <v>109.46216307213319</v>
      </c>
      <c r="AS42" s="58" t="str">
        <f t="shared" si="85"/>
        <v>110.432369929221+63.5579025108475i</v>
      </c>
      <c r="AT42" s="64">
        <f t="shared" si="86"/>
        <v>42.104500271818154</v>
      </c>
      <c r="AU42" s="61">
        <f t="shared" si="87"/>
        <v>29.922014491017787</v>
      </c>
      <c r="AV42"/>
    </row>
    <row r="43" spans="1:48" s="31" customFormat="1" x14ac:dyDescent="0.3">
      <c r="A43"/>
      <c r="B43" s="29">
        <f>wp_lf/(2*PI())</f>
        <v>3.4057847904438514</v>
      </c>
      <c r="C43" t="s">
        <v>61</v>
      </c>
      <c r="D43"/>
      <c r="E43"/>
      <c r="F43"/>
      <c r="G43"/>
      <c r="N43" s="10">
        <v>25</v>
      </c>
      <c r="O43" s="50">
        <f t="shared" si="64"/>
        <v>17.782794100389236</v>
      </c>
      <c r="P43" s="48" t="str">
        <f t="shared" si="55"/>
        <v>51201.9230769231</v>
      </c>
      <c r="Q43" s="17" t="str">
        <f t="shared" si="56"/>
        <v>1+5.2213499074531i</v>
      </c>
      <c r="R43" s="17">
        <f t="shared" si="65"/>
        <v>5.3162481936098978</v>
      </c>
      <c r="S43" s="17">
        <f t="shared" si="66"/>
        <v>1.381566444920606</v>
      </c>
      <c r="T43" s="17" t="str">
        <f t="shared" si="57"/>
        <v>1+3.35197771836495E-10i</v>
      </c>
      <c r="U43" s="17">
        <f t="shared" si="67"/>
        <v>1</v>
      </c>
      <c r="V43" s="17">
        <f t="shared" si="68"/>
        <v>3.35197771836495E-10</v>
      </c>
      <c r="W43" s="31" t="str">
        <f t="shared" si="58"/>
        <v>1-0.000181006796791707i</v>
      </c>
      <c r="X43" s="17">
        <f t="shared" si="69"/>
        <v>1.00000001638173</v>
      </c>
      <c r="Y43" s="17">
        <f t="shared" si="70"/>
        <v>-1.8100679481490402E-4</v>
      </c>
      <c r="Z43" s="31" t="str">
        <f t="shared" si="59"/>
        <v>0.999999873508894+0.011045687341324i</v>
      </c>
      <c r="AA43" s="17">
        <f t="shared" si="71"/>
        <v>1.0000608752604243</v>
      </c>
      <c r="AB43" s="17">
        <f t="shared" si="72"/>
        <v>1.1045239553389343E-2</v>
      </c>
      <c r="AC43" s="66" t="str">
        <f t="shared" si="73"/>
        <v>1705.24813302347-9478.45551362332i</v>
      </c>
      <c r="AD43" s="64">
        <f t="shared" si="74"/>
        <v>79.673091895736633</v>
      </c>
      <c r="AE43" s="61">
        <f t="shared" si="75"/>
        <v>-79.801142927164847</v>
      </c>
      <c r="AF43" s="31" t="str">
        <f t="shared" si="60"/>
        <v>-1.33333333333333E-06</v>
      </c>
      <c r="AG43" s="31" t="str">
        <f t="shared" si="61"/>
        <v>0.000111844323202778i</v>
      </c>
      <c r="AH43" s="31">
        <f t="shared" si="76"/>
        <v>1.11844323202778E-4</v>
      </c>
      <c r="AI43" s="31">
        <f t="shared" si="77"/>
        <v>1.5707963267948966</v>
      </c>
      <c r="AJ43" s="31" t="str">
        <f t="shared" si="62"/>
        <v>1+0.000361651941641772i</v>
      </c>
      <c r="AK43" s="31">
        <f t="shared" si="78"/>
        <v>1.0000000653960612</v>
      </c>
      <c r="AL43" s="31">
        <f t="shared" si="79"/>
        <v>3.6165192587469765E-4</v>
      </c>
      <c r="AM43" s="31" t="str">
        <f t="shared" si="63"/>
        <v>1+0.362013593583415i</v>
      </c>
      <c r="AN43" s="31">
        <f t="shared" si="80"/>
        <v>1.0635101513098866</v>
      </c>
      <c r="AO43" s="31">
        <f t="shared" si="81"/>
        <v>0.34733700773121623</v>
      </c>
      <c r="AP43" s="58" t="str">
        <f t="shared" si="82"/>
        <v>-0.00431137237884798+0.0119228914318284i</v>
      </c>
      <c r="AQ43" s="49">
        <f t="shared" si="83"/>
        <v>-37.938671959756853</v>
      </c>
      <c r="AR43" s="61">
        <f t="shared" si="84"/>
        <v>109.88022348269614</v>
      </c>
      <c r="AS43" s="58" t="str">
        <f t="shared" si="85"/>
        <v>105.658636330547+61.1966396499418i</v>
      </c>
      <c r="AT43" s="64">
        <f t="shared" si="86"/>
        <v>41.734419935979794</v>
      </c>
      <c r="AU43" s="61">
        <f t="shared" si="87"/>
        <v>30.079080555531188</v>
      </c>
      <c r="AV43"/>
    </row>
    <row r="44" spans="1:48" s="31" customFormat="1" x14ac:dyDescent="0.3">
      <c r="A44"/>
      <c r="B44" s="26"/>
      <c r="C44"/>
      <c r="D44"/>
      <c r="E44"/>
      <c r="F44"/>
      <c r="G44"/>
      <c r="N44" s="10">
        <v>26</v>
      </c>
      <c r="O44" s="50">
        <f t="shared" si="64"/>
        <v>18.197008586099841</v>
      </c>
      <c r="P44" s="48" t="str">
        <f t="shared" si="55"/>
        <v>51201.9230769231</v>
      </c>
      <c r="Q44" s="17" t="str">
        <f t="shared" si="56"/>
        <v>1+5.34297077054253i</v>
      </c>
      <c r="R44" s="17">
        <f t="shared" si="65"/>
        <v>5.4357461911748448</v>
      </c>
      <c r="S44" s="17">
        <f t="shared" si="66"/>
        <v>1.385775115604521</v>
      </c>
      <c r="T44" s="17" t="str">
        <f t="shared" si="57"/>
        <v>1+3.43005530948409E-10i</v>
      </c>
      <c r="U44" s="17">
        <f t="shared" si="67"/>
        <v>1</v>
      </c>
      <c r="V44" s="17">
        <f t="shared" si="68"/>
        <v>3.4300553094840898E-10</v>
      </c>
      <c r="W44" s="31" t="str">
        <f t="shared" si="58"/>
        <v>1-0.000185222986712141i</v>
      </c>
      <c r="X44" s="17">
        <f t="shared" si="69"/>
        <v>1.0000000171537773</v>
      </c>
      <c r="Y44" s="17">
        <f t="shared" si="70"/>
        <v>-1.8522298459395844E-4</v>
      </c>
      <c r="Z44" s="31" t="str">
        <f t="shared" si="59"/>
        <v>0.999999867547551+0.0113029744513011i</v>
      </c>
      <c r="AA44" s="17">
        <f t="shared" si="71"/>
        <v>1.000063744131626</v>
      </c>
      <c r="AB44" s="17">
        <f t="shared" si="72"/>
        <v>1.1302494639536226E-2</v>
      </c>
      <c r="AC44" s="66" t="str">
        <f t="shared" si="73"/>
        <v>1626.30063318903-9277.41954624501i</v>
      </c>
      <c r="AD44" s="64">
        <f t="shared" si="74"/>
        <v>79.479988544007256</v>
      </c>
      <c r="AE44" s="61">
        <f t="shared" si="75"/>
        <v>-80.057263194840758</v>
      </c>
      <c r="AF44" s="31" t="str">
        <f t="shared" si="60"/>
        <v>-1.33333333333333E-06</v>
      </c>
      <c r="AG44" s="31" t="str">
        <f t="shared" si="61"/>
        <v>0.000114449512159786i</v>
      </c>
      <c r="AH44" s="31">
        <f t="shared" si="76"/>
        <v>1.14449512159786E-4</v>
      </c>
      <c r="AI44" s="31">
        <f t="shared" si="77"/>
        <v>1.5707963267948966</v>
      </c>
      <c r="AJ44" s="31" t="str">
        <f t="shared" si="62"/>
        <v>1+0.000370075897526755i</v>
      </c>
      <c r="AK44" s="31">
        <f t="shared" si="78"/>
        <v>1.0000000684780825</v>
      </c>
      <c r="AL44" s="31">
        <f t="shared" si="79"/>
        <v>3.7007588063203055E-4</v>
      </c>
      <c r="AM44" s="31" t="str">
        <f t="shared" si="63"/>
        <v>1+0.370445973424282i</v>
      </c>
      <c r="AN44" s="31">
        <f t="shared" si="80"/>
        <v>1.0664099677076653</v>
      </c>
      <c r="AO44" s="31">
        <f t="shared" si="81"/>
        <v>0.35477213363837407</v>
      </c>
      <c r="AP44" s="58" t="str">
        <f t="shared" si="82"/>
        <v>-0.00431137235227251+0.0116515650994924i</v>
      </c>
      <c r="AQ44" s="49">
        <f t="shared" si="83"/>
        <v>-38.115020864084045</v>
      </c>
      <c r="AR44" s="61">
        <f t="shared" si="84"/>
        <v>110.30574216027024</v>
      </c>
      <c r="AS44" s="58" t="str">
        <f t="shared" si="85"/>
        <v>101.084870211963+58.947357831061i</v>
      </c>
      <c r="AT44" s="64">
        <f t="shared" si="86"/>
        <v>41.36496767992324</v>
      </c>
      <c r="AU44" s="61">
        <f t="shared" si="87"/>
        <v>30.248478965429374</v>
      </c>
      <c r="AV44"/>
    </row>
    <row r="45" spans="1:48" x14ac:dyDescent="0.3">
      <c r="A45" t="s">
        <v>207</v>
      </c>
      <c r="B45" s="29">
        <f>(((VOUT1^2)/Pout_var)*((1-Dc_var_ccm)^2))/((Lm/((Np/NS1_)^2))*Dc_var_ccm)</f>
        <v>617283.95061728393</v>
      </c>
      <c r="C45" t="s">
        <v>205</v>
      </c>
      <c r="E45" t="s">
        <v>197</v>
      </c>
      <c r="N45" s="10">
        <v>27</v>
      </c>
      <c r="O45" s="50">
        <f t="shared" si="64"/>
        <v>18.62087136662868</v>
      </c>
      <c r="P45" s="48" t="str">
        <f t="shared" si="55"/>
        <v>51201.9230769231</v>
      </c>
      <c r="Q45" s="17" t="str">
        <f t="shared" si="56"/>
        <v>1+5.46742454745706i</v>
      </c>
      <c r="R45" s="17">
        <f t="shared" si="65"/>
        <v>5.558122990914832</v>
      </c>
      <c r="S45" s="17">
        <f t="shared" si="66"/>
        <v>1.389894401989193</v>
      </c>
      <c r="T45" s="17" t="str">
        <f t="shared" si="57"/>
        <v>1+3.50995156133046E-10i</v>
      </c>
      <c r="U45" s="17">
        <f t="shared" si="67"/>
        <v>1</v>
      </c>
      <c r="V45" s="17">
        <f t="shared" si="68"/>
        <v>3.50995156133046E-10</v>
      </c>
      <c r="W45" s="31" t="str">
        <f t="shared" si="58"/>
        <v>1-0.000189537384311845i</v>
      </c>
      <c r="X45" s="17">
        <f t="shared" si="69"/>
        <v>1.0000000179622099</v>
      </c>
      <c r="Y45" s="17">
        <f t="shared" si="70"/>
        <v>-1.8953738204217151E-4</v>
      </c>
      <c r="Z45" s="31" t="str">
        <f t="shared" si="59"/>
        <v>0.99999986130526+0.0115662545479448i</v>
      </c>
      <c r="AA45" s="17">
        <f t="shared" si="71"/>
        <v>1.0000667481997425</v>
      </c>
      <c r="AB45" s="17">
        <f t="shared" si="72"/>
        <v>1.1565740422229137E-2</v>
      </c>
      <c r="AC45" s="66" t="str">
        <f t="shared" si="73"/>
        <v>1550.67095577339-9080.01523753748i</v>
      </c>
      <c r="AD45" s="64">
        <f t="shared" si="74"/>
        <v>79.28658281058776</v>
      </c>
      <c r="AE45" s="61">
        <f t="shared" si="75"/>
        <v>-80.3086109879182</v>
      </c>
      <c r="AF45" s="31" t="str">
        <f t="shared" si="60"/>
        <v>-1.33333333333333E-06</v>
      </c>
      <c r="AG45" s="31" t="str">
        <f t="shared" si="61"/>
        <v>0.00011711538376306i</v>
      </c>
      <c r="AH45" s="31">
        <f t="shared" si="76"/>
        <v>1.1711538376306001E-4</v>
      </c>
      <c r="AI45" s="31">
        <f t="shared" si="77"/>
        <v>1.5707963267948966</v>
      </c>
      <c r="AJ45" s="31" t="str">
        <f t="shared" si="62"/>
        <v>1+0.000378696072551138i</v>
      </c>
      <c r="AK45" s="31">
        <f t="shared" si="78"/>
        <v>1.000000071705355</v>
      </c>
      <c r="AL45" s="31">
        <f t="shared" si="79"/>
        <v>3.7869605444811467E-4</v>
      </c>
      <c r="AM45" s="31" t="str">
        <f t="shared" si="63"/>
        <v>1+0.37907476862369i</v>
      </c>
      <c r="AN45" s="31">
        <f t="shared" si="80"/>
        <v>1.0694380207413163</v>
      </c>
      <c r="AO45" s="31">
        <f t="shared" si="81"/>
        <v>0.36233827566113497</v>
      </c>
      <c r="AP45" s="58" t="str">
        <f t="shared" si="82"/>
        <v>-0.00431137232444456+0.0113864165811979i</v>
      </c>
      <c r="AQ45" s="49">
        <f t="shared" si="83"/>
        <v>-38.29039240522696</v>
      </c>
      <c r="AR45" s="61">
        <f t="shared" si="84"/>
        <v>110.73875626579267</v>
      </c>
      <c r="AS45" s="58" t="str">
        <f t="shared" si="85"/>
        <v>96.703316215185+56.8039118834541i</v>
      </c>
      <c r="AT45" s="64">
        <f t="shared" si="86"/>
        <v>40.996190405360821</v>
      </c>
      <c r="AU45" s="61">
        <f t="shared" si="87"/>
        <v>30.430145277874463</v>
      </c>
    </row>
    <row r="46" spans="1:48" x14ac:dyDescent="0.3">
      <c r="A46" s="31"/>
      <c r="B46" s="29">
        <f>wz_rhp/(2*PI())</f>
        <v>98243.792032034165</v>
      </c>
      <c r="C46" s="31" t="s">
        <v>61</v>
      </c>
      <c r="D46" s="31"/>
      <c r="E46" s="31"/>
      <c r="F46" s="31"/>
      <c r="G46" s="31"/>
      <c r="K46" s="31"/>
      <c r="N46" s="10">
        <v>28</v>
      </c>
      <c r="O46" s="50">
        <f t="shared" si="64"/>
        <v>19.054607179632477</v>
      </c>
      <c r="P46" s="48" t="str">
        <f t="shared" si="55"/>
        <v>51201.9230769231</v>
      </c>
      <c r="Q46" s="17" t="str">
        <f t="shared" si="56"/>
        <v>1+5.59477722523659i</v>
      </c>
      <c r="R46" s="17">
        <f t="shared" si="65"/>
        <v>5.6834436919904494</v>
      </c>
      <c r="S46" s="17">
        <f t="shared" si="66"/>
        <v>1.3939259287154611</v>
      </c>
      <c r="T46" s="17" t="str">
        <f t="shared" si="57"/>
        <v>1+3.59170883595435E-10i</v>
      </c>
      <c r="U46" s="17">
        <f t="shared" si="67"/>
        <v>1</v>
      </c>
      <c r="V46" s="17">
        <f t="shared" si="68"/>
        <v>3.5917088359543499E-10</v>
      </c>
      <c r="W46" s="31" t="str">
        <f t="shared" si="58"/>
        <v>1-0.000193952277141535i</v>
      </c>
      <c r="X46" s="17">
        <f t="shared" si="69"/>
        <v>1.0000000188087428</v>
      </c>
      <c r="Y46" s="17">
        <f t="shared" si="70"/>
        <v>-1.9395227470953605E-4</v>
      </c>
      <c r="Z46" s="31" t="str">
        <f t="shared" si="59"/>
        <v>0.999999854768778+0.0118356672258473i</v>
      </c>
      <c r="AA46" s="17">
        <f t="shared" si="71"/>
        <v>1.000069893835555</v>
      </c>
      <c r="AB46" s="17">
        <f t="shared" si="72"/>
        <v>1.1835116332297051E-2</v>
      </c>
      <c r="AC46" s="66" t="str">
        <f t="shared" si="73"/>
        <v>1478.22950980247-8886.218335979i</v>
      </c>
      <c r="AD46" s="64">
        <f t="shared" si="74"/>
        <v>79.092887318012032</v>
      </c>
      <c r="AE46" s="61">
        <f t="shared" si="75"/>
        <v>-80.555287511325389</v>
      </c>
      <c r="AF46" s="31" t="str">
        <f t="shared" si="60"/>
        <v>-1.33333333333333E-06</v>
      </c>
      <c r="AG46" s="31" t="str">
        <f t="shared" si="61"/>
        <v>0.000119843351493011i</v>
      </c>
      <c r="AH46" s="31">
        <f t="shared" si="76"/>
        <v>1.19843351493011E-4</v>
      </c>
      <c r="AI46" s="31">
        <f t="shared" si="77"/>
        <v>1.5707963267948966</v>
      </c>
      <c r="AJ46" s="31" t="str">
        <f t="shared" si="62"/>
        <v>1+0.000387517037245823i</v>
      </c>
      <c r="AK46" s="31">
        <f t="shared" si="78"/>
        <v>1.0000000750847242</v>
      </c>
      <c r="AL46" s="31">
        <f t="shared" si="79"/>
        <v>3.875170178480841E-4</v>
      </c>
      <c r="AM46" s="31" t="str">
        <f t="shared" si="63"/>
        <v>1+0.38790455428307i</v>
      </c>
      <c r="AN46" s="31">
        <f t="shared" si="80"/>
        <v>1.0725996192585316</v>
      </c>
      <c r="AO46" s="31">
        <f t="shared" si="81"/>
        <v>0.37003597938837568</v>
      </c>
      <c r="AP46" s="58" t="str">
        <f t="shared" si="82"/>
        <v>-0.00431137229530511+0.0111273052916908i</v>
      </c>
      <c r="AQ46" s="49">
        <f t="shared" si="83"/>
        <v>-38.464752067455343</v>
      </c>
      <c r="AR46" s="61">
        <f t="shared" si="84"/>
        <v>111.17929679733157</v>
      </c>
      <c r="AS46" s="58" t="str">
        <f t="shared" si="85"/>
        <v>92.5064665583941+54.7605065905307i</v>
      </c>
      <c r="AT46" s="64">
        <f t="shared" si="86"/>
        <v>40.628135250556696</v>
      </c>
      <c r="AU46" s="61">
        <f t="shared" si="87"/>
        <v>30.62400928600621</v>
      </c>
    </row>
    <row r="47" spans="1:48" x14ac:dyDescent="0.3">
      <c r="A47" s="31"/>
      <c r="B47" s="1"/>
      <c r="C47" s="31"/>
      <c r="D47" s="31"/>
      <c r="E47" s="31"/>
      <c r="F47" s="31"/>
      <c r="G47" s="31"/>
      <c r="N47" s="10">
        <v>29</v>
      </c>
      <c r="O47" s="50">
        <f t="shared" si="64"/>
        <v>19.498445997580465</v>
      </c>
      <c r="P47" s="48" t="str">
        <f t="shared" si="55"/>
        <v>51201.9230769231</v>
      </c>
      <c r="Q47" s="17" t="str">
        <f t="shared" si="56"/>
        <v>1+5.72509632795657i</v>
      </c>
      <c r="R47" s="17">
        <f t="shared" si="65"/>
        <v>5.8117749409609623</v>
      </c>
      <c r="S47" s="17">
        <f t="shared" si="66"/>
        <v>1.3978713088917085</v>
      </c>
      <c r="T47" s="17" t="str">
        <f t="shared" si="57"/>
        <v>1+3.67537048214496E-10i</v>
      </c>
      <c r="U47" s="17">
        <f t="shared" si="67"/>
        <v>1</v>
      </c>
      <c r="V47" s="17">
        <f t="shared" si="68"/>
        <v>3.67537048214496E-10</v>
      </c>
      <c r="W47" s="31" t="str">
        <f t="shared" si="58"/>
        <v>1-0.000198470006035828i</v>
      </c>
      <c r="X47" s="17">
        <f t="shared" si="69"/>
        <v>1.0000000196951715</v>
      </c>
      <c r="Y47" s="17">
        <f t="shared" si="70"/>
        <v>-1.9847000342989416E-4</v>
      </c>
      <c r="Z47" s="31" t="str">
        <f t="shared" si="59"/>
        <v>0.999999847924241+0.0121113553311766i</v>
      </c>
      <c r="AA47" s="17">
        <f t="shared" si="71"/>
        <v>1.0000731877100111</v>
      </c>
      <c r="AB47" s="17">
        <f t="shared" si="72"/>
        <v>1.2110765040435486E-2</v>
      </c>
      <c r="AC47" s="66" t="str">
        <f t="shared" si="73"/>
        <v>1408.85092266053-8696.00170524979i</v>
      </c>
      <c r="AD47" s="64">
        <f t="shared" si="74"/>
        <v>78.898914189335898</v>
      </c>
      <c r="AE47" s="61">
        <f t="shared" si="75"/>
        <v>-80.797393497912793</v>
      </c>
      <c r="AF47" s="31" t="str">
        <f t="shared" si="60"/>
        <v>-1.33333333333333E-06</v>
      </c>
      <c r="AG47" s="31" t="str">
        <f t="shared" si="61"/>
        <v>0.000122634861754237i</v>
      </c>
      <c r="AH47" s="31">
        <f t="shared" si="76"/>
        <v>1.22634861754237E-4</v>
      </c>
      <c r="AI47" s="31">
        <f t="shared" si="77"/>
        <v>1.5707963267948966</v>
      </c>
      <c r="AJ47" s="31" t="str">
        <f t="shared" si="62"/>
        <v>1+0.000396543468603052i</v>
      </c>
      <c r="AK47" s="31">
        <f t="shared" si="78"/>
        <v>1.0000000786233583</v>
      </c>
      <c r="AL47" s="31">
        <f t="shared" si="79"/>
        <v>3.9654344781800036E-4</v>
      </c>
      <c r="AM47" s="31" t="str">
        <f t="shared" si="63"/>
        <v>1+0.396940012071656i</v>
      </c>
      <c r="AN47" s="31">
        <f t="shared" si="80"/>
        <v>1.0759002617266371</v>
      </c>
      <c r="AO47" s="31">
        <f t="shared" si="81"/>
        <v>0.37786567623242734</v>
      </c>
      <c r="AP47" s="58" t="str">
        <f t="shared" si="82"/>
        <v>-0.0043113722647924+0.0108740938467356i</v>
      </c>
      <c r="AQ47" s="49">
        <f t="shared" si="83"/>
        <v>-38.638064604261317</v>
      </c>
      <c r="AR47" s="61">
        <f t="shared" si="84"/>
        <v>111.62738820502132</v>
      </c>
      <c r="AS47" s="58" t="str">
        <f t="shared" si="85"/>
        <v>88.4870578410732+52.811677715672i</v>
      </c>
      <c r="AT47" s="64">
        <f t="shared" si="86"/>
        <v>40.260849585074595</v>
      </c>
      <c r="AU47" s="61">
        <f t="shared" si="87"/>
        <v>30.829994707108543</v>
      </c>
    </row>
    <row r="48" spans="1:48" x14ac:dyDescent="0.3">
      <c r="A48" t="s">
        <v>208</v>
      </c>
      <c r="B48" s="29">
        <f>1/(Cout_total*Resr_total)</f>
        <v>333333333333.33331</v>
      </c>
      <c r="C48" t="s">
        <v>205</v>
      </c>
      <c r="E48" t="s">
        <v>198</v>
      </c>
      <c r="K48" s="31"/>
      <c r="N48" s="10">
        <v>30</v>
      </c>
      <c r="O48" s="50">
        <f t="shared" si="64"/>
        <v>19.952623149688804</v>
      </c>
      <c r="P48" s="48" t="str">
        <f t="shared" si="55"/>
        <v>51201.9230769231</v>
      </c>
      <c r="Q48" s="17" t="str">
        <f t="shared" si="56"/>
        <v>1+5.85845095253025i</v>
      </c>
      <c r="R48" s="17">
        <f t="shared" si="65"/>
        <v>5.9431849679445952</v>
      </c>
      <c r="S48" s="17">
        <f t="shared" si="66"/>
        <v>1.4017321428556566</v>
      </c>
      <c r="T48" s="17" t="str">
        <f t="shared" si="57"/>
        <v>1+3.76098085841448E-10i</v>
      </c>
      <c r="U48" s="17">
        <f t="shared" si="67"/>
        <v>1</v>
      </c>
      <c r="V48" s="17">
        <f t="shared" si="68"/>
        <v>3.76098085841448E-10</v>
      </c>
      <c r="W48" s="31" t="str">
        <f t="shared" si="58"/>
        <v>1-0.000203092966354382i</v>
      </c>
      <c r="X48" s="17">
        <f t="shared" si="69"/>
        <v>1.0000000206233763</v>
      </c>
      <c r="Y48" s="17">
        <f t="shared" si="70"/>
        <v>-2.030929635620736E-4</v>
      </c>
      <c r="Z48" s="31" t="str">
        <f t="shared" si="59"/>
        <v>0.999999840757132+0.0123934650374152i</v>
      </c>
      <c r="AA48" s="17">
        <f t="shared" si="71"/>
        <v>1.0000766368083611</v>
      </c>
      <c r="AB48" s="17">
        <f t="shared" si="72"/>
        <v>1.2392832532108147E-2</v>
      </c>
      <c r="AC48" s="66" t="str">
        <f t="shared" si="73"/>
        <v>1342.41397737829-8509.33557228099i</v>
      </c>
      <c r="AD48" s="64">
        <f t="shared" si="74"/>
        <v>78.704675064336541</v>
      </c>
      <c r="AE48" s="61">
        <f t="shared" si="75"/>
        <v>-81.035029141872428</v>
      </c>
      <c r="AF48" s="31" t="str">
        <f t="shared" si="60"/>
        <v>-1.33333333333333E-06</v>
      </c>
      <c r="AG48" s="31" t="str">
        <f t="shared" si="61"/>
        <v>0.00012549139464243i</v>
      </c>
      <c r="AH48" s="31">
        <f t="shared" si="76"/>
        <v>1.2549139464242999E-4</v>
      </c>
      <c r="AI48" s="31">
        <f t="shared" si="77"/>
        <v>1.5707963267948966</v>
      </c>
      <c r="AJ48" s="31" t="str">
        <f t="shared" si="62"/>
        <v>1+0.000405780152556207i</v>
      </c>
      <c r="AK48" s="31">
        <f t="shared" si="78"/>
        <v>1.0000000823287627</v>
      </c>
      <c r="AL48" s="31">
        <f t="shared" si="79"/>
        <v>4.05780130284623E-4</v>
      </c>
      <c r="AM48" s="31" t="str">
        <f t="shared" si="63"/>
        <v>1+0.406185932708764i</v>
      </c>
      <c r="AN48" s="31">
        <f t="shared" si="80"/>
        <v>1.079345640622358</v>
      </c>
      <c r="AO48" s="31">
        <f t="shared" si="81"/>
        <v>0.38582767663040707</v>
      </c>
      <c r="AP48" s="58" t="str">
        <f t="shared" si="82"/>
        <v>-0.00431137223284164+0.0106266479902724i</v>
      </c>
      <c r="AQ48" s="49">
        <f t="shared" si="83"/>
        <v>-38.810294063900869</v>
      </c>
      <c r="AR48" s="61">
        <f t="shared" si="84"/>
        <v>112.08304800138501</v>
      </c>
      <c r="AS48" s="58" t="str">
        <f t="shared" si="85"/>
        <v>84.6380674106859+50.9522739010845i</v>
      </c>
      <c r="AT48" s="64">
        <f t="shared" si="86"/>
        <v>39.894381000435672</v>
      </c>
      <c r="AU48" s="61">
        <f t="shared" si="87"/>
        <v>31.048018859512624</v>
      </c>
    </row>
    <row r="49" spans="1:48" x14ac:dyDescent="0.3">
      <c r="A49" s="31"/>
      <c r="B49" s="29">
        <f>wz_esr/(2*PI())</f>
        <v>53051647697.298447</v>
      </c>
      <c r="C49" s="31" t="s">
        <v>61</v>
      </c>
      <c r="D49" s="31"/>
      <c r="E49" s="31"/>
      <c r="F49" s="31"/>
      <c r="G49" s="31"/>
      <c r="K49" s="31"/>
      <c r="N49" s="10">
        <v>31</v>
      </c>
      <c r="O49" s="50">
        <f t="shared" si="64"/>
        <v>20.4173794466953</v>
      </c>
      <c r="P49" s="48" t="str">
        <f t="shared" si="55"/>
        <v>51201.9230769231</v>
      </c>
      <c r="Q49" s="17" t="str">
        <f t="shared" si="56"/>
        <v>1+5.99491180534469i</v>
      </c>
      <c r="R49" s="17">
        <f t="shared" si="65"/>
        <v>6.0777436235712612</v>
      </c>
      <c r="S49" s="17">
        <f t="shared" si="66"/>
        <v>1.4055100170444894</v>
      </c>
      <c r="T49" s="17" t="str">
        <f t="shared" si="57"/>
        <v>1+3.84858535651758E-10i</v>
      </c>
      <c r="U49" s="17">
        <f t="shared" si="67"/>
        <v>1</v>
      </c>
      <c r="V49" s="17">
        <f t="shared" si="68"/>
        <v>3.8485853565175798E-10</v>
      </c>
      <c r="W49" s="31" t="str">
        <f t="shared" si="58"/>
        <v>1-0.000207823609251949i</v>
      </c>
      <c r="X49" s="17">
        <f t="shared" si="69"/>
        <v>1.000000021595326</v>
      </c>
      <c r="Y49" s="17">
        <f t="shared" si="70"/>
        <v>-2.0782360625993667E-4</v>
      </c>
      <c r="Z49" s="31" t="str">
        <f t="shared" si="59"/>
        <v>0.999999833252247+0.0126821459228634i</v>
      </c>
      <c r="AA49" s="17">
        <f t="shared" si="71"/>
        <v>1.0000802484449587</v>
      </c>
      <c r="AB49" s="17">
        <f t="shared" si="72"/>
        <v>1.2681468184153373E-2</v>
      </c>
      <c r="AC49" s="66" t="str">
        <f t="shared" si="73"/>
        <v>1278.80154334629-8326.18776208036i</v>
      </c>
      <c r="AD49" s="64">
        <f t="shared" si="74"/>
        <v>78.51018111544802</v>
      </c>
      <c r="AE49" s="61">
        <f t="shared" si="75"/>
        <v>-81.268294038462201</v>
      </c>
      <c r="AF49" s="31" t="str">
        <f t="shared" si="60"/>
        <v>-1.33333333333333E-06</v>
      </c>
      <c r="AG49" s="31" t="str">
        <f t="shared" si="61"/>
        <v>0.000128414464729137i</v>
      </c>
      <c r="AH49" s="31">
        <f t="shared" si="76"/>
        <v>1.2841446472913699E-4</v>
      </c>
      <c r="AI49" s="31">
        <f t="shared" si="77"/>
        <v>1.5707963267948966</v>
      </c>
      <c r="AJ49" s="31" t="str">
        <f t="shared" si="62"/>
        <v>1+0.000415231986517381i</v>
      </c>
      <c r="AK49" s="31">
        <f t="shared" si="78"/>
        <v>1.0000000862087977</v>
      </c>
      <c r="AL49" s="31">
        <f t="shared" si="79"/>
        <v>4.152319626529489E-4</v>
      </c>
      <c r="AM49" s="31" t="str">
        <f t="shared" si="63"/>
        <v>1+0.415647218503899i</v>
      </c>
      <c r="AN49" s="31">
        <f t="shared" si="80"/>
        <v>1.0829416467428095</v>
      </c>
      <c r="AO49" s="31">
        <f t="shared" si="81"/>
        <v>0.3939221631917349</v>
      </c>
      <c r="AP49" s="58" t="str">
        <f t="shared" si="82"/>
        <v>-0.0043113721993851+0.0103848365232328i</v>
      </c>
      <c r="AQ49" s="49">
        <f t="shared" si="83"/>
        <v>-38.981403818980958</v>
      </c>
      <c r="AR49" s="61">
        <f t="shared" si="84"/>
        <v>112.5462863685711</v>
      </c>
      <c r="AS49" s="58" t="str">
        <f t="shared" si="85"/>
        <v>80.9527093484322+49.1774394176027i</v>
      </c>
      <c r="AT49" s="64">
        <f t="shared" si="86"/>
        <v>39.528777296467062</v>
      </c>
      <c r="AU49" s="61">
        <f t="shared" si="87"/>
        <v>31.27799233010888</v>
      </c>
    </row>
    <row r="50" spans="1:48" x14ac:dyDescent="0.3">
      <c r="B50" s="26"/>
      <c r="N50" s="10">
        <v>32</v>
      </c>
      <c r="O50" s="50">
        <f t="shared" si="64"/>
        <v>20.8929613085404</v>
      </c>
      <c r="P50" s="48" t="str">
        <f t="shared" si="55"/>
        <v>51201.9230769231</v>
      </c>
      <c r="Q50" s="17" t="str">
        <f t="shared" si="56"/>
        <v>1+6.13455123975043i</v>
      </c>
      <c r="R50" s="17">
        <f t="shared" si="65"/>
        <v>6.2155224167501437</v>
      </c>
      <c r="S50" s="17">
        <f t="shared" si="66"/>
        <v>1.409206502967467</v>
      </c>
      <c r="T50" s="17" t="str">
        <f t="shared" si="57"/>
        <v>1+3.93823042551879E-10i</v>
      </c>
      <c r="U50" s="17">
        <f t="shared" si="67"/>
        <v>1</v>
      </c>
      <c r="V50" s="17">
        <f t="shared" si="68"/>
        <v>3.9382304255187901E-10</v>
      </c>
      <c r="W50" s="31" t="str">
        <f t="shared" si="58"/>
        <v>1-0.000212664442978015i</v>
      </c>
      <c r="X50" s="17">
        <f t="shared" si="69"/>
        <v>1.0000000226130823</v>
      </c>
      <c r="Y50" s="17">
        <f t="shared" si="70"/>
        <v>-2.12664439772016E-4</v>
      </c>
      <c r="Z50" s="31" t="str">
        <f t="shared" si="59"/>
        <v>0.999999825393667+0.0129775510499482i</v>
      </c>
      <c r="AA50" s="17">
        <f t="shared" si="71"/>
        <v>1.0000840302787655</v>
      </c>
      <c r="AB50" s="17">
        <f t="shared" si="72"/>
        <v>1.2976824843132001E-2</v>
      </c>
      <c r="AC50" s="66" t="str">
        <f t="shared" si="73"/>
        <v>1217.9005013664-8146.52391971218i</v>
      </c>
      <c r="AD50" s="64">
        <f t="shared" si="74"/>
        <v>78.315443063409504</v>
      </c>
      <c r="AE50" s="61">
        <f t="shared" si="75"/>
        <v>-81.49728712970483</v>
      </c>
      <c r="AF50" s="31" t="str">
        <f t="shared" si="60"/>
        <v>-1.33333333333333E-06</v>
      </c>
      <c r="AG50" s="31" t="str">
        <f t="shared" si="61"/>
        <v>0.00013140562186481i</v>
      </c>
      <c r="AH50" s="31">
        <f t="shared" si="76"/>
        <v>1.3140562186480999E-4</v>
      </c>
      <c r="AI50" s="31">
        <f t="shared" si="77"/>
        <v>1.5707963267948966</v>
      </c>
      <c r="AJ50" s="31" t="str">
        <f t="shared" si="62"/>
        <v>1+0.000424903981974055i</v>
      </c>
      <c r="AK50" s="31">
        <f t="shared" si="78"/>
        <v>1.0000000902716928</v>
      </c>
      <c r="AL50" s="31">
        <f t="shared" si="79"/>
        <v>4.2490395640285542E-4</v>
      </c>
      <c r="AM50" s="31" t="str">
        <f t="shared" si="63"/>
        <v>1+0.425328885956029i</v>
      </c>
      <c r="AN50" s="31">
        <f t="shared" si="80"/>
        <v>1.0866943734227195</v>
      </c>
      <c r="AO50" s="31">
        <f t="shared" si="81"/>
        <v>0.40214918382133491</v>
      </c>
      <c r="AP50" s="58" t="str">
        <f t="shared" si="82"/>
        <v>-0.0043113721643518+0.010148531233976i</v>
      </c>
      <c r="AQ50" s="49">
        <f t="shared" si="83"/>
        <v>-39.151356600273985</v>
      </c>
      <c r="AR50" s="61">
        <f t="shared" si="84"/>
        <v>113.01710576419291</v>
      </c>
      <c r="AS50" s="58" t="str">
        <f t="shared" si="85"/>
        <v>77.4244301269905+47.4825977416652i</v>
      </c>
      <c r="AT50" s="64">
        <f t="shared" si="86"/>
        <v>39.164086463135533</v>
      </c>
      <c r="AU50" s="61">
        <f t="shared" si="87"/>
        <v>31.51981863448809</v>
      </c>
    </row>
    <row r="51" spans="1:48" x14ac:dyDescent="0.3">
      <c r="A51" s="31" t="s">
        <v>201</v>
      </c>
      <c r="B51" s="1">
        <f>(Isl*(Rsl_int+R_sl)*Fsw)</f>
        <v>13749</v>
      </c>
      <c r="C51" s="31" t="s">
        <v>144</v>
      </c>
      <c r="D51" s="31"/>
      <c r="E51" s="31" t="s">
        <v>202</v>
      </c>
      <c r="F51" s="31"/>
      <c r="G51" s="31"/>
      <c r="N51" s="10">
        <v>33</v>
      </c>
      <c r="O51" s="50">
        <f t="shared" si="64"/>
        <v>21.379620895022335</v>
      </c>
      <c r="P51" s="48" t="str">
        <f t="shared" si="55"/>
        <v>51201.9230769231</v>
      </c>
      <c r="Q51" s="17" t="str">
        <f t="shared" si="56"/>
        <v>1+6.27744329442381i</v>
      </c>
      <c r="R51" s="17">
        <f t="shared" si="65"/>
        <v>6.3565945532735109</v>
      </c>
      <c r="S51" s="17">
        <f t="shared" si="66"/>
        <v>1.4128231562753306</v>
      </c>
      <c r="T51" s="17" t="str">
        <f t="shared" si="57"/>
        <v>1+4.02996359642022E-10i</v>
      </c>
      <c r="U51" s="17">
        <f t="shared" si="67"/>
        <v>1</v>
      </c>
      <c r="V51" s="17">
        <f t="shared" si="68"/>
        <v>4.02996359642022E-10</v>
      </c>
      <c r="W51" s="31" t="str">
        <f t="shared" si="58"/>
        <v>1-0.000217618034206692i</v>
      </c>
      <c r="X51" s="17">
        <f t="shared" si="69"/>
        <v>1.000000023678804</v>
      </c>
      <c r="Y51" s="17">
        <f t="shared" si="70"/>
        <v>-2.1761803077140218E-4</v>
      </c>
      <c r="Z51" s="31" t="str">
        <f t="shared" si="59"/>
        <v>0.999999817164724+0.0132798370463777i</v>
      </c>
      <c r="AA51" s="17">
        <f t="shared" si="71"/>
        <v>1.000087990329581</v>
      </c>
      <c r="AB51" s="17">
        <f t="shared" si="72"/>
        <v>1.3279058905452118E-2</v>
      </c>
      <c r="AC51" s="66" t="str">
        <f t="shared" si="73"/>
        <v>1159.60166388353-7970.30771983221i</v>
      </c>
      <c r="AD51" s="64">
        <f t="shared" si="74"/>
        <v>78.12047119260599</v>
      </c>
      <c r="AE51" s="61">
        <f t="shared" si="75"/>
        <v>-81.722106655735587</v>
      </c>
      <c r="AF51" s="31" t="str">
        <f t="shared" si="60"/>
        <v>-1.33333333333333E-06</v>
      </c>
      <c r="AG51" s="31" t="str">
        <f t="shared" si="61"/>
        <v>0.000134466452000555i</v>
      </c>
      <c r="AH51" s="31">
        <f t="shared" si="76"/>
        <v>1.3446645200055501E-4</v>
      </c>
      <c r="AI51" s="31">
        <f t="shared" si="77"/>
        <v>1.5707963267948966</v>
      </c>
      <c r="AJ51" s="31" t="str">
        <f t="shared" si="62"/>
        <v>1+0.000434801267146237i</v>
      </c>
      <c r="AK51" s="31">
        <f t="shared" si="78"/>
        <v>1.0000000945260665</v>
      </c>
      <c r="AL51" s="31">
        <f t="shared" si="79"/>
        <v>4.3480123974620316E-4</v>
      </c>
      <c r="AM51" s="31" t="str">
        <f t="shared" si="63"/>
        <v>1+0.435236068413384i</v>
      </c>
      <c r="AN51" s="31">
        <f t="shared" si="80"/>
        <v>1.090610120642542</v>
      </c>
      <c r="AO51" s="31">
        <f t="shared" si="81"/>
        <v>0.41050864485093658</v>
      </c>
      <c r="AP51" s="58" t="str">
        <f t="shared" si="82"/>
        <v>-0.00431137212766742+0.00991760683030977i</v>
      </c>
      <c r="AQ51" s="49">
        <f t="shared" si="83"/>
        <v>-39.320114534926958</v>
      </c>
      <c r="AR51" s="61">
        <f t="shared" si="84"/>
        <v>113.49550052762896</v>
      </c>
      <c r="AS51" s="58" t="str">
        <f t="shared" si="85"/>
        <v>74.0469039890144+45.8634359343869i</v>
      </c>
      <c r="AT51" s="64">
        <f t="shared" si="86"/>
        <v>38.800356657679032</v>
      </c>
      <c r="AU51" s="61">
        <f t="shared" si="87"/>
        <v>31.773393871893372</v>
      </c>
    </row>
    <row r="52" spans="1:48" x14ac:dyDescent="0.3">
      <c r="A52" s="31" t="s">
        <v>204</v>
      </c>
      <c r="B52" s="1">
        <f>(R_cs*VIN_var*Acs*(1-Dc_var_ccm))/Lm</f>
        <v>98.765432098765444</v>
      </c>
      <c r="C52" s="31" t="s">
        <v>144</v>
      </c>
      <c r="D52" s="31"/>
      <c r="E52" s="31" t="s">
        <v>203</v>
      </c>
      <c r="F52" s="31"/>
      <c r="G52" s="31"/>
      <c r="N52" s="10">
        <v>34</v>
      </c>
      <c r="O52" s="50">
        <f t="shared" si="64"/>
        <v>21.877616239495538</v>
      </c>
      <c r="P52" s="48" t="str">
        <f t="shared" si="55"/>
        <v>51201.9230769231</v>
      </c>
      <c r="Q52" s="17" t="str">
        <f t="shared" si="56"/>
        <v>1+6.4236637326237i</v>
      </c>
      <c r="R52" s="17">
        <f t="shared" si="65"/>
        <v>6.501034975280862</v>
      </c>
      <c r="S52" s="17">
        <f t="shared" si="66"/>
        <v>1.4163615159210456</v>
      </c>
      <c r="T52" s="17" t="str">
        <f t="shared" si="57"/>
        <v>1+4.12383350736336E-10i</v>
      </c>
      <c r="U52" s="17">
        <f t="shared" si="67"/>
        <v>1</v>
      </c>
      <c r="V52" s="17">
        <f t="shared" si="68"/>
        <v>4.1238335073633598E-10</v>
      </c>
      <c r="W52" s="31" t="str">
        <f t="shared" si="58"/>
        <v>1-0.000222687009397621i</v>
      </c>
      <c r="X52" s="17">
        <f t="shared" si="69"/>
        <v>1.0000000247947518</v>
      </c>
      <c r="Y52" s="17">
        <f t="shared" si="70"/>
        <v>-2.2268700571664166E-4</v>
      </c>
      <c r="Z52" s="31" t="str">
        <f t="shared" si="59"/>
        <v>0.999999808547963+0.0135891641881886i</v>
      </c>
      <c r="AA52" s="17">
        <f t="shared" si="71"/>
        <v>1.0000921369950353</v>
      </c>
      <c r="AB52" s="17">
        <f t="shared" si="72"/>
        <v>1.3588330399313333E-2</v>
      </c>
      <c r="AC52" s="66" t="str">
        <f t="shared" si="73"/>
        <v>1103.79969117003-7797.50106419485i</v>
      </c>
      <c r="AD52" s="64">
        <f t="shared" si="74"/>
        <v>77.925275366082204</v>
      </c>
      <c r="AE52" s="61">
        <f t="shared" si="75"/>
        <v>-81.942850111489378</v>
      </c>
      <c r="AF52" s="31" t="str">
        <f t="shared" si="60"/>
        <v>-1.33333333333333E-06</v>
      </c>
      <c r="AG52" s="31" t="str">
        <f t="shared" si="61"/>
        <v>0.000137598578029024i</v>
      </c>
      <c r="AH52" s="31">
        <f t="shared" si="76"/>
        <v>1.3759857802902401E-4</v>
      </c>
      <c r="AI52" s="31">
        <f t="shared" si="77"/>
        <v>1.5707963267948966</v>
      </c>
      <c r="AJ52" s="31" t="str">
        <f t="shared" si="62"/>
        <v>1+0.000444929089705537i</v>
      </c>
      <c r="AK52" s="31">
        <f t="shared" si="78"/>
        <v>1.0000000989809426</v>
      </c>
      <c r="AL52" s="31">
        <f t="shared" si="79"/>
        <v>4.449290603458719E-4</v>
      </c>
      <c r="AM52" s="31" t="str">
        <f t="shared" si="63"/>
        <v>1+0.445374018795243i</v>
      </c>
      <c r="AN52" s="31">
        <f t="shared" si="80"/>
        <v>1.0946953990119013</v>
      </c>
      <c r="AO52" s="31">
        <f t="shared" si="81"/>
        <v>0.41900030421388612</v>
      </c>
      <c r="AP52" s="58" t="str">
        <f t="shared" si="82"/>
        <v>-0.00431137208925418+0.00969194087305855i</v>
      </c>
      <c r="AQ52" s="49">
        <f t="shared" si="83"/>
        <v>-39.487639189219202</v>
      </c>
      <c r="AR52" s="61">
        <f t="shared" si="84"/>
        <v>113.98145648881268</v>
      </c>
      <c r="AS52" s="58" t="str">
        <f t="shared" si="85"/>
        <v>70.8140280911498+44.3158897966197i</v>
      </c>
      <c r="AT52" s="64">
        <f t="shared" si="86"/>
        <v>38.437636176863002</v>
      </c>
      <c r="AU52" s="61">
        <f t="shared" si="87"/>
        <v>32.038606377323319</v>
      </c>
    </row>
    <row r="53" spans="1:48" x14ac:dyDescent="0.3">
      <c r="A53" t="s">
        <v>507</v>
      </c>
      <c r="B53" s="1">
        <f>1+(B51/B52)</f>
        <v>140.20862499999998</v>
      </c>
      <c r="N53" s="10">
        <v>35</v>
      </c>
      <c r="O53" s="50">
        <f t="shared" si="64"/>
        <v>22.387211385683404</v>
      </c>
      <c r="P53" s="48" t="str">
        <f t="shared" si="55"/>
        <v>51201.9230769231</v>
      </c>
      <c r="Q53" s="17" t="str">
        <f t="shared" si="56"/>
        <v>1+6.57329008236188i</v>
      </c>
      <c r="R53" s="17">
        <f t="shared" si="65"/>
        <v>6.6489204016048395</v>
      </c>
      <c r="S53" s="17">
        <f t="shared" si="66"/>
        <v>1.4198231034065421</v>
      </c>
      <c r="T53" s="17" t="str">
        <f t="shared" si="57"/>
        <v>1+4.2198899294175E-10i</v>
      </c>
      <c r="U53" s="17">
        <f t="shared" si="67"/>
        <v>1</v>
      </c>
      <c r="V53" s="17">
        <f t="shared" si="68"/>
        <v>4.2198899294174998E-10</v>
      </c>
      <c r="W53" s="31" t="str">
        <f t="shared" si="58"/>
        <v>1-0.000227874056188545i</v>
      </c>
      <c r="X53" s="17">
        <f t="shared" si="69"/>
        <v>1.0000000259632924</v>
      </c>
      <c r="Y53" s="17">
        <f t="shared" si="70"/>
        <v>-2.2787405224430457E-4</v>
      </c>
      <c r="Z53" s="31" t="str">
        <f t="shared" si="59"/>
        <v>0.999999799525107+0.013905696484726i</v>
      </c>
      <c r="AA53" s="17">
        <f t="shared" si="71"/>
        <v>1.0000964790683846</v>
      </c>
      <c r="AB53" s="17">
        <f t="shared" si="72"/>
        <v>1.3904803068504506E-2</v>
      </c>
      <c r="AC53" s="66" t="str">
        <f t="shared" si="73"/>
        <v>1050.39300417178-7628.06426756595i</v>
      </c>
      <c r="AD53" s="64">
        <f t="shared" si="74"/>
        <v>77.729865040217149</v>
      </c>
      <c r="AE53" s="61">
        <f t="shared" si="75"/>
        <v>-82.159614208423349</v>
      </c>
      <c r="AF53" s="31" t="str">
        <f t="shared" si="60"/>
        <v>-1.33333333333333E-06</v>
      </c>
      <c r="AG53" s="31" t="str">
        <f t="shared" si="61"/>
        <v>0.000140803660644897i</v>
      </c>
      <c r="AH53" s="31">
        <f t="shared" si="76"/>
        <v>1.40803660644897E-4</v>
      </c>
      <c r="AI53" s="31">
        <f t="shared" si="77"/>
        <v>1.5707963267948966</v>
      </c>
      <c r="AJ53" s="31" t="str">
        <f t="shared" si="62"/>
        <v>1+0.000455292819557532i</v>
      </c>
      <c r="AK53" s="31">
        <f t="shared" si="78"/>
        <v>1.0000001036457704</v>
      </c>
      <c r="AL53" s="31">
        <f t="shared" si="79"/>
        <v>4.5529278809808429E-4</v>
      </c>
      <c r="AM53" s="31" t="str">
        <f t="shared" si="63"/>
        <v>1+0.45574811237709i</v>
      </c>
      <c r="AN53" s="31">
        <f t="shared" si="80"/>
        <v>1.0989569336126328</v>
      </c>
      <c r="AO53" s="31">
        <f t="shared" si="81"/>
        <v>0.42762376470168478</v>
      </c>
      <c r="AP53" s="58" t="str">
        <f t="shared" si="82"/>
        <v>-0.00431137204903058+0.00947141371114458i</v>
      </c>
      <c r="AQ53" s="49">
        <f t="shared" si="83"/>
        <v>-39.653891616002134</v>
      </c>
      <c r="AR53" s="61">
        <f t="shared" si="84"/>
        <v>114.47495058170118</v>
      </c>
      <c r="AS53" s="58" t="str">
        <f t="shared" si="85"/>
        <v>67.7199174546327+42.8361297731957i</v>
      </c>
      <c r="AT53" s="64">
        <f t="shared" si="86"/>
        <v>38.075973424215007</v>
      </c>
      <c r="AU53" s="61">
        <f t="shared" si="87"/>
        <v>32.315336373277844</v>
      </c>
      <c r="AV53" s="31"/>
    </row>
    <row r="54" spans="1:48" x14ac:dyDescent="0.3">
      <c r="A54" t="s">
        <v>199</v>
      </c>
      <c r="B54" s="1">
        <f>2*PI()*Fsw</f>
        <v>628318.53071795858</v>
      </c>
      <c r="C54" t="s">
        <v>205</v>
      </c>
      <c r="N54" s="10">
        <v>36</v>
      </c>
      <c r="O54" s="50">
        <f t="shared" si="64"/>
        <v>22.908676527677727</v>
      </c>
      <c r="P54" s="48" t="str">
        <f t="shared" si="55"/>
        <v>51201.9230769231</v>
      </c>
      <c r="Q54" s="17" t="str">
        <f t="shared" si="56"/>
        <v>1+6.72640167750949i</v>
      </c>
      <c r="R54" s="17">
        <f t="shared" si="65"/>
        <v>6.8003293690234212</v>
      </c>
      <c r="S54" s="17">
        <f t="shared" si="66"/>
        <v>1.4232094221103733</v>
      </c>
      <c r="T54" s="17" t="str">
        <f t="shared" si="57"/>
        <v>1+4.31818379296905E-10i</v>
      </c>
      <c r="U54" s="17">
        <f t="shared" si="67"/>
        <v>1</v>
      </c>
      <c r="V54" s="17">
        <f t="shared" si="68"/>
        <v>4.3181837929690499E-10</v>
      </c>
      <c r="W54" s="31" t="str">
        <f t="shared" si="58"/>
        <v>1-0.000233181924820329i</v>
      </c>
      <c r="X54" s="17">
        <f t="shared" si="69"/>
        <v>1.0000000271869047</v>
      </c>
      <c r="Y54" s="17">
        <f t="shared" si="70"/>
        <v>-2.3318192059399923E-4</v>
      </c>
      <c r="Z54" s="31" t="str">
        <f t="shared" si="59"/>
        <v>0.999999790077016+0.0142296017656033i</v>
      </c>
      <c r="AA54" s="17">
        <f t="shared" si="71"/>
        <v>1.0001010257571401</v>
      </c>
      <c r="AB54" s="17">
        <f t="shared" si="72"/>
        <v>1.4228644458097127E-2</v>
      </c>
      <c r="AC54" s="66" t="str">
        <f t="shared" si="73"/>
        <v>999.283694662519-7461.95623248083i</v>
      </c>
      <c r="AD54" s="64">
        <f t="shared" si="74"/>
        <v>77.534249279045952</v>
      </c>
      <c r="AE54" s="61">
        <f t="shared" si="75"/>
        <v>-82.372494840985851</v>
      </c>
      <c r="AF54" s="31" t="str">
        <f t="shared" si="60"/>
        <v>-1.33333333333333E-06</v>
      </c>
      <c r="AG54" s="31" t="str">
        <f t="shared" si="61"/>
        <v>0.0001440833992254i</v>
      </c>
      <c r="AH54" s="31">
        <f t="shared" si="76"/>
        <v>1.4408339922540001E-4</v>
      </c>
      <c r="AI54" s="31">
        <f t="shared" si="77"/>
        <v>1.5707963267948966</v>
      </c>
      <c r="AJ54" s="31" t="str">
        <f t="shared" si="62"/>
        <v>1+0.000465897951688968i</v>
      </c>
      <c r="AK54" s="31">
        <f t="shared" si="78"/>
        <v>1.0000001085304449</v>
      </c>
      <c r="AL54" s="31">
        <f t="shared" si="79"/>
        <v>4.6589791797956259E-4</v>
      </c>
      <c r="AM54" s="31" t="str">
        <f t="shared" si="63"/>
        <v>1+0.466363849640657i</v>
      </c>
      <c r="AN54" s="31">
        <f t="shared" si="80"/>
        <v>1.1034016676857314</v>
      </c>
      <c r="AO54" s="31">
        <f t="shared" si="81"/>
        <v>0.43637846734339347</v>
      </c>
      <c r="AP54" s="58" t="str">
        <f t="shared" si="82"/>
        <v>-0.00431137200691128+0.00925590841814755i</v>
      </c>
      <c r="AQ54" s="49">
        <f t="shared" si="83"/>
        <v>-39.818832406933119</v>
      </c>
      <c r="AR54" s="61">
        <f t="shared" si="84"/>
        <v>114.97595046477966</v>
      </c>
      <c r="AS54" s="58" t="str">
        <f t="shared" si="85"/>
        <v>64.758899759937+41.4205475790594i</v>
      </c>
      <c r="AT54" s="64">
        <f t="shared" si="86"/>
        <v>37.715416872112833</v>
      </c>
      <c r="AU54" s="61">
        <f t="shared" si="87"/>
        <v>32.603455623793842</v>
      </c>
      <c r="AV54" s="31"/>
    </row>
    <row r="55" spans="1:48" x14ac:dyDescent="0.3">
      <c r="A55" t="s">
        <v>200</v>
      </c>
      <c r="B55" s="1">
        <f>1/(PI()*(((1-Dc_var_ccm)*mc)-0.5))</f>
        <v>3.2198619336001516E-2</v>
      </c>
      <c r="N55" s="10">
        <v>37</v>
      </c>
      <c r="O55" s="50">
        <f t="shared" si="64"/>
        <v>23.442288153199236</v>
      </c>
      <c r="P55" s="48" t="str">
        <f t="shared" si="55"/>
        <v>51201.9230769231</v>
      </c>
      <c r="Q55" s="17" t="str">
        <f t="shared" si="56"/>
        <v>1+6.88307969986097i</v>
      </c>
      <c r="R55" s="17">
        <f t="shared" si="65"/>
        <v>6.9553422744418683</v>
      </c>
      <c r="S55" s="17">
        <f t="shared" si="66"/>
        <v>1.4265219566913823</v>
      </c>
      <c r="T55" s="17" t="str">
        <f t="shared" si="57"/>
        <v>1+4.41876721472556E-10i</v>
      </c>
      <c r="U55" s="17">
        <f t="shared" si="67"/>
        <v>1</v>
      </c>
      <c r="V55" s="17">
        <f t="shared" si="68"/>
        <v>4.4187672147255602E-10</v>
      </c>
      <c r="W55" s="31" t="str">
        <f t="shared" si="58"/>
        <v>1-0.00023861342959518i</v>
      </c>
      <c r="X55" s="17">
        <f t="shared" si="69"/>
        <v>1.000000028468184</v>
      </c>
      <c r="Y55" s="17">
        <f t="shared" si="70"/>
        <v>-2.3861342506658608E-4</v>
      </c>
      <c r="Z55" s="31" t="str">
        <f t="shared" si="59"/>
        <v>0.99999978018365+0.0145610517696877i</v>
      </c>
      <c r="AA55" s="17">
        <f t="shared" si="71"/>
        <v>1.0001057867025807</v>
      </c>
      <c r="AB55" s="17">
        <f t="shared" si="72"/>
        <v>1.4560026002073755E-2</v>
      </c>
      <c r="AC55" s="66" t="str">
        <f t="shared" si="73"/>
        <v>950.377433295481-7299.13461329326i</v>
      </c>
      <c r="AD55" s="64">
        <f t="shared" si="74"/>
        <v>77.338436768219253</v>
      </c>
      <c r="AE55" s="61">
        <f t="shared" si="75"/>
        <v>-82.581587057553577</v>
      </c>
      <c r="AF55" s="31" t="str">
        <f t="shared" si="60"/>
        <v>-1.33333333333333E-06</v>
      </c>
      <c r="AG55" s="31" t="str">
        <f t="shared" si="61"/>
        <v>0.000147439532731342i</v>
      </c>
      <c r="AH55" s="31">
        <f t="shared" si="76"/>
        <v>1.47439532731342E-4</v>
      </c>
      <c r="AI55" s="31">
        <f t="shared" si="77"/>
        <v>1.5707963267948966</v>
      </c>
      <c r="AJ55" s="31" t="str">
        <f t="shared" si="62"/>
        <v>1+0.000476750109081279i</v>
      </c>
      <c r="AK55" s="31">
        <f t="shared" si="78"/>
        <v>1.0000001136453267</v>
      </c>
      <c r="AL55" s="31">
        <f t="shared" si="79"/>
        <v>4.7675007296100059E-4</v>
      </c>
      <c r="AM55" s="31" t="str">
        <f t="shared" si="63"/>
        <v>1+0.477226859190361i</v>
      </c>
      <c r="AN55" s="31">
        <f t="shared" si="80"/>
        <v>1.1080367661466368</v>
      </c>
      <c r="AO55" s="31">
        <f t="shared" si="81"/>
        <v>0.44526368495172869</v>
      </c>
      <c r="AP55" s="58" t="str">
        <f t="shared" si="82"/>
        <v>-0.00431137196280699+0.00904531073030838i</v>
      </c>
      <c r="AQ55" s="49">
        <f t="shared" si="83"/>
        <v>-39.98242174959077</v>
      </c>
      <c r="AR55" s="61">
        <f t="shared" si="84"/>
        <v>115.48441415111358</v>
      </c>
      <c r="AS55" s="58" t="str">
        <f t="shared" si="85"/>
        <v>61.9255100195922+40.0657435197372i</v>
      </c>
      <c r="AT55" s="64">
        <f t="shared" si="86"/>
        <v>37.356015018628483</v>
      </c>
      <c r="AU55" s="61">
        <f t="shared" si="87"/>
        <v>32.902827093560049</v>
      </c>
      <c r="AV55" s="31"/>
    </row>
    <row r="56" spans="1:48" x14ac:dyDescent="0.3">
      <c r="N56" s="10">
        <v>38</v>
      </c>
      <c r="O56" s="50">
        <f t="shared" si="64"/>
        <v>23.988329190194907</v>
      </c>
      <c r="P56" s="48" t="str">
        <f t="shared" si="55"/>
        <v>51201.9230769231</v>
      </c>
      <c r="Q56" s="17" t="str">
        <f t="shared" si="56"/>
        <v>1+7.04340722217763i</v>
      </c>
      <c r="R56" s="17">
        <f t="shared" si="65"/>
        <v>7.1140414180284335</v>
      </c>
      <c r="S56" s="17">
        <f t="shared" si="66"/>
        <v>1.429762172563664</v>
      </c>
      <c r="T56" s="17" t="str">
        <f t="shared" si="57"/>
        <v>1+4.5216935253486E-10i</v>
      </c>
      <c r="U56" s="17">
        <f t="shared" si="67"/>
        <v>1</v>
      </c>
      <c r="V56" s="17">
        <f t="shared" si="68"/>
        <v>4.5216935253485999E-10</v>
      </c>
      <c r="W56" s="31" t="str">
        <f t="shared" si="58"/>
        <v>1-0.000244171450368824i</v>
      </c>
      <c r="X56" s="17">
        <f t="shared" si="69"/>
        <v>1.0000000298098481</v>
      </c>
      <c r="Y56" s="17">
        <f t="shared" si="70"/>
        <v>-2.4417144551634821E-4</v>
      </c>
      <c r="Z56" s="31" t="str">
        <f t="shared" si="59"/>
        <v>0.999999769824025+0.0149002222361586i</v>
      </c>
      <c r="AA56" s="17">
        <f t="shared" si="71"/>
        <v>1.000110772000177</v>
      </c>
      <c r="AB56" s="17">
        <f t="shared" si="72"/>
        <v>1.4899123112932459E-2</v>
      </c>
      <c r="AC56" s="66" t="str">
        <f t="shared" si="73"/>
        <v>903.583376087288-7139.5559699637i</v>
      </c>
      <c r="AD56" s="64">
        <f t="shared" si="74"/>
        <v>77.142435828593591</v>
      </c>
      <c r="AE56" s="61">
        <f t="shared" si="75"/>
        <v>-82.786985035568406</v>
      </c>
      <c r="AF56" s="31" t="str">
        <f t="shared" si="60"/>
        <v>-1.33333333333333E-06</v>
      </c>
      <c r="AG56" s="31" t="str">
        <f t="shared" si="61"/>
        <v>0.000150873840629131i</v>
      </c>
      <c r="AH56" s="31">
        <f t="shared" si="76"/>
        <v>1.5087384062913099E-4</v>
      </c>
      <c r="AI56" s="31">
        <f t="shared" si="77"/>
        <v>1.5707963267948966</v>
      </c>
      <c r="AJ56" s="31" t="str">
        <f t="shared" si="62"/>
        <v>1+0.000487855045691956i</v>
      </c>
      <c r="AK56" s="31">
        <f t="shared" si="78"/>
        <v>1.0000001190012657</v>
      </c>
      <c r="AL56" s="31">
        <f t="shared" si="79"/>
        <v>4.8785500698838062E-4</v>
      </c>
      <c r="AM56" s="31" t="str">
        <f t="shared" si="63"/>
        <v>1+0.488342900737649i</v>
      </c>
      <c r="AN56" s="31">
        <f t="shared" si="80"/>
        <v>1.112869618913582</v>
      </c>
      <c r="AO56" s="31">
        <f t="shared" si="81"/>
        <v>0.45427851588221646</v>
      </c>
      <c r="AP56" s="58" t="str">
        <f t="shared" si="82"/>
        <v>-0.0043113719166241+0.00883950898594528i</v>
      </c>
      <c r="AQ56" s="49">
        <f t="shared" si="83"/>
        <v>-40.144619489529262</v>
      </c>
      <c r="AR56" s="61">
        <f t="shared" si="84"/>
        <v>116.00028965060302</v>
      </c>
      <c r="AS56" s="58" t="str">
        <f t="shared" si="85"/>
        <v>59.2144851601623+38.7685144785418i</v>
      </c>
      <c r="AT56" s="64">
        <f t="shared" si="86"/>
        <v>36.997816339064343</v>
      </c>
      <c r="AU56" s="61">
        <f t="shared" si="87"/>
        <v>33.213304615034623</v>
      </c>
    </row>
    <row r="57" spans="1:48" x14ac:dyDescent="0.3">
      <c r="N57" s="10">
        <v>39</v>
      </c>
      <c r="O57" s="50">
        <f t="shared" si="64"/>
        <v>24.547089156850316</v>
      </c>
      <c r="P57" s="48" t="str">
        <f t="shared" si="55"/>
        <v>51201.9230769231</v>
      </c>
      <c r="Q57" s="17" t="str">
        <f t="shared" si="56"/>
        <v>1+7.207469252234i</v>
      </c>
      <c r="R57" s="17">
        <f t="shared" si="65"/>
        <v>7.2765110473288317</v>
      </c>
      <c r="S57" s="17">
        <f t="shared" si="66"/>
        <v>1.4329315154383278</v>
      </c>
      <c r="T57" s="17" t="str">
        <f t="shared" si="57"/>
        <v>1+4.62701729773047E-10i</v>
      </c>
      <c r="U57" s="17">
        <f t="shared" si="67"/>
        <v>1</v>
      </c>
      <c r="V57" s="17">
        <f t="shared" si="68"/>
        <v>4.6270172977304699E-10</v>
      </c>
      <c r="W57" s="31" t="str">
        <f t="shared" si="58"/>
        <v>1-0.000249858934077445i</v>
      </c>
      <c r="X57" s="17">
        <f t="shared" si="69"/>
        <v>1.000000031214743</v>
      </c>
      <c r="Y57" s="17">
        <f t="shared" si="70"/>
        <v>-2.4985892887792352E-4</v>
      </c>
      <c r="Z57" s="31" t="str">
        <f t="shared" si="59"/>
        <v>0.999999758976166+0.015247292997687i</v>
      </c>
      <c r="AA57" s="17">
        <f t="shared" si="71"/>
        <v>1.0001159922209761</v>
      </c>
      <c r="AB57" s="17">
        <f t="shared" si="72"/>
        <v>1.5246115273308389E-2</v>
      </c>
      <c r="AC57" s="66" t="str">
        <f t="shared" si="73"/>
        <v>858.814069817488-6983.17591203224i</v>
      </c>
      <c r="AD57" s="64">
        <f t="shared" si="74"/>
        <v>76.946254429446299</v>
      </c>
      <c r="AE57" s="61">
        <f t="shared" si="75"/>
        <v>-82.988782060619371</v>
      </c>
      <c r="AF57" s="31" t="str">
        <f t="shared" si="60"/>
        <v>-1.33333333333333E-06</v>
      </c>
      <c r="AG57" s="31" t="str">
        <f t="shared" si="61"/>
        <v>0.000154388143834274i</v>
      </c>
      <c r="AH57" s="31">
        <f t="shared" si="76"/>
        <v>1.5438814383427401E-4</v>
      </c>
      <c r="AI57" s="31">
        <f t="shared" si="77"/>
        <v>1.5707963267948966</v>
      </c>
      <c r="AJ57" s="31" t="str">
        <f t="shared" si="62"/>
        <v>1+0.000499218649505385i</v>
      </c>
      <c r="AK57" s="31">
        <f t="shared" si="78"/>
        <v>1.0000001246096224</v>
      </c>
      <c r="AL57" s="31">
        <f t="shared" si="79"/>
        <v>4.9921860803375708E-4</v>
      </c>
      <c r="AM57" s="31" t="str">
        <f t="shared" si="63"/>
        <v>1+0.499717868154891i</v>
      </c>
      <c r="AN57" s="31">
        <f t="shared" si="80"/>
        <v>1.1179078440342338</v>
      </c>
      <c r="AO57" s="31">
        <f t="shared" si="81"/>
        <v>0.4634218780541971</v>
      </c>
      <c r="AP57" s="58" t="str">
        <f t="shared" si="82"/>
        <v>-0.00431137186826464+0.00863839406624907i</v>
      </c>
      <c r="AQ57" s="49">
        <f t="shared" si="83"/>
        <v>-40.305385197297895</v>
      </c>
      <c r="AR57" s="61">
        <f t="shared" si="84"/>
        <v>116.52351462723709</v>
      </c>
      <c r="AS57" s="58" t="str">
        <f t="shared" si="85"/>
        <v>56.6207585413918+37.5258425430017i</v>
      </c>
      <c r="AT57" s="64">
        <f t="shared" si="86"/>
        <v>36.640869232148411</v>
      </c>
      <c r="AU57" s="61">
        <f t="shared" si="87"/>
        <v>33.53473256661772</v>
      </c>
    </row>
    <row r="58" spans="1:48" x14ac:dyDescent="0.3">
      <c r="N58" s="10">
        <v>40</v>
      </c>
      <c r="O58" s="50">
        <f t="shared" si="64"/>
        <v>25.118864315095799</v>
      </c>
      <c r="P58" s="48" t="str">
        <f t="shared" si="55"/>
        <v>51201.9230769231</v>
      </c>
      <c r="Q58" s="17" t="str">
        <f t="shared" si="56"/>
        <v>1+7.37535277789009i</v>
      </c>
      <c r="R58" s="17">
        <f t="shared" si="65"/>
        <v>7.4428374023843267</v>
      </c>
      <c r="S58" s="17">
        <f t="shared" si="66"/>
        <v>1.4360314109277497</v>
      </c>
      <c r="T58" s="17" t="str">
        <f t="shared" si="57"/>
        <v>1+4.73479437592945E-10i</v>
      </c>
      <c r="U58" s="17">
        <f t="shared" si="67"/>
        <v>1</v>
      </c>
      <c r="V58" s="17">
        <f t="shared" si="68"/>
        <v>4.7347943759294504E-10</v>
      </c>
      <c r="W58" s="31" t="str">
        <f t="shared" si="58"/>
        <v>1-0.00025567889630019i</v>
      </c>
      <c r="X58" s="17">
        <f t="shared" si="69"/>
        <v>1.0000000326858485</v>
      </c>
      <c r="Y58" s="17">
        <f t="shared" si="70"/>
        <v>-2.5567889072880236E-4</v>
      </c>
      <c r="Z58" s="31" t="str">
        <f t="shared" si="59"/>
        <v>0.999999747617062+0.0156024480757845i</v>
      </c>
      <c r="AA58" s="17">
        <f t="shared" si="71"/>
        <v>1.000121458433997</v>
      </c>
      <c r="AB58" s="17">
        <f t="shared" si="72"/>
        <v>1.5601186129653631E-2</v>
      </c>
      <c r="AC58" s="66" t="str">
        <f t="shared" si="73"/>
        <v>815.985356779998-6829.94923321967i</v>
      </c>
      <c r="AD58" s="64">
        <f t="shared" si="74"/>
        <v>76.749900201311675</v>
      </c>
      <c r="AE58" s="61">
        <f t="shared" si="75"/>
        <v>-83.187070509225023</v>
      </c>
      <c r="AF58" s="31" t="str">
        <f t="shared" si="60"/>
        <v>-1.33333333333333E-06</v>
      </c>
      <c r="AG58" s="31" t="str">
        <f t="shared" si="61"/>
        <v>0.000157984305676845i</v>
      </c>
      <c r="AH58" s="31">
        <f t="shared" si="76"/>
        <v>1.5798430567684501E-4</v>
      </c>
      <c r="AI58" s="31">
        <f t="shared" si="77"/>
        <v>1.5707963267948966</v>
      </c>
      <c r="AJ58" s="31" t="str">
        <f t="shared" si="62"/>
        <v>1+0.000510846945654724i</v>
      </c>
      <c r="AK58" s="31">
        <f t="shared" si="78"/>
        <v>1.0000001304822925</v>
      </c>
      <c r="AL58" s="31">
        <f t="shared" si="79"/>
        <v>5.108469012170744E-4</v>
      </c>
      <c r="AM58" s="31" t="str">
        <f t="shared" si="63"/>
        <v>1+0.51135779260038i</v>
      </c>
      <c r="AN58" s="31">
        <f t="shared" si="80"/>
        <v>1.1231592905964556</v>
      </c>
      <c r="AO58" s="31">
        <f t="shared" si="81"/>
        <v>0.47269250328446777</v>
      </c>
      <c r="AP58" s="58" t="str">
        <f t="shared" si="82"/>
        <v>-0.00431137181762615+0.00844185933742729i</v>
      </c>
      <c r="AQ58" s="49">
        <f t="shared" si="83"/>
        <v>-40.464678240415893</v>
      </c>
      <c r="AR58" s="61">
        <f t="shared" si="84"/>
        <v>117.05401607425669</v>
      </c>
      <c r="AS58" s="58" t="str">
        <f t="shared" si="85"/>
        <v>54.1394544377929+36.3348842432578i</v>
      </c>
      <c r="AT58" s="64">
        <f t="shared" si="86"/>
        <v>36.285221960895782</v>
      </c>
      <c r="AU58" s="61">
        <f t="shared" si="87"/>
        <v>33.866945565031692</v>
      </c>
    </row>
    <row r="59" spans="1:48" x14ac:dyDescent="0.3">
      <c r="N59" s="10">
        <v>41</v>
      </c>
      <c r="O59" s="50">
        <f t="shared" si="64"/>
        <v>25.703957827688647</v>
      </c>
      <c r="P59" s="48" t="str">
        <f t="shared" si="55"/>
        <v>51201.9230769231</v>
      </c>
      <c r="Q59" s="17" t="str">
        <f t="shared" si="56"/>
        <v>1+7.54714681321331i</v>
      </c>
      <c r="R59" s="17">
        <f t="shared" si="65"/>
        <v>7.613108761878804</v>
      </c>
      <c r="S59" s="17">
        <f t="shared" si="66"/>
        <v>1.4390632642082053</v>
      </c>
      <c r="T59" s="17" t="str">
        <f t="shared" si="57"/>
        <v>1+4.84508190477891E-10i</v>
      </c>
      <c r="U59" s="17">
        <f t="shared" si="67"/>
        <v>1</v>
      </c>
      <c r="V59" s="17">
        <f t="shared" si="68"/>
        <v>4.84508190477891E-10</v>
      </c>
      <c r="W59" s="31" t="str">
        <f t="shared" si="58"/>
        <v>1-0.000261634422858061i</v>
      </c>
      <c r="X59" s="17">
        <f t="shared" si="69"/>
        <v>1.0000000342262849</v>
      </c>
      <c r="Y59" s="17">
        <f t="shared" si="70"/>
        <v>-2.6163441688821162E-4</v>
      </c>
      <c r="Z59" s="31" t="str">
        <f t="shared" si="59"/>
        <v>0.999999735722621+0.0159658757783746i</v>
      </c>
      <c r="AA59" s="17">
        <f t="shared" si="71"/>
        <v>1.0001271822296816</v>
      </c>
      <c r="AB59" s="17">
        <f t="shared" si="72"/>
        <v>1.5964523588020054E-2</v>
      </c>
      <c r="AC59" s="66" t="str">
        <f t="shared" si="73"/>
        <v>775.016279278001-6679.83003709348i</v>
      </c>
      <c r="AD59" s="64">
        <f t="shared" si="74"/>
        <v>76.553380448436343</v>
      </c>
      <c r="AE59" s="61">
        <f t="shared" si="75"/>
        <v>-83.381941835083254</v>
      </c>
      <c r="AF59" s="31" t="str">
        <f t="shared" si="60"/>
        <v>-1.33333333333333E-06</v>
      </c>
      <c r="AG59" s="31" t="str">
        <f t="shared" si="61"/>
        <v>0.000161664232889456i</v>
      </c>
      <c r="AH59" s="31">
        <f t="shared" si="76"/>
        <v>1.6166423288945599E-4</v>
      </c>
      <c r="AI59" s="31">
        <f t="shared" si="77"/>
        <v>1.5707963267948966</v>
      </c>
      <c r="AJ59" s="31" t="str">
        <f t="shared" si="62"/>
        <v>1+0.000522746099616505i</v>
      </c>
      <c r="AK59" s="31">
        <f t="shared" si="78"/>
        <v>1.000000136631733</v>
      </c>
      <c r="AL59" s="31">
        <f t="shared" si="79"/>
        <v>5.2274605200070586E-4</v>
      </c>
      <c r="AM59" s="31" t="str">
        <f t="shared" si="63"/>
        <v>1+0.523268845716122i</v>
      </c>
      <c r="AN59" s="31">
        <f t="shared" si="80"/>
        <v>1.128632041409902</v>
      </c>
      <c r="AO59" s="31">
        <f t="shared" si="81"/>
        <v>0.48208893198618796</v>
      </c>
      <c r="AP59" s="58" t="str">
        <f t="shared" si="82"/>
        <v>-0.0043113717646011+0.00824980059416493i</v>
      </c>
      <c r="AQ59" s="49">
        <f t="shared" si="83"/>
        <v>-40.622457860255196</v>
      </c>
      <c r="AR59" s="61">
        <f t="shared" si="84"/>
        <v>117.59171001024121</v>
      </c>
      <c r="AS59" s="58" t="str">
        <f t="shared" si="85"/>
        <v>51.7658825053492+35.1929603755343i</v>
      </c>
      <c r="AT59" s="64">
        <f t="shared" si="86"/>
        <v>35.930922588181154</v>
      </c>
      <c r="AU59" s="61">
        <f t="shared" si="87"/>
        <v>34.209768175157961</v>
      </c>
    </row>
    <row r="60" spans="1:48" x14ac:dyDescent="0.3">
      <c r="N60" s="10">
        <v>42</v>
      </c>
      <c r="O60" s="50">
        <f t="shared" si="64"/>
        <v>26.302679918953825</v>
      </c>
      <c r="P60" s="48" t="str">
        <f t="shared" si="55"/>
        <v>51201.9230769231</v>
      </c>
      <c r="Q60" s="17" t="str">
        <f t="shared" si="56"/>
        <v>1+7.72294244567519i</v>
      </c>
      <c r="R60" s="17">
        <f t="shared" si="65"/>
        <v>7.7874154903415471</v>
      </c>
      <c r="S60" s="17">
        <f t="shared" si="66"/>
        <v>1.4420284597369846</v>
      </c>
      <c r="T60" s="17" t="str">
        <f t="shared" si="57"/>
        <v>1+4.95793836018654E-10i</v>
      </c>
      <c r="U60" s="17">
        <f t="shared" si="67"/>
        <v>1</v>
      </c>
      <c r="V60" s="17">
        <f t="shared" si="68"/>
        <v>4.9579383601865403E-10</v>
      </c>
      <c r="W60" s="31" t="str">
        <f t="shared" si="58"/>
        <v>1-0.000267728671450073i</v>
      </c>
      <c r="X60" s="17">
        <f t="shared" si="69"/>
        <v>1.0000000358393202</v>
      </c>
      <c r="Y60" s="17">
        <f t="shared" si="70"/>
        <v>-2.6772866505326415E-4</v>
      </c>
      <c r="Z60" s="31" t="str">
        <f t="shared" si="59"/>
        <v>0.999999723267612+0.0163377687996357i</v>
      </c>
      <c r="AA60" s="17">
        <f t="shared" si="71"/>
        <v>1.0001331757444361</v>
      </c>
      <c r="AB60" s="17">
        <f t="shared" si="72"/>
        <v>1.6336319911986297E-2</v>
      </c>
      <c r="AC60" s="66" t="str">
        <f t="shared" si="73"/>
        <v>735.828984212544-6532.771854228i</v>
      </c>
      <c r="AD60" s="64">
        <f t="shared" si="74"/>
        <v>76.356702160852421</v>
      </c>
      <c r="AE60" s="61">
        <f t="shared" si="75"/>
        <v>-83.573486558567637</v>
      </c>
      <c r="AF60" s="31" t="str">
        <f t="shared" si="60"/>
        <v>-1.33333333333333E-06</v>
      </c>
      <c r="AG60" s="31" t="str">
        <f t="shared" si="61"/>
        <v>0.000165429876618224i</v>
      </c>
      <c r="AH60" s="31">
        <f t="shared" si="76"/>
        <v>1.6542987661822401E-4</v>
      </c>
      <c r="AI60" s="31">
        <f t="shared" si="77"/>
        <v>1.5707963267948966</v>
      </c>
      <c r="AJ60" s="31" t="str">
        <f t="shared" si="62"/>
        <v>1+0.000534922420479666i</v>
      </c>
      <c r="AK60" s="31">
        <f t="shared" si="78"/>
        <v>1.0000001430709877</v>
      </c>
      <c r="AL60" s="31">
        <f t="shared" si="79"/>
        <v>5.3492236945841846E-4</v>
      </c>
      <c r="AM60" s="31" t="str">
        <f t="shared" si="63"/>
        <v>1+0.535457342900146i</v>
      </c>
      <c r="AN60" s="31">
        <f t="shared" si="80"/>
        <v>1.1343344154462054</v>
      </c>
      <c r="AO60" s="31">
        <f t="shared" si="81"/>
        <v>0.49160950828706862</v>
      </c>
      <c r="AP60" s="58" t="str">
        <f t="shared" si="82"/>
        <v>-0.00431137170907706+0.00806211600437402i</v>
      </c>
      <c r="AQ60" s="49">
        <f t="shared" si="83"/>
        <v>-40.77868325373862</v>
      </c>
      <c r="AR60" s="61">
        <f t="shared" si="84"/>
        <v>118.13650119921357</v>
      </c>
      <c r="AS60" s="58" t="str">
        <f t="shared" si="85"/>
        <v>49.4955322536428+34.0975463842757i</v>
      </c>
      <c r="AT60" s="64">
        <f t="shared" si="86"/>
        <v>35.578018907113787</v>
      </c>
      <c r="AU60" s="61">
        <f t="shared" si="87"/>
        <v>34.563014640645953</v>
      </c>
    </row>
    <row r="61" spans="1:48" ht="15.6" x14ac:dyDescent="0.3">
      <c r="A61" s="51" t="s">
        <v>215</v>
      </c>
      <c r="N61" s="10">
        <v>43</v>
      </c>
      <c r="O61" s="50">
        <f t="shared" si="64"/>
        <v>26.915348039269158</v>
      </c>
      <c r="P61" s="48" t="str">
        <f t="shared" si="55"/>
        <v>51201.9230769231</v>
      </c>
      <c r="Q61" s="17" t="str">
        <f t="shared" si="56"/>
        <v>1+7.90283288444703i</v>
      </c>
      <c r="R61" s="17">
        <f t="shared" si="65"/>
        <v>7.9658500864312893</v>
      </c>
      <c r="S61" s="17">
        <f t="shared" si="66"/>
        <v>1.4449283610202455</v>
      </c>
      <c r="T61" s="17" t="str">
        <f t="shared" si="57"/>
        <v>1+5.07342358013884E-10i</v>
      </c>
      <c r="U61" s="17">
        <f t="shared" si="67"/>
        <v>1</v>
      </c>
      <c r="V61" s="17">
        <f t="shared" si="68"/>
        <v>5.0734235801388403E-10</v>
      </c>
      <c r="W61" s="31" t="str">
        <f t="shared" si="58"/>
        <v>1-0.000273964873327497i</v>
      </c>
      <c r="X61" s="17">
        <f t="shared" si="69"/>
        <v>1.0000000375283753</v>
      </c>
      <c r="Y61" s="17">
        <f t="shared" si="70"/>
        <v>-2.739648664731928E-4</v>
      </c>
      <c r="Z61" s="31" t="str">
        <f t="shared" si="59"/>
        <v>0.999999710225616+0.0167183243221704i</v>
      </c>
      <c r="AA61" s="17">
        <f t="shared" si="71"/>
        <v>1.000139451686342</v>
      </c>
      <c r="AB61" s="17">
        <f t="shared" si="72"/>
        <v>1.671677182277401E-2</v>
      </c>
      <c r="AC61" s="66" t="str">
        <f t="shared" si="73"/>
        <v>698.348628077009-6388.72775127951i</v>
      </c>
      <c r="AD61" s="64">
        <f t="shared" si="74"/>
        <v>76.15987202606982</v>
      </c>
      <c r="AE61" s="61">
        <f t="shared" si="75"/>
        <v>-83.761794259258778</v>
      </c>
      <c r="AF61" s="31" t="str">
        <f t="shared" si="60"/>
        <v>-1.33333333333333E-06</v>
      </c>
      <c r="AG61" s="31" t="str">
        <f t="shared" si="61"/>
        <v>0.000169283233457299i</v>
      </c>
      <c r="AH61" s="31">
        <f t="shared" si="76"/>
        <v>1.6928323345729901E-4</v>
      </c>
      <c r="AI61" s="31">
        <f t="shared" si="77"/>
        <v>1.5707963267948966</v>
      </c>
      <c r="AJ61" s="31" t="str">
        <f t="shared" si="62"/>
        <v>1+0.000547382364290702i</v>
      </c>
      <c r="AK61" s="31">
        <f t="shared" si="78"/>
        <v>1.000000149813715</v>
      </c>
      <c r="AL61" s="31">
        <f t="shared" si="79"/>
        <v>5.4738230962045071E-4</v>
      </c>
      <c r="AM61" s="31" t="str">
        <f t="shared" si="63"/>
        <v>1+0.547929746654994i</v>
      </c>
      <c r="AN61" s="31">
        <f t="shared" si="80"/>
        <v>1.1402749700267063</v>
      </c>
      <c r="AO61" s="31">
        <f t="shared" si="81"/>
        <v>0.50125237562173242</v>
      </c>
      <c r="AP61" s="58" t="str">
        <f t="shared" si="82"/>
        <v>-0.00431137165093626+0.00787870605520051i</v>
      </c>
      <c r="AQ61" s="49">
        <f t="shared" si="83"/>
        <v>-40.933313659720483</v>
      </c>
      <c r="AR61" s="61">
        <f t="shared" si="84"/>
        <v>118.68828289791013</v>
      </c>
      <c r="AS61" s="58" t="str">
        <f t="shared" si="85"/>
        <v>47.324067541472+33.0462632770875i</v>
      </c>
      <c r="AT61" s="64">
        <f t="shared" si="86"/>
        <v>35.22655836634933</v>
      </c>
      <c r="AU61" s="61">
        <f t="shared" si="87"/>
        <v>34.926488638651307</v>
      </c>
    </row>
    <row r="62" spans="1:48" x14ac:dyDescent="0.3">
      <c r="A62" t="s">
        <v>180</v>
      </c>
      <c r="N62" s="10">
        <v>44</v>
      </c>
      <c r="O62" s="50">
        <f t="shared" si="64"/>
        <v>27.542287033381665</v>
      </c>
      <c r="P62" s="48" t="str">
        <f t="shared" si="55"/>
        <v>51201.9230769231</v>
      </c>
      <c r="Q62" s="17" t="str">
        <f t="shared" si="56"/>
        <v>1+8.08691350982056i</v>
      </c>
      <c r="R62" s="17">
        <f t="shared" si="65"/>
        <v>8.1485072323290169</v>
      </c>
      <c r="S62" s="17">
        <f t="shared" si="66"/>
        <v>1.4477643104280868</v>
      </c>
      <c r="T62" s="17" t="str">
        <f t="shared" si="57"/>
        <v>1+5.19159879642801E-10i</v>
      </c>
      <c r="U62" s="17">
        <f t="shared" si="67"/>
        <v>1</v>
      </c>
      <c r="V62" s="17">
        <f t="shared" si="68"/>
        <v>5.1915987964280095E-10</v>
      </c>
      <c r="W62" s="31" t="str">
        <f t="shared" si="58"/>
        <v>1-0.000280346335007112i</v>
      </c>
      <c r="X62" s="17">
        <f t="shared" si="69"/>
        <v>1.000000039297033</v>
      </c>
      <c r="Y62" s="17">
        <f t="shared" si="70"/>
        <v>-2.8034632766259275E-4</v>
      </c>
      <c r="Z62" s="31" t="str">
        <f t="shared" si="59"/>
        <v>0.99999969656897+0.0171077441215539i</v>
      </c>
      <c r="AA62" s="17">
        <f t="shared" si="71"/>
        <v>1.0001460233620691</v>
      </c>
      <c r="AB62" s="17">
        <f t="shared" si="72"/>
        <v>1.710608060159664E-2</v>
      </c>
      <c r="AC62" s="66" t="str">
        <f t="shared" si="73"/>
        <v>662.50328263398-6247.65043238623i</v>
      </c>
      <c r="AD62" s="64">
        <f t="shared" si="74"/>
        <v>75.962896440389159</v>
      </c>
      <c r="AE62" s="61">
        <f t="shared" si="75"/>
        <v>-83.946953571310814</v>
      </c>
      <c r="AF62" s="31" t="str">
        <f t="shared" si="60"/>
        <v>-1.33333333333333E-06</v>
      </c>
      <c r="AG62" s="31" t="str">
        <f t="shared" si="61"/>
        <v>0.000173226346507481i</v>
      </c>
      <c r="AH62" s="31">
        <f t="shared" si="76"/>
        <v>1.73226346507481E-4</v>
      </c>
      <c r="AI62" s="31">
        <f t="shared" si="77"/>
        <v>1.5707963267948966</v>
      </c>
      <c r="AJ62" s="31" t="str">
        <f t="shared" si="62"/>
        <v>1+0.000560132537476748i</v>
      </c>
      <c r="AK62" s="31">
        <f t="shared" si="78"/>
        <v>1.0000001568742174</v>
      </c>
      <c r="AL62" s="31">
        <f t="shared" si="79"/>
        <v>5.6013247889651876E-4</v>
      </c>
      <c r="AM62" s="31" t="str">
        <f t="shared" si="63"/>
        <v>1+0.560692670014225i</v>
      </c>
      <c r="AN62" s="31">
        <f t="shared" si="80"/>
        <v>1.146462502748206</v>
      </c>
      <c r="AO62" s="31">
        <f t="shared" si="81"/>
        <v>0.51101547285369797</v>
      </c>
      <c r="AP62" s="58" t="str">
        <f t="shared" si="82"/>
        <v>-0.00431137159005538+0.0076994735002615i</v>
      </c>
      <c r="AQ62" s="49">
        <f t="shared" si="83"/>
        <v>-41.0863084498652</v>
      </c>
      <c r="AR62" s="61">
        <f t="shared" si="84"/>
        <v>119.24693663339005</v>
      </c>
      <c r="AS62" s="58" t="str">
        <f t="shared" si="85"/>
        <v>45.2473211119885+32.0368690472638i</v>
      </c>
      <c r="AT62" s="64">
        <f t="shared" si="86"/>
        <v>34.876587990523959</v>
      </c>
      <c r="AU62" s="61">
        <f t="shared" si="87"/>
        <v>35.299983062079242</v>
      </c>
    </row>
    <row r="63" spans="1:48" x14ac:dyDescent="0.3">
      <c r="A63" t="s">
        <v>178</v>
      </c>
      <c r="B63" s="3">
        <f>RFBT</f>
        <v>30000000</v>
      </c>
      <c r="C63" s="2" t="s">
        <v>35</v>
      </c>
      <c r="E63" t="s">
        <v>181</v>
      </c>
      <c r="N63" s="10">
        <v>45</v>
      </c>
      <c r="O63" s="50">
        <f t="shared" si="64"/>
        <v>28.183829312644548</v>
      </c>
      <c r="P63" s="48" t="str">
        <f t="shared" si="55"/>
        <v>51201.9230769231</v>
      </c>
      <c r="Q63" s="17" t="str">
        <f t="shared" si="56"/>
        <v>1+8.27528192377993i</v>
      </c>
      <c r="R63" s="17">
        <f t="shared" si="65"/>
        <v>8.3354838442671628</v>
      </c>
      <c r="S63" s="17">
        <f t="shared" si="66"/>
        <v>1.4505376290534797</v>
      </c>
      <c r="T63" s="17" t="str">
        <f t="shared" si="57"/>
        <v>1+5.31252666711799E-10i</v>
      </c>
      <c r="U63" s="17">
        <f t="shared" si="67"/>
        <v>1</v>
      </c>
      <c r="V63" s="17">
        <f t="shared" si="68"/>
        <v>5.3125266671179897E-10</v>
      </c>
      <c r="W63" s="31" t="str">
        <f t="shared" si="58"/>
        <v>1-0.000286876440024371i</v>
      </c>
      <c r="X63" s="17">
        <f t="shared" si="69"/>
        <v>1.0000000411490451</v>
      </c>
      <c r="Y63" s="17">
        <f t="shared" si="70"/>
        <v>-2.8687643215457681E-4</v>
      </c>
      <c r="Z63" s="31" t="str">
        <f t="shared" si="59"/>
        <v>0.999999682268706+0.0175062346733184i</v>
      </c>
      <c r="AA63" s="17">
        <f t="shared" si="71"/>
        <v>1.0001529047050506</v>
      </c>
      <c r="AB63" s="17">
        <f t="shared" si="72"/>
        <v>1.7504452194287173E-2</v>
      </c>
      <c r="AC63" s="66" t="str">
        <f t="shared" si="73"/>
        <v>628.223841518306-6109.49233329156i</v>
      </c>
      <c r="AD63" s="64">
        <f t="shared" si="74"/>
        <v>75.765781519837333</v>
      </c>
      <c r="AE63" s="61">
        <f t="shared" si="75"/>
        <v>-84.129052181464232</v>
      </c>
      <c r="AF63" s="31" t="str">
        <f t="shared" si="60"/>
        <v>-1.33333333333333E-06</v>
      </c>
      <c r="AG63" s="31" t="str">
        <f t="shared" si="61"/>
        <v>0.000177261306459503i</v>
      </c>
      <c r="AH63" s="31">
        <f t="shared" si="76"/>
        <v>1.7726130645950299E-4</v>
      </c>
      <c r="AI63" s="31">
        <f t="shared" si="77"/>
        <v>1.5707963267948966</v>
      </c>
      <c r="AJ63" s="31" t="str">
        <f t="shared" si="62"/>
        <v>1+0.000573179700348393i</v>
      </c>
      <c r="AK63" s="31">
        <f t="shared" si="78"/>
        <v>1.000000164267471</v>
      </c>
      <c r="AL63" s="31">
        <f t="shared" si="79"/>
        <v>5.7317963757854708E-4</v>
      </c>
      <c r="AM63" s="31" t="str">
        <f t="shared" si="63"/>
        <v>1+0.573752880048742i</v>
      </c>
      <c r="AN63" s="31">
        <f t="shared" si="80"/>
        <v>1.1529060531388609</v>
      </c>
      <c r="AO63" s="31">
        <f t="shared" si="81"/>
        <v>0.52089653098229649</v>
      </c>
      <c r="AP63" s="58" t="str">
        <f t="shared" si="82"/>
        <v>-0.00431137152630526+0.00752432330808369i</v>
      </c>
      <c r="AQ63" s="49">
        <f t="shared" si="83"/>
        <v>-41.237627223792607</v>
      </c>
      <c r="AR63" s="61">
        <f t="shared" si="84"/>
        <v>119.81233201415503</v>
      </c>
      <c r="AS63" s="58" t="str">
        <f t="shared" si="85"/>
        <v>43.2612891814762+31.0672505793636i</v>
      </c>
      <c r="AT63" s="64">
        <f t="shared" si="86"/>
        <v>34.528154296044733</v>
      </c>
      <c r="AU63" s="61">
        <f t="shared" si="87"/>
        <v>35.683279832690801</v>
      </c>
    </row>
    <row r="64" spans="1:48" x14ac:dyDescent="0.3">
      <c r="A64" t="s">
        <v>179</v>
      </c>
      <c r="B64" s="3">
        <f>RFBB</f>
        <v>20013.342228152102</v>
      </c>
      <c r="C64" s="2" t="s">
        <v>35</v>
      </c>
      <c r="E64" t="s">
        <v>182</v>
      </c>
      <c r="N64" s="10">
        <v>46</v>
      </c>
      <c r="O64" s="50">
        <f t="shared" si="64"/>
        <v>28.840315031266066</v>
      </c>
      <c r="P64" s="48" t="str">
        <f t="shared" si="55"/>
        <v>51201.9230769231</v>
      </c>
      <c r="Q64" s="17" t="str">
        <f t="shared" si="56"/>
        <v>1+8.46803800175161i</v>
      </c>
      <c r="R64" s="17">
        <f t="shared" si="65"/>
        <v>8.5268791242229653</v>
      </c>
      <c r="S64" s="17">
        <f t="shared" si="66"/>
        <v>1.4532496166118825</v>
      </c>
      <c r="T64" s="17" t="str">
        <f t="shared" si="57"/>
        <v>1+5.43627130976647E-10i</v>
      </c>
      <c r="U64" s="17">
        <f t="shared" si="67"/>
        <v>1</v>
      </c>
      <c r="V64" s="17">
        <f t="shared" si="68"/>
        <v>5.4362713097664703E-10</v>
      </c>
      <c r="W64" s="31" t="str">
        <f t="shared" si="58"/>
        <v>1-0.000293558650727389i</v>
      </c>
      <c r="X64" s="17">
        <f t="shared" si="69"/>
        <v>1.0000000430883398</v>
      </c>
      <c r="Y64" s="17">
        <f t="shared" si="70"/>
        <v>-2.9355864229475267E-4</v>
      </c>
      <c r="Z64" s="31" t="str">
        <f t="shared" si="59"/>
        <v>0.999999667294492+0.0179140072624291i</v>
      </c>
      <c r="AA64" s="17">
        <f t="shared" si="71"/>
        <v>1.0001601103049917</v>
      </c>
      <c r="AB64" s="17">
        <f t="shared" si="72"/>
        <v>1.791209731824905E-2</v>
      </c>
      <c r="AC64" s="66" t="str">
        <f t="shared" si="73"/>
        <v>595.44392798024-5974.2057085777i</v>
      </c>
      <c r="AD64" s="64">
        <f t="shared" si="74"/>
        <v>75.568533110730058</v>
      </c>
      <c r="AE64" s="61">
        <f t="shared" si="75"/>
        <v>-84.308176829524655</v>
      </c>
      <c r="AF64" s="31" t="str">
        <f t="shared" si="60"/>
        <v>-1.33333333333333E-06</v>
      </c>
      <c r="AG64" s="31" t="str">
        <f t="shared" si="61"/>
        <v>0.00018139025270254i</v>
      </c>
      <c r="AH64" s="31">
        <f t="shared" si="76"/>
        <v>1.8139025270253999E-4</v>
      </c>
      <c r="AI64" s="31">
        <f t="shared" si="77"/>
        <v>1.5707963267948966</v>
      </c>
      <c r="AJ64" s="31" t="str">
        <f t="shared" si="62"/>
        <v>1+0.000586530770684093i</v>
      </c>
      <c r="AK64" s="31">
        <f t="shared" si="78"/>
        <v>1.0000001720091576</v>
      </c>
      <c r="AL64" s="31">
        <f t="shared" si="79"/>
        <v>5.865307034249919E-4</v>
      </c>
      <c r="AM64" s="31" t="str">
        <f t="shared" si="63"/>
        <v>1+0.587117301454778i</v>
      </c>
      <c r="AN64" s="31">
        <f t="shared" si="80"/>
        <v>1.1596149040382073</v>
      </c>
      <c r="AO64" s="31">
        <f t="shared" si="81"/>
        <v>0.53089307048912471</v>
      </c>
      <c r="AP64" s="58" t="str">
        <f t="shared" si="82"/>
        <v>-0.00431137145955071+0.00735316261171661i</v>
      </c>
      <c r="AQ64" s="49">
        <f t="shared" si="83"/>
        <v>-41.38722990820537</v>
      </c>
      <c r="AR64" s="61">
        <f t="shared" si="84"/>
        <v>120.38432657790703</v>
      </c>
      <c r="AS64" s="58" t="str">
        <f t="shared" si="85"/>
        <v>41.3621260941607+30.1354160140448i</v>
      </c>
      <c r="AT64" s="64">
        <f t="shared" si="86"/>
        <v>34.181303202524688</v>
      </c>
      <c r="AU64" s="61">
        <f t="shared" si="87"/>
        <v>36.076149748382399</v>
      </c>
    </row>
    <row r="65" spans="1:47" x14ac:dyDescent="0.3">
      <c r="A65" t="s">
        <v>168</v>
      </c>
      <c r="B65" s="3">
        <f>RCOMP</f>
        <v>3240</v>
      </c>
      <c r="C65" s="2" t="s">
        <v>35</v>
      </c>
      <c r="E65" s="31" t="s">
        <v>175</v>
      </c>
      <c r="N65" s="10">
        <v>47</v>
      </c>
      <c r="O65" s="50">
        <f t="shared" si="64"/>
        <v>29.512092266663863</v>
      </c>
      <c r="P65" s="48" t="str">
        <f t="shared" si="55"/>
        <v>51201.9230769231</v>
      </c>
      <c r="Q65" s="17" t="str">
        <f t="shared" si="56"/>
        <v>1+8.66528394555953i</v>
      </c>
      <c r="R65" s="17">
        <f t="shared" si="65"/>
        <v>8.7227946128045311</v>
      </c>
      <c r="S65" s="17">
        <f t="shared" si="66"/>
        <v>1.4559015513785258</v>
      </c>
      <c r="T65" s="17" t="str">
        <f t="shared" si="57"/>
        <v>1+5.56289833542094E-10i</v>
      </c>
      <c r="U65" s="17">
        <f t="shared" si="67"/>
        <v>1</v>
      </c>
      <c r="V65" s="17">
        <f t="shared" si="68"/>
        <v>5.56289833542094E-10</v>
      </c>
      <c r="W65" s="31" t="str">
        <f t="shared" si="58"/>
        <v>1-0.00030039651011273i</v>
      </c>
      <c r="X65" s="17">
        <f t="shared" si="69"/>
        <v>1.0000000451190305</v>
      </c>
      <c r="Y65" s="17">
        <f t="shared" si="70"/>
        <v>-3.0039650107699741E-4</v>
      </c>
      <c r="Z65" s="31" t="str">
        <f t="shared" si="59"/>
        <v>0.999999651614564+0.0183312780953102i</v>
      </c>
      <c r="AA65" s="17">
        <f t="shared" si="71"/>
        <v>1.0001676554387553</v>
      </c>
      <c r="AB65" s="17">
        <f t="shared" si="72"/>
        <v>1.8329231571776985E-2</v>
      </c>
      <c r="AC65" s="66" t="str">
        <f t="shared" si="73"/>
        <v>564.099803954712-5841.74271238321i</v>
      </c>
      <c r="AD65" s="64">
        <f t="shared" si="74"/>
        <v>75.371156799865375</v>
      </c>
      <c r="AE65" s="61">
        <f t="shared" si="75"/>
        <v>-84.484413311138411</v>
      </c>
      <c r="AF65" s="31" t="str">
        <f t="shared" si="60"/>
        <v>-1.33333333333333E-06</v>
      </c>
      <c r="AG65" s="31" t="str">
        <f t="shared" si="61"/>
        <v>0.000185615374458545i</v>
      </c>
      <c r="AH65" s="31">
        <f t="shared" si="76"/>
        <v>1.8561537445854501E-4</v>
      </c>
      <c r="AI65" s="31">
        <f t="shared" si="77"/>
        <v>1.5707963267948966</v>
      </c>
      <c r="AJ65" s="31" t="str">
        <f t="shared" si="62"/>
        <v>1+0.000600192827398062i</v>
      </c>
      <c r="AK65" s="31">
        <f t="shared" si="78"/>
        <v>1.0000001801156988</v>
      </c>
      <c r="AL65" s="31">
        <f t="shared" si="79"/>
        <v>6.0019275532863735E-4</v>
      </c>
      <c r="AM65" s="31" t="str">
        <f t="shared" si="63"/>
        <v>1+0.60079302022546i</v>
      </c>
      <c r="AN65" s="31">
        <f t="shared" si="80"/>
        <v>1.1665985826974203</v>
      </c>
      <c r="AO65" s="31">
        <f t="shared" si="81"/>
        <v>0.5410023993773313</v>
      </c>
      <c r="AP65" s="58" t="str">
        <f t="shared" si="82"/>
        <v>-0.00431137138965008+0.00718590065949311i</v>
      </c>
      <c r="AQ65" s="49">
        <f t="shared" si="83"/>
        <v>-41.535076859663249</v>
      </c>
      <c r="AR65" s="61">
        <f t="shared" si="84"/>
        <v>120.96276567899746</v>
      </c>
      <c r="AS65" s="58" t="str">
        <f t="shared" si="85"/>
        <v>39.546139053826+29.2394875491239i</v>
      </c>
      <c r="AT65" s="64">
        <f t="shared" si="86"/>
        <v>33.836079940202119</v>
      </c>
      <c r="AU65" s="61">
        <f t="shared" si="87"/>
        <v>36.478352367859038</v>
      </c>
    </row>
    <row r="66" spans="1:47" x14ac:dyDescent="0.3">
      <c r="A66" t="s">
        <v>173</v>
      </c>
      <c r="B66" s="3">
        <f>CCOMP</f>
        <v>1.0000000000000002E-6</v>
      </c>
      <c r="C66" s="2" t="s">
        <v>151</v>
      </c>
      <c r="E66" s="31" t="s">
        <v>176</v>
      </c>
      <c r="N66" s="10">
        <v>48</v>
      </c>
      <c r="O66" s="50">
        <f t="shared" si="64"/>
        <v>30.199517204020164</v>
      </c>
      <c r="P66" s="48" t="str">
        <f t="shared" si="55"/>
        <v>51201.9230769231</v>
      </c>
      <c r="Q66" s="17" t="str">
        <f t="shared" si="56"/>
        <v>1+8.86712433761399i</v>
      </c>
      <c r="R66" s="17">
        <f t="shared" si="65"/>
        <v>8.9233342433591698</v>
      </c>
      <c r="S66" s="17">
        <f t="shared" si="66"/>
        <v>1.458494690160536</v>
      </c>
      <c r="T66" s="17" t="str">
        <f t="shared" si="57"/>
        <v>1+5.69247488340652E-10i</v>
      </c>
      <c r="U66" s="17">
        <f t="shared" si="67"/>
        <v>1</v>
      </c>
      <c r="V66" s="17">
        <f t="shared" si="68"/>
        <v>5.6924748834065197E-10</v>
      </c>
      <c r="W66" s="31" t="str">
        <f t="shared" si="58"/>
        <v>1-0.000307393643703952i</v>
      </c>
      <c r="X66" s="17">
        <f t="shared" si="69"/>
        <v>1.0000000472454249</v>
      </c>
      <c r="Y66" s="17">
        <f t="shared" si="70"/>
        <v>-3.0739363402199012E-4</v>
      </c>
      <c r="Z66" s="31" t="str">
        <f t="shared" si="59"/>
        <v>0.999999635195664+0.0187582684144806i</v>
      </c>
      <c r="AA66" s="17">
        <f t="shared" si="71"/>
        <v>1.0001755561027128</v>
      </c>
      <c r="AB66" s="17">
        <f t="shared" si="72"/>
        <v>1.8756075545794015E-2</v>
      </c>
      <c r="AC66" s="66" t="str">
        <f t="shared" si="73"/>
        <v>534.1302806174-5712.05547296502i</v>
      </c>
      <c r="AD66" s="64">
        <f t="shared" si="74"/>
        <v>75.173657924352611</v>
      </c>
      <c r="AE66" s="61">
        <f t="shared" si="75"/>
        <v>-84.657846482705096</v>
      </c>
      <c r="AF66" s="31" t="str">
        <f t="shared" si="60"/>
        <v>-1.33333333333333E-06</v>
      </c>
      <c r="AG66" s="31" t="str">
        <f t="shared" si="61"/>
        <v>0.000189938911942997i</v>
      </c>
      <c r="AH66" s="31">
        <f t="shared" si="76"/>
        <v>1.8993891194299701E-4</v>
      </c>
      <c r="AI66" s="31">
        <f t="shared" si="77"/>
        <v>1.5707963267948966</v>
      </c>
      <c r="AJ66" s="31" t="str">
        <f t="shared" si="62"/>
        <v>1+0.000614173114293609i</v>
      </c>
      <c r="AK66" s="31">
        <f t="shared" si="78"/>
        <v>1.0000001886042893</v>
      </c>
      <c r="AL66" s="31">
        <f t="shared" si="79"/>
        <v>6.1417303706982993E-4</v>
      </c>
      <c r="AM66" s="31" t="str">
        <f t="shared" si="63"/>
        <v>1+0.614787287407903i</v>
      </c>
      <c r="AN66" s="31">
        <f t="shared" si="80"/>
        <v>1.1738668615981829</v>
      </c>
      <c r="AO66" s="31">
        <f t="shared" si="81"/>
        <v>0.5512216119549892</v>
      </c>
      <c r="AP66" s="58" t="str">
        <f t="shared" si="82"/>
        <v>-0.00431137131645516+0.00702244876691202i</v>
      </c>
      <c r="AQ66" s="49">
        <f t="shared" si="83"/>
        <v>-41.681128970613472</v>
      </c>
      <c r="AR66" s="61">
        <f t="shared" si="84"/>
        <v>121.54748241850399</v>
      </c>
      <c r="AS66" s="58" t="str">
        <f t="shared" si="85"/>
        <v>37.8097829415523+28.3776946546341i</v>
      </c>
      <c r="AT66" s="64">
        <f t="shared" si="86"/>
        <v>33.492528953739154</v>
      </c>
      <c r="AU66" s="61">
        <f t="shared" si="87"/>
        <v>36.889635935798857</v>
      </c>
    </row>
    <row r="67" spans="1:47" x14ac:dyDescent="0.3">
      <c r="A67" t="s">
        <v>174</v>
      </c>
      <c r="B67" s="3">
        <f>CHF</f>
        <v>1.0000000000000001E-9</v>
      </c>
      <c r="C67" s="2" t="s">
        <v>151</v>
      </c>
      <c r="E67" s="31" t="s">
        <v>177</v>
      </c>
      <c r="N67" s="10">
        <v>49</v>
      </c>
      <c r="O67" s="50">
        <f t="shared" si="64"/>
        <v>30.902954325135919</v>
      </c>
      <c r="P67" s="48" t="str">
        <f t="shared" si="55"/>
        <v>51201.9230769231</v>
      </c>
      <c r="Q67" s="17" t="str">
        <f t="shared" si="56"/>
        <v>1+9.07366619636251i</v>
      </c>
      <c r="R67" s="17">
        <f t="shared" si="65"/>
        <v>9.1286043973332358</v>
      </c>
      <c r="S67" s="17">
        <f t="shared" si="66"/>
        <v>1.4610302683012011</v>
      </c>
      <c r="T67" s="17" t="str">
        <f t="shared" si="57"/>
        <v>1+5.82506965692409E-10i</v>
      </c>
      <c r="U67" s="17">
        <f t="shared" si="67"/>
        <v>1</v>
      </c>
      <c r="V67" s="17">
        <f t="shared" si="68"/>
        <v>5.8250696569240902E-10</v>
      </c>
      <c r="W67" s="31" t="str">
        <f t="shared" si="58"/>
        <v>1-0.0003145537614739i</v>
      </c>
      <c r="X67" s="17">
        <f t="shared" si="69"/>
        <v>1.0000000494720331</v>
      </c>
      <c r="Y67" s="17">
        <f t="shared" si="70"/>
        <v>-3.1455375109949095E-4</v>
      </c>
      <c r="Z67" s="31" t="str">
        <f t="shared" si="59"/>
        <v>0.999999618002966+0.0191952046158594i</v>
      </c>
      <c r="AA67" s="17">
        <f t="shared" si="71"/>
        <v>1.0001838290466021</v>
      </c>
      <c r="AB67" s="17">
        <f t="shared" si="72"/>
        <v>1.9192854938051698E-2</v>
      </c>
      <c r="AC67" s="66" t="str">
        <f t="shared" si="73"/>
        <v>505.47663056529-5585.0961614525i</v>
      </c>
      <c r="AD67" s="64">
        <f t="shared" si="74"/>
        <v>74.976041581083294</v>
      </c>
      <c r="AE67" s="61">
        <f t="shared" si="75"/>
        <v>-84.82856026827514</v>
      </c>
      <c r="AF67" s="31" t="str">
        <f t="shared" si="60"/>
        <v>-1.33333333333333E-06</v>
      </c>
      <c r="AG67" s="31" t="str">
        <f t="shared" si="61"/>
        <v>0.0001943631575527i</v>
      </c>
      <c r="AH67" s="31">
        <f t="shared" si="76"/>
        <v>1.9436315755269999E-4</v>
      </c>
      <c r="AI67" s="31">
        <f t="shared" si="77"/>
        <v>1.5707963267948966</v>
      </c>
      <c r="AJ67" s="31" t="str">
        <f t="shared" si="62"/>
        <v>1+0.000628479043903896i</v>
      </c>
      <c r="AK67" s="31">
        <f t="shared" si="78"/>
        <v>1.0000001974929349</v>
      </c>
      <c r="AL67" s="31">
        <f t="shared" si="79"/>
        <v>6.2847896115712689E-4</v>
      </c>
      <c r="AM67" s="31" t="str">
        <f t="shared" si="63"/>
        <v>1+0.629107522947801i</v>
      </c>
      <c r="AN67" s="31">
        <f t="shared" si="80"/>
        <v>1.1814297589909939</v>
      </c>
      <c r="AO67" s="31">
        <f t="shared" si="81"/>
        <v>0.56154758841103236</v>
      </c>
      <c r="AP67" s="58" t="str">
        <f t="shared" si="82"/>
        <v>-0.00431137123981068+0.00686272026961598i</v>
      </c>
      <c r="AQ67" s="49">
        <f t="shared" si="83"/>
        <v>-41.825347778237116</v>
      </c>
      <c r="AR67" s="61">
        <f t="shared" si="84"/>
        <v>122.13829761971454</v>
      </c>
      <c r="AS67" s="58" t="str">
        <f t="shared" si="85"/>
        <v>36.1496552275389+27.5483676804609i</v>
      </c>
      <c r="AT67" s="64">
        <f t="shared" si="86"/>
        <v>33.150693802846178</v>
      </c>
      <c r="AU67" s="61">
        <f t="shared" si="87"/>
        <v>37.309737351439367</v>
      </c>
    </row>
    <row r="68" spans="1:47" x14ac:dyDescent="0.3">
      <c r="N68" s="10">
        <v>50</v>
      </c>
      <c r="O68" s="50">
        <f t="shared" si="64"/>
        <v>31.622776601683803</v>
      </c>
      <c r="P68" s="48" t="str">
        <f t="shared" si="55"/>
        <v>51201.9230769231</v>
      </c>
      <c r="Q68" s="17" t="str">
        <f t="shared" si="56"/>
        <v>1+9.28501903303251i</v>
      </c>
      <c r="R68" s="17">
        <f t="shared" si="65"/>
        <v>9.3387139609143155</v>
      </c>
      <c r="S68" s="17">
        <f t="shared" si="66"/>
        <v>1.4635094997138571</v>
      </c>
      <c r="T68" s="17" t="str">
        <f t="shared" si="57"/>
        <v>1+5.96075295947767E-10i</v>
      </c>
      <c r="U68" s="17">
        <f t="shared" si="67"/>
        <v>1</v>
      </c>
      <c r="V68" s="17">
        <f t="shared" si="68"/>
        <v>5.9607529594776701E-10</v>
      </c>
      <c r="W68" s="31" t="str">
        <f t="shared" si="58"/>
        <v>1-0.000321880659811794i</v>
      </c>
      <c r="X68" s="17">
        <f t="shared" si="69"/>
        <v>1.0000000518035781</v>
      </c>
      <c r="Y68" s="17">
        <f t="shared" si="70"/>
        <v>-3.2188064869541442E-4</v>
      </c>
      <c r="Z68" s="31" t="str">
        <f t="shared" si="59"/>
        <v>0.9999996+0.0196423183688041i</v>
      </c>
      <c r="AA68" s="17">
        <f t="shared" si="71"/>
        <v>1.0001924918089824</v>
      </c>
      <c r="AB68" s="17">
        <f t="shared" si="72"/>
        <v>1.9639800669841216E-2</v>
      </c>
      <c r="AC68" s="66" t="str">
        <f t="shared" si="73"/>
        <v>478.082501738007-5460.81705512652i</v>
      </c>
      <c r="AD68" s="64">
        <f t="shared" si="74"/>
        <v>74.778312635848792</v>
      </c>
      <c r="AE68" s="61">
        <f t="shared" si="75"/>
        <v>-84.996637668291271</v>
      </c>
      <c r="AF68" s="31" t="str">
        <f t="shared" si="60"/>
        <v>-1.33333333333333E-06</v>
      </c>
      <c r="AG68" s="31" t="str">
        <f t="shared" si="61"/>
        <v>0.000198890457081238i</v>
      </c>
      <c r="AH68" s="31">
        <f t="shared" si="76"/>
        <v>1.98890457081238E-4</v>
      </c>
      <c r="AI68" s="31">
        <f t="shared" si="77"/>
        <v>1.5707963267948966</v>
      </c>
      <c r="AJ68" s="31" t="str">
        <f t="shared" si="62"/>
        <v>1+0.000643118201422164i</v>
      </c>
      <c r="AK68" s="31">
        <f t="shared" si="78"/>
        <v>1.0000002068004892</v>
      </c>
      <c r="AL68" s="31">
        <f t="shared" si="79"/>
        <v>6.4311811275740447E-4</v>
      </c>
      <c r="AM68" s="31" t="str">
        <f t="shared" si="63"/>
        <v>1+0.643761319623587i</v>
      </c>
      <c r="AN68" s="31">
        <f t="shared" si="80"/>
        <v>1.189297539156414</v>
      </c>
      <c r="AO68" s="31">
        <f t="shared" si="81"/>
        <v>0.57197699522878276</v>
      </c>
      <c r="AP68" s="58" t="str">
        <f t="shared" si="82"/>
        <v>-0.00431137115955404+0.00670663047744121i</v>
      </c>
      <c r="AQ68" s="49">
        <f t="shared" si="83"/>
        <v>-41.967695575615323</v>
      </c>
      <c r="AR68" s="61">
        <f t="shared" si="84"/>
        <v>122.7350198515942</v>
      </c>
      <c r="AS68" s="58" t="str">
        <f t="shared" si="85"/>
        <v>34.5624909837616+26.7499318359608i</v>
      </c>
      <c r="AT68" s="64">
        <f t="shared" si="86"/>
        <v>32.810617060233476</v>
      </c>
      <c r="AU68" s="61">
        <f t="shared" si="87"/>
        <v>37.738382183302981</v>
      </c>
    </row>
    <row r="69" spans="1:47" x14ac:dyDescent="0.3">
      <c r="A69" t="s">
        <v>218</v>
      </c>
      <c r="B69" s="1">
        <f>-(RFBB*gm_ea)/(RFBB+RFBT)</f>
        <v>-1.3333333333333334E-6</v>
      </c>
      <c r="C69" t="s">
        <v>144</v>
      </c>
      <c r="N69" s="10">
        <v>51</v>
      </c>
      <c r="O69" s="50">
        <f t="shared" si="64"/>
        <v>32.359365692962832</v>
      </c>
      <c r="P69" s="48" t="str">
        <f t="shared" si="55"/>
        <v>51201.9230769231</v>
      </c>
      <c r="Q69" s="17" t="str">
        <f t="shared" si="56"/>
        <v>1+9.50129490969559i</v>
      </c>
      <c r="R69" s="17">
        <f t="shared" si="65"/>
        <v>9.5537743829864077</v>
      </c>
      <c r="S69" s="17">
        <f t="shared" si="66"/>
        <v>1.465933576943008</v>
      </c>
      <c r="T69" s="17" t="str">
        <f t="shared" si="57"/>
        <v>1+6.09959673215026E-10i</v>
      </c>
      <c r="U69" s="17">
        <f t="shared" si="67"/>
        <v>1</v>
      </c>
      <c r="V69" s="17">
        <f t="shared" si="68"/>
        <v>6.0995967321502595E-10</v>
      </c>
      <c r="W69" s="31" t="str">
        <f t="shared" si="58"/>
        <v>1-0.000329378223536113i</v>
      </c>
      <c r="X69" s="17">
        <f t="shared" si="69"/>
        <v>1.0000000542450056</v>
      </c>
      <c r="Y69" s="17">
        <f t="shared" si="70"/>
        <v>-3.2937821162469771E-4</v>
      </c>
      <c r="Z69" s="31" t="str">
        <f t="shared" si="59"/>
        <v>0.999999581148581+0.0200998467389448i</v>
      </c>
      <c r="AA69" s="17">
        <f t="shared" si="71"/>
        <v>1.0002015627543615</v>
      </c>
      <c r="AB69" s="17">
        <f t="shared" si="72"/>
        <v>2.0097149005262806E-2</v>
      </c>
      <c r="AC69" s="66" t="str">
        <f t="shared" si="73"/>
        <v>451.893833177142-5339.17059554358i</v>
      </c>
      <c r="AD69" s="64">
        <f t="shared" si="74"/>
        <v>74.580475732111893</v>
      </c>
      <c r="AE69" s="61">
        <f t="shared" si="75"/>
        <v>-85.162160770039335</v>
      </c>
      <c r="AF69" s="31" t="str">
        <f t="shared" si="60"/>
        <v>-1.33333333333333E-06</v>
      </c>
      <c r="AG69" s="31" t="str">
        <f t="shared" si="61"/>
        <v>0.000203523210962747i</v>
      </c>
      <c r="AH69" s="31">
        <f t="shared" si="76"/>
        <v>2.03523210962747E-4</v>
      </c>
      <c r="AI69" s="31">
        <f t="shared" si="77"/>
        <v>1.5707963267948966</v>
      </c>
      <c r="AJ69" s="31" t="str">
        <f t="shared" si="62"/>
        <v>1+0.000658098348723503i</v>
      </c>
      <c r="AK69" s="31">
        <f t="shared" si="78"/>
        <v>1.0000002165466948</v>
      </c>
      <c r="AL69" s="31">
        <f t="shared" si="79"/>
        <v>6.5809825371750249E-4</v>
      </c>
      <c r="AM69" s="31" t="str">
        <f t="shared" si="63"/>
        <v>1+0.658756447072227i</v>
      </c>
      <c r="AN69" s="31">
        <f t="shared" si="80"/>
        <v>1.1974807123954956</v>
      </c>
      <c r="AO69" s="31">
        <f t="shared" si="81"/>
        <v>0.58250628647779523</v>
      </c>
      <c r="AP69" s="58" t="str">
        <f t="shared" si="82"/>
        <v>-0.00431137107551504+0.00655409662951345i</v>
      </c>
      <c r="AQ69" s="49">
        <f t="shared" si="83"/>
        <v>-42.108135524672498</v>
      </c>
      <c r="AR69" s="61">
        <f t="shared" si="84"/>
        <v>123.33744550257315</v>
      </c>
      <c r="AS69" s="58" t="str">
        <f t="shared" si="85"/>
        <v>33.0451580030859+25.9809015217912i</v>
      </c>
      <c r="AT69" s="64">
        <f t="shared" si="86"/>
        <v>32.472340207439395</v>
      </c>
      <c r="AU69" s="61">
        <f t="shared" si="87"/>
        <v>38.175284732533832</v>
      </c>
    </row>
    <row r="70" spans="1:47" x14ac:dyDescent="0.3">
      <c r="A70" t="s">
        <v>217</v>
      </c>
      <c r="B70" s="1">
        <f>1/(RCOMP*CCOMP)</f>
        <v>308.64197530864192</v>
      </c>
      <c r="E70" t="s">
        <v>230</v>
      </c>
      <c r="N70" s="10">
        <v>52</v>
      </c>
      <c r="O70" s="50">
        <f t="shared" si="64"/>
        <v>33.113112148259127</v>
      </c>
      <c r="P70" s="48" t="str">
        <f t="shared" si="55"/>
        <v>51201.9230769231</v>
      </c>
      <c r="Q70" s="17" t="str">
        <f t="shared" si="56"/>
        <v>1+9.72260849868433i</v>
      </c>
      <c r="R70" s="17">
        <f t="shared" si="65"/>
        <v>9.7738997344298948</v>
      </c>
      <c r="S70" s="17">
        <f t="shared" si="66"/>
        <v>1.4683036712504318</v>
      </c>
      <c r="T70" s="17" t="str">
        <f t="shared" si="57"/>
        <v>1+6.24167459174797E-10i</v>
      </c>
      <c r="U70" s="17">
        <f t="shared" si="67"/>
        <v>1</v>
      </c>
      <c r="V70" s="17">
        <f t="shared" si="68"/>
        <v>6.2416745917479695E-10</v>
      </c>
      <c r="W70" s="31" t="str">
        <f t="shared" si="58"/>
        <v>1-0.00033705042795439i</v>
      </c>
      <c r="X70" s="17">
        <f t="shared" si="69"/>
        <v>1.000000056801494</v>
      </c>
      <c r="Y70" s="17">
        <f t="shared" si="70"/>
        <v>-3.3705041519107865E-4</v>
      </c>
      <c r="Z70" s="31" t="str">
        <f t="shared" si="59"/>
        <v>0.999999561408722+0.0205680323138794i</v>
      </c>
      <c r="AA70" s="17">
        <f t="shared" si="71"/>
        <v>1.000211061112054</v>
      </c>
      <c r="AB70" s="17">
        <f t="shared" si="72"/>
        <v>2.0565141673102045E-2</v>
      </c>
      <c r="AC70" s="66" t="str">
        <f t="shared" si="73"/>
        <v>426.858772703294-5220.10944181087i</v>
      </c>
      <c r="AD70" s="64">
        <f t="shared" si="74"/>
        <v>74.382535299438516</v>
      </c>
      <c r="AE70" s="61">
        <f t="shared" si="75"/>
        <v>-85.325210759682832</v>
      </c>
      <c r="AF70" s="31" t="str">
        <f t="shared" si="60"/>
        <v>-1.33333333333333E-06</v>
      </c>
      <c r="AG70" s="31" t="str">
        <f t="shared" si="61"/>
        <v>0.000208263875544657i</v>
      </c>
      <c r="AH70" s="31">
        <f t="shared" si="76"/>
        <v>2.0826387554465699E-4</v>
      </c>
      <c r="AI70" s="31">
        <f t="shared" si="77"/>
        <v>1.5707963267948966</v>
      </c>
      <c r="AJ70" s="31" t="str">
        <f t="shared" si="62"/>
        <v>1+0.000673427428480299i</v>
      </c>
      <c r="AK70" s="31">
        <f t="shared" si="78"/>
        <v>1.000000226752225</v>
      </c>
      <c r="AL70" s="31">
        <f t="shared" si="79"/>
        <v>6.734273266795366E-4</v>
      </c>
      <c r="AM70" s="31" t="str">
        <f t="shared" si="63"/>
        <v>1+0.67410085590878i</v>
      </c>
      <c r="AN70" s="31">
        <f t="shared" si="80"/>
        <v>1.2059900347585588</v>
      </c>
      <c r="AO70" s="31">
        <f t="shared" si="81"/>
        <v>0.59313170601975085</v>
      </c>
      <c r="AP70" s="58" t="str">
        <f t="shared" si="82"/>
        <v>-0.00431137098751542+0.00640503785036714i</v>
      </c>
      <c r="AQ70" s="49">
        <f t="shared" si="83"/>
        <v>-42.246631770304177</v>
      </c>
      <c r="AR70" s="61">
        <f t="shared" si="84"/>
        <v>123.94535890669857</v>
      </c>
      <c r="AS70" s="58" t="str">
        <f t="shared" si="85"/>
        <v>31.5946520294581+25.2398749950046i</v>
      </c>
      <c r="AT70" s="64">
        <f t="shared" si="86"/>
        <v>32.135903529134346</v>
      </c>
      <c r="AU70" s="61">
        <f t="shared" si="87"/>
        <v>38.620148147015769</v>
      </c>
    </row>
    <row r="71" spans="1:47" x14ac:dyDescent="0.3">
      <c r="A71" t="s">
        <v>222</v>
      </c>
      <c r="B71" s="1">
        <f>(CCOMP+CHF)</f>
        <v>1.0010000000000002E-6</v>
      </c>
      <c r="E71" t="s">
        <v>231</v>
      </c>
      <c r="N71" s="10">
        <v>53</v>
      </c>
      <c r="O71" s="50">
        <f t="shared" si="64"/>
        <v>33.884415613920268</v>
      </c>
      <c r="P71" s="48" t="str">
        <f t="shared" si="55"/>
        <v>51201.9230769231</v>
      </c>
      <c r="Q71" s="17" t="str">
        <f t="shared" si="56"/>
        <v>1+9.94907714339294i</v>
      </c>
      <c r="R71" s="17">
        <f t="shared" si="65"/>
        <v>9.9992067687984036</v>
      </c>
      <c r="S71" s="17">
        <f t="shared" si="66"/>
        <v>1.4706209327241682</v>
      </c>
      <c r="T71" s="17" t="str">
        <f t="shared" si="57"/>
        <v>1+6.38706186983251E-10i</v>
      </c>
      <c r="U71" s="17">
        <f t="shared" si="67"/>
        <v>1</v>
      </c>
      <c r="V71" s="17">
        <f t="shared" si="68"/>
        <v>6.3870618698325095E-10</v>
      </c>
      <c r="W71" s="31" t="str">
        <f t="shared" si="58"/>
        <v>1-0.000344901340970955i</v>
      </c>
      <c r="X71" s="17">
        <f t="shared" si="69"/>
        <v>1.0000000594784657</v>
      </c>
      <c r="Y71" s="17">
        <f t="shared" si="70"/>
        <v>-3.4490132729482053E-4</v>
      </c>
      <c r="Z71" s="31" t="str">
        <f t="shared" si="59"/>
        <v>0.999999540738551+0.0210471233317968i</v>
      </c>
      <c r="AA71" s="17">
        <f t="shared" si="71"/>
        <v>1.0002210070168778</v>
      </c>
      <c r="AB71" s="17">
        <f t="shared" si="72"/>
        <v>2.1044025991361331E-2</v>
      </c>
      <c r="AC71" s="66" t="str">
        <f t="shared" si="73"/>
        <v>402.927596574691-5103.58651930483i</v>
      </c>
      <c r="AD71" s="64">
        <f t="shared" si="74"/>
        <v>74.184495561596833</v>
      </c>
      <c r="AE71" s="61">
        <f t="shared" si="75"/>
        <v>-85.485867935763295</v>
      </c>
      <c r="AF71" s="31" t="str">
        <f t="shared" si="60"/>
        <v>-1.33333333333333E-06</v>
      </c>
      <c r="AG71" s="31" t="str">
        <f t="shared" si="61"/>
        <v>0.000213114964390078i</v>
      </c>
      <c r="AH71" s="31">
        <f t="shared" si="76"/>
        <v>2.13114964390078E-4</v>
      </c>
      <c r="AI71" s="31">
        <f t="shared" si="77"/>
        <v>1.5707963267948966</v>
      </c>
      <c r="AJ71" s="31" t="str">
        <f t="shared" si="62"/>
        <v>1+0.000689113568373536i</v>
      </c>
      <c r="AK71" s="31">
        <f t="shared" si="78"/>
        <v>1.0000002374387269</v>
      </c>
      <c r="AL71" s="31">
        <f t="shared" si="79"/>
        <v>6.8911345929205533E-4</v>
      </c>
      <c r="AM71" s="31" t="str">
        <f t="shared" si="63"/>
        <v>1+0.68980268194191i</v>
      </c>
      <c r="AN71" s="31">
        <f t="shared" si="80"/>
        <v>1.21483650752447</v>
      </c>
      <c r="AO71" s="31">
        <f t="shared" si="81"/>
        <v>0.60384929065838489</v>
      </c>
      <c r="AP71" s="58" t="str">
        <f t="shared" si="82"/>
        <v>-0.00431137089536848+0.00625937510706426i</v>
      </c>
      <c r="AQ71" s="49">
        <f t="shared" si="83"/>
        <v>-42.38314955505394</v>
      </c>
      <c r="AR71" s="61">
        <f t="shared" si="84"/>
        <v>124.55853252387088</v>
      </c>
      <c r="AS71" s="58" t="str">
        <f t="shared" si="85"/>
        <v>30.2080921028725+24.5255293492746i</v>
      </c>
      <c r="AT71" s="64">
        <f t="shared" si="86"/>
        <v>31.801346006542886</v>
      </c>
      <c r="AU71" s="61">
        <f t="shared" si="87"/>
        <v>39.072664588107543</v>
      </c>
    </row>
    <row r="72" spans="1:47" x14ac:dyDescent="0.3">
      <c r="A72" s="31" t="s">
        <v>223</v>
      </c>
      <c r="B72" s="1">
        <f>(CCOMP+CHF)/(RCOMP*CHF*CCOMP)</f>
        <v>308950.61728395062</v>
      </c>
      <c r="E72" s="31" t="s">
        <v>232</v>
      </c>
      <c r="N72" s="10">
        <v>54</v>
      </c>
      <c r="O72" s="50">
        <f t="shared" si="64"/>
        <v>34.67368504525318</v>
      </c>
      <c r="P72" s="48" t="str">
        <f t="shared" si="55"/>
        <v>51201.9230769231</v>
      </c>
      <c r="Q72" s="17" t="str">
        <f t="shared" si="56"/>
        <v>1+10.1808209204946i</v>
      </c>
      <c r="R72" s="17">
        <f t="shared" si="65"/>
        <v>10.229814984406145</v>
      </c>
      <c r="S72" s="17">
        <f t="shared" si="66"/>
        <v>1.4728864904084054</v>
      </c>
      <c r="T72" s="17" t="str">
        <f t="shared" si="57"/>
        <v>1+6.53583565266322E-10i</v>
      </c>
      <c r="U72" s="17">
        <f t="shared" si="67"/>
        <v>1</v>
      </c>
      <c r="V72" s="17">
        <f t="shared" si="68"/>
        <v>6.5358356526632196E-10</v>
      </c>
      <c r="W72" s="31" t="str">
        <f t="shared" si="58"/>
        <v>1-0.000352935125243813i</v>
      </c>
      <c r="X72" s="17">
        <f t="shared" si="69"/>
        <v>1.0000000622815994</v>
      </c>
      <c r="Y72" s="17">
        <f t="shared" si="70"/>
        <v>-3.5293511058957094E-4</v>
      </c>
      <c r="Z72" s="31" t="str">
        <f t="shared" si="59"/>
        <v>0.999999519094226+0.0215373738130964i</v>
      </c>
      <c r="AA72" s="17">
        <f t="shared" si="71"/>
        <v>1.0002314215517567</v>
      </c>
      <c r="AB72" s="17">
        <f t="shared" si="72"/>
        <v>2.1534054994495688E-2</v>
      </c>
      <c r="AC72" s="66" t="str">
        <f t="shared" si="73"/>
        <v>380.052631176995-4989.55506411172i</v>
      </c>
      <c r="AD72" s="64">
        <f t="shared" si="74"/>
        <v>73.986360544330211</v>
      </c>
      <c r="AE72" s="61">
        <f t="shared" si="75"/>
        <v>-85.644211724056021</v>
      </c>
      <c r="AF72" s="31" t="str">
        <f t="shared" si="60"/>
        <v>-1.33333333333333E-06</v>
      </c>
      <c r="AG72" s="31" t="str">
        <f t="shared" si="61"/>
        <v>0.000218079049610529i</v>
      </c>
      <c r="AH72" s="31">
        <f t="shared" si="76"/>
        <v>2.1807904961052899E-4</v>
      </c>
      <c r="AI72" s="31">
        <f t="shared" si="77"/>
        <v>1.5707963267948966</v>
      </c>
      <c r="AJ72" s="31" t="str">
        <f t="shared" si="62"/>
        <v>1+0.000705165085402223i</v>
      </c>
      <c r="AK72" s="31">
        <f t="shared" si="78"/>
        <v>1.0000002486288679</v>
      </c>
      <c r="AL72" s="31">
        <f t="shared" si="79"/>
        <v>7.0516496851931205E-4</v>
      </c>
      <c r="AM72" s="31" t="str">
        <f t="shared" si="63"/>
        <v>1+0.705870250487627i</v>
      </c>
      <c r="AN72" s="31">
        <f t="shared" si="80"/>
        <v>1.2240313764456634</v>
      </c>
      <c r="AO72" s="31">
        <f t="shared" si="81"/>
        <v>0.61465487425699539</v>
      </c>
      <c r="AP72" s="58" t="str">
        <f t="shared" si="82"/>
        <v>-0.00431137079887882+0.00611703116728977i</v>
      </c>
      <c r="AQ72" s="49">
        <f t="shared" si="83"/>
        <v>-42.517655333664244</v>
      </c>
      <c r="AR72" s="61">
        <f t="shared" si="84"/>
        <v>125.17672717551351</v>
      </c>
      <c r="AS72" s="58" t="str">
        <f t="shared" si="85"/>
        <v>28.8827160219863+23.8366157929294i</v>
      </c>
      <c r="AT72" s="64">
        <f t="shared" si="86"/>
        <v>31.468705210665963</v>
      </c>
      <c r="AU72" s="61">
        <f t="shared" si="87"/>
        <v>39.532515451457556</v>
      </c>
    </row>
    <row r="73" spans="1:47" x14ac:dyDescent="0.3">
      <c r="N73" s="10">
        <v>55</v>
      </c>
      <c r="O73" s="50">
        <f t="shared" si="64"/>
        <v>35.481338923357555</v>
      </c>
      <c r="P73" s="48" t="str">
        <f t="shared" si="55"/>
        <v>51201.9230769231</v>
      </c>
      <c r="Q73" s="17" t="str">
        <f t="shared" si="56"/>
        <v>1+10.4179627036074i</v>
      </c>
      <c r="R73" s="17">
        <f t="shared" si="65"/>
        <v>10.465846687858312</v>
      </c>
      <c r="S73" s="17">
        <f t="shared" si="66"/>
        <v>1.4751014524524015</v>
      </c>
      <c r="T73" s="17" t="str">
        <f t="shared" si="57"/>
        <v>1+6.68807482206898E-10i</v>
      </c>
      <c r="U73" s="17">
        <f t="shared" si="67"/>
        <v>1</v>
      </c>
      <c r="V73" s="17">
        <f t="shared" si="68"/>
        <v>6.6880748220689795E-10</v>
      </c>
      <c r="W73" s="31" t="str">
        <f t="shared" si="58"/>
        <v>1-0.000361156040391724i</v>
      </c>
      <c r="X73" s="17">
        <f t="shared" si="69"/>
        <v>1.0000000652168406</v>
      </c>
      <c r="Y73" s="17">
        <f t="shared" si="70"/>
        <v>-3.6115602468942076E-4</v>
      </c>
      <c r="Z73" s="31" t="str">
        <f t="shared" si="59"/>
        <v>0.999999496429835+0.0220390436950726i</v>
      </c>
      <c r="AA73" s="17">
        <f t="shared" si="71"/>
        <v>1.0002423267923213</v>
      </c>
      <c r="AB73" s="17">
        <f t="shared" si="72"/>
        <v>2.2035487563400936E-2</v>
      </c>
      <c r="AC73" s="66" t="str">
        <f t="shared" si="73"/>
        <v>358.188176781148-4877.96866345662i</v>
      </c>
      <c r="AD73" s="64">
        <f t="shared" si="74"/>
        <v>73.788134082812149</v>
      </c>
      <c r="AE73" s="61">
        <f t="shared" si="75"/>
        <v>-85.800320693676767</v>
      </c>
      <c r="AF73" s="31" t="str">
        <f t="shared" si="60"/>
        <v>-1.33333333333333E-06</v>
      </c>
      <c r="AG73" s="31" t="str">
        <f t="shared" si="61"/>
        <v>0.000223158763229702i</v>
      </c>
      <c r="AH73" s="31">
        <f t="shared" si="76"/>
        <v>2.2315876322970201E-4</v>
      </c>
      <c r="AI73" s="31">
        <f t="shared" si="77"/>
        <v>1.5707963267948966</v>
      </c>
      <c r="AJ73" s="31" t="str">
        <f t="shared" si="62"/>
        <v>1+0.000721590490293155i</v>
      </c>
      <c r="AK73" s="31">
        <f t="shared" si="78"/>
        <v>1.000000260346384</v>
      </c>
      <c r="AL73" s="31">
        <f t="shared" si="79"/>
        <v>7.2159036505086121E-4</v>
      </c>
      <c r="AM73" s="31" t="str">
        <f t="shared" si="63"/>
        <v>1+0.722312080783449i</v>
      </c>
      <c r="AN73" s="31">
        <f t="shared" si="80"/>
        <v>1.2335861307771403</v>
      </c>
      <c r="AO73" s="31">
        <f t="shared" si="81"/>
        <v>0.62554409283985846</v>
      </c>
      <c r="AP73" s="58" t="str">
        <f t="shared" si="82"/>
        <v>-0.00431137069784172+0.0059779305584022i</v>
      </c>
      <c r="AQ73" s="49">
        <f t="shared" si="83"/>
        <v>-42.650116886791494</v>
      </c>
      <c r="AR73" s="61">
        <f t="shared" si="84"/>
        <v>125.79969233660896</v>
      </c>
      <c r="AS73" s="58" t="str">
        <f t="shared" si="85"/>
        <v>27.6158759265181+23.1719552082554i</v>
      </c>
      <c r="AT73" s="64">
        <f t="shared" si="86"/>
        <v>31.13801719602067</v>
      </c>
      <c r="AU73" s="61">
        <f t="shared" si="87"/>
        <v>39.999371642932154</v>
      </c>
    </row>
    <row r="74" spans="1:47" x14ac:dyDescent="0.3">
      <c r="N74" s="10">
        <v>56</v>
      </c>
      <c r="O74" s="50">
        <f t="shared" si="64"/>
        <v>36.307805477010156</v>
      </c>
      <c r="P74" s="48" t="str">
        <f t="shared" si="55"/>
        <v>51201.9230769231</v>
      </c>
      <c r="Q74" s="17" t="str">
        <f t="shared" si="56"/>
        <v>1+10.6606282284438i</v>
      </c>
      <c r="R74" s="17">
        <f t="shared" si="65"/>
        <v>10.707427059060116</v>
      </c>
      <c r="S74" s="17">
        <f t="shared" si="66"/>
        <v>1.4772669062767043</v>
      </c>
      <c r="T74" s="17" t="str">
        <f t="shared" si="57"/>
        <v>1+6.84386009727256E-10i</v>
      </c>
      <c r="U74" s="17">
        <f t="shared" si="67"/>
        <v>1</v>
      </c>
      <c r="V74" s="17">
        <f t="shared" si="68"/>
        <v>6.8438600972725597E-10</v>
      </c>
      <c r="W74" s="31" t="str">
        <f t="shared" si="58"/>
        <v>1-0.000369568445252718i</v>
      </c>
      <c r="X74" s="17">
        <f t="shared" si="69"/>
        <v>1.0000000682904155</v>
      </c>
      <c r="Y74" s="17">
        <f t="shared" si="70"/>
        <v>-3.6956842842739704E-4</v>
      </c>
      <c r="Z74" s="31" t="str">
        <f t="shared" si="59"/>
        <v>0.999999472697305+0.0225523989697372i</v>
      </c>
      <c r="AA74" s="17">
        <f t="shared" si="71"/>
        <v>1.00025374585361</v>
      </c>
      <c r="AB74" s="17">
        <f t="shared" si="72"/>
        <v>2.2548588558204408E-2</v>
      </c>
      <c r="AC74" s="66" t="str">
        <f t="shared" si="73"/>
        <v>337.290433394453-4768.78129237321i</v>
      </c>
      <c r="AD74" s="64">
        <f t="shared" si="74"/>
        <v>73.589819828789828</v>
      </c>
      <c r="AE74" s="61">
        <f t="shared" si="75"/>
        <v>-85.954272574343122</v>
      </c>
      <c r="AF74" s="31" t="str">
        <f t="shared" si="60"/>
        <v>-1.33333333333333E-06</v>
      </c>
      <c r="AG74" s="31" t="str">
        <f t="shared" si="61"/>
        <v>0.000228356798578994i</v>
      </c>
      <c r="AH74" s="31">
        <f t="shared" si="76"/>
        <v>2.2835679857899401E-4</v>
      </c>
      <c r="AI74" s="31">
        <f t="shared" si="77"/>
        <v>1.5707963267948966</v>
      </c>
      <c r="AJ74" s="31" t="str">
        <f t="shared" si="62"/>
        <v>1+0.000738398492013421i</v>
      </c>
      <c r="AK74" s="31">
        <f t="shared" si="78"/>
        <v>1.0000002726161294</v>
      </c>
      <c r="AL74" s="31">
        <f t="shared" si="79"/>
        <v>7.3839835781388738E-4</v>
      </c>
      <c r="AM74" s="31" t="str">
        <f t="shared" si="63"/>
        <v>1+0.739136890505435i</v>
      </c>
      <c r="AN74" s="31">
        <f t="shared" si="80"/>
        <v>1.2435125021108728</v>
      </c>
      <c r="AO74" s="31">
        <f t="shared" si="81"/>
        <v>0.63651239068628462</v>
      </c>
      <c r="AP74" s="58" t="str">
        <f t="shared" si="82"/>
        <v>-0.00431137059204292+0.00584199952741712i</v>
      </c>
      <c r="AQ74" s="49">
        <f t="shared" si="83"/>
        <v>-42.780503433147786</v>
      </c>
      <c r="AR74" s="61">
        <f t="shared" si="84"/>
        <v>126.42716648460419</v>
      </c>
      <c r="AS74" s="58" t="str">
        <f t="shared" si="85"/>
        <v>26.4050340008856+22.530433976315i</v>
      </c>
      <c r="AT74" s="64">
        <f t="shared" si="86"/>
        <v>30.809316395642025</v>
      </c>
      <c r="AU74" s="61">
        <f t="shared" si="87"/>
        <v>40.472893910261099</v>
      </c>
    </row>
    <row r="75" spans="1:47" x14ac:dyDescent="0.3">
      <c r="N75" s="10">
        <v>57</v>
      </c>
      <c r="O75" s="50">
        <f t="shared" si="64"/>
        <v>37.15352290971726</v>
      </c>
      <c r="P75" s="48" t="str">
        <f t="shared" si="55"/>
        <v>51201.9230769231</v>
      </c>
      <c r="Q75" s="17" t="str">
        <f t="shared" si="56"/>
        <v>1+10.9089461594769i</v>
      </c>
      <c r="R75" s="17">
        <f t="shared" si="65"/>
        <v>10.954684217738356</v>
      </c>
      <c r="S75" s="17">
        <f t="shared" si="66"/>
        <v>1.4793839187550304</v>
      </c>
      <c r="T75" s="17" t="str">
        <f t="shared" si="57"/>
        <v>1+7.00327407768889E-10i</v>
      </c>
      <c r="U75" s="17">
        <f t="shared" si="67"/>
        <v>1</v>
      </c>
      <c r="V75" s="17">
        <f t="shared" si="68"/>
        <v>7.00327407768889E-10</v>
      </c>
      <c r="W75" s="31" t="str">
        <f t="shared" si="58"/>
        <v>1-0.000378176800195199i</v>
      </c>
      <c r="X75" s="17">
        <f t="shared" si="69"/>
        <v>1.0000000715088435</v>
      </c>
      <c r="Y75" s="17">
        <f t="shared" si="70"/>
        <v>-3.7817678216654278E-4</v>
      </c>
      <c r="Z75" s="31" t="str">
        <f t="shared" si="59"/>
        <v>0.999999447846294+0.0230777118248518i</v>
      </c>
      <c r="AA75" s="17">
        <f t="shared" si="71"/>
        <v>1.0002657029389559</v>
      </c>
      <c r="AB75" s="17">
        <f t="shared" si="72"/>
        <v>2.307362895390697E-2</v>
      </c>
      <c r="AC75" s="66" t="str">
        <f t="shared" si="73"/>
        <v>317.31742871982-4661.94734685471i</v>
      </c>
      <c r="AD75" s="64">
        <f t="shared" si="74"/>
        <v>73.391421257423687</v>
      </c>
      <c r="AE75" s="61">
        <f t="shared" si="75"/>
        <v>-86.106144274699801</v>
      </c>
      <c r="AF75" s="31" t="str">
        <f t="shared" si="60"/>
        <v>-1.33333333333333E-06</v>
      </c>
      <c r="AG75" s="31" t="str">
        <f t="shared" si="61"/>
        <v>0.000233675911725552i</v>
      </c>
      <c r="AH75" s="31">
        <f t="shared" si="76"/>
        <v>2.3367591172555199E-4</v>
      </c>
      <c r="AI75" s="31">
        <f t="shared" si="77"/>
        <v>1.5707963267948966</v>
      </c>
      <c r="AJ75" s="31" t="str">
        <f t="shared" si="62"/>
        <v>1+0.00075559800238801i</v>
      </c>
      <c r="AK75" s="31">
        <f t="shared" si="78"/>
        <v>1.0000002854641299</v>
      </c>
      <c r="AL75" s="31">
        <f t="shared" si="79"/>
        <v>7.5559785859062123E-4</v>
      </c>
      <c r="AM75" s="31" t="str">
        <f t="shared" si="63"/>
        <v>1+0.756353600390399i</v>
      </c>
      <c r="AN75" s="31">
        <f t="shared" si="80"/>
        <v>1.2538224630399311</v>
      </c>
      <c r="AO75" s="31">
        <f t="shared" si="81"/>
        <v>0.64755502741765525</v>
      </c>
      <c r="AP75" s="58" t="str">
        <f t="shared" si="82"/>
        <v>-0.00431137048125798+0.00570916600190212i</v>
      </c>
      <c r="AQ75" s="49">
        <f t="shared" si="83"/>
        <v>-42.908785739311824</v>
      </c>
      <c r="AR75" s="61">
        <f t="shared" si="84"/>
        <v>127.05887750520363</v>
      </c>
      <c r="AS75" s="58" t="str">
        <f t="shared" si="85"/>
        <v>25.2477582999494+21.9110000522666i</v>
      </c>
      <c r="AT75" s="64">
        <f t="shared" si="86"/>
        <v>30.482635518111874</v>
      </c>
      <c r="AU75" s="61">
        <f t="shared" si="87"/>
        <v>40.952733230503874</v>
      </c>
    </row>
    <row r="76" spans="1:47" x14ac:dyDescent="0.3">
      <c r="N76" s="10">
        <v>58</v>
      </c>
      <c r="O76" s="50">
        <f t="shared" si="64"/>
        <v>38.018939632056139</v>
      </c>
      <c r="P76" s="48" t="str">
        <f t="shared" si="55"/>
        <v>51201.9230769231</v>
      </c>
      <c r="Q76" s="17" t="str">
        <f t="shared" si="56"/>
        <v>1+11.1630481581608i</v>
      </c>
      <c r="R76" s="17">
        <f t="shared" si="65"/>
        <v>11.207749291513315</v>
      </c>
      <c r="S76" s="17">
        <f t="shared" si="66"/>
        <v>1.4814535364102877</v>
      </c>
      <c r="T76" s="17" t="str">
        <f t="shared" si="57"/>
        <v>1+7.1664012867205E-10i</v>
      </c>
      <c r="U76" s="17">
        <f t="shared" si="67"/>
        <v>1</v>
      </c>
      <c r="V76" s="17">
        <f t="shared" si="68"/>
        <v>7.1664012867205001E-10</v>
      </c>
      <c r="W76" s="31" t="str">
        <f t="shared" si="58"/>
        <v>1-0.000386985669482906i</v>
      </c>
      <c r="X76" s="17">
        <f t="shared" si="69"/>
        <v>1.0000000748789513</v>
      </c>
      <c r="Y76" s="17">
        <f t="shared" si="70"/>
        <v>-3.8698565016485295E-4</v>
      </c>
      <c r="Z76" s="31" t="str">
        <f t="shared" si="59"/>
        <v>0.999999421824092+0.0236152607882455i</v>
      </c>
      <c r="AA76" s="17">
        <f t="shared" si="71"/>
        <v>1.0002782233911798</v>
      </c>
      <c r="AB76" s="17">
        <f t="shared" si="72"/>
        <v>2.3610885978925498E-2</v>
      </c>
      <c r="AC76" s="66" t="str">
        <f t="shared" si="73"/>
        <v>298.228948228963-4557.421673714i</v>
      </c>
      <c r="AD76" s="64">
        <f t="shared" si="74"/>
        <v>73.192941673830632</v>
      </c>
      <c r="AE76" s="61">
        <f t="shared" si="75"/>
        <v>-86.256011901623069</v>
      </c>
      <c r="AF76" s="31" t="str">
        <f t="shared" si="60"/>
        <v>-1.33333333333333E-06</v>
      </c>
      <c r="AG76" s="31" t="str">
        <f t="shared" si="61"/>
        <v>0.000239118922933574i</v>
      </c>
      <c r="AH76" s="31">
        <f t="shared" si="76"/>
        <v>2.3911892293357399E-4</v>
      </c>
      <c r="AI76" s="31">
        <f t="shared" si="77"/>
        <v>1.5707963267948966</v>
      </c>
      <c r="AJ76" s="31" t="str">
        <f t="shared" si="62"/>
        <v>1+0.000773198140824987i</v>
      </c>
      <c r="AK76" s="31">
        <f t="shared" si="78"/>
        <v>1.0000002989176378</v>
      </c>
      <c r="AL76" s="31">
        <f t="shared" si="79"/>
        <v>7.731979867433114E-4</v>
      </c>
      <c r="AM76" s="31" t="str">
        <f t="shared" si="63"/>
        <v>1+0.773971338965813i</v>
      </c>
      <c r="AN76" s="31">
        <f t="shared" si="80"/>
        <v>1.2645282256796537</v>
      </c>
      <c r="AO76" s="31">
        <f t="shared" si="81"/>
        <v>0.65866708606918045</v>
      </c>
      <c r="AP76" s="58" t="str">
        <f t="shared" si="82"/>
        <v>-0.00431137036525188+0.00557935955176316i</v>
      </c>
      <c r="AQ76" s="49">
        <f t="shared" si="83"/>
        <v>-43.034936226436159</v>
      </c>
      <c r="AR76" s="61">
        <f t="shared" si="84"/>
        <v>127.69454315457574</v>
      </c>
      <c r="AS76" s="58" t="str">
        <f t="shared" si="85"/>
        <v>24.1417186971941+21.3126592769207i</v>
      </c>
      <c r="AT76" s="64">
        <f t="shared" si="86"/>
        <v>30.158005447394473</v>
      </c>
      <c r="AU76" s="61">
        <f t="shared" si="87"/>
        <v>41.438531252952622</v>
      </c>
    </row>
    <row r="77" spans="1:47" x14ac:dyDescent="0.3">
      <c r="N77" s="10">
        <v>59</v>
      </c>
      <c r="O77" s="50">
        <f t="shared" si="64"/>
        <v>38.904514499428053</v>
      </c>
      <c r="P77" s="48" t="str">
        <f t="shared" si="55"/>
        <v>51201.9230769231</v>
      </c>
      <c r="Q77" s="17" t="str">
        <f t="shared" si="56"/>
        <v>1+11.4230689527385i</v>
      </c>
      <c r="R77" s="17">
        <f t="shared" si="65"/>
        <v>11.466756485555026</v>
      </c>
      <c r="S77" s="17">
        <f t="shared" si="66"/>
        <v>1.4834767856232962</v>
      </c>
      <c r="T77" s="17" t="str">
        <f t="shared" si="57"/>
        <v>1+7.33332821657287E-10i</v>
      </c>
      <c r="U77" s="17">
        <f t="shared" si="67"/>
        <v>1</v>
      </c>
      <c r="V77" s="17">
        <f t="shared" si="68"/>
        <v>7.33332821657287E-10</v>
      </c>
      <c r="W77" s="31" t="str">
        <f t="shared" si="58"/>
        <v>1-0.000395999723694934i</v>
      </c>
      <c r="X77" s="17">
        <f t="shared" si="69"/>
        <v>1.0000000784078875</v>
      </c>
      <c r="Y77" s="17">
        <f t="shared" si="70"/>
        <v>-3.9599970299526732E-4</v>
      </c>
      <c r="Z77" s="31" t="str">
        <f t="shared" si="59"/>
        <v>0.999999394575501+0.0241653308754941i</v>
      </c>
      <c r="AA77" s="17">
        <f t="shared" si="71"/>
        <v>1.0002913337461694</v>
      </c>
      <c r="AB77" s="17">
        <f t="shared" si="72"/>
        <v>2.4160643256585304E-2</v>
      </c>
      <c r="AC77" s="66" t="str">
        <f t="shared" si="73"/>
        <v>279.986467347143-4455.15959736915i</v>
      </c>
      <c r="AD77" s="64">
        <f t="shared" si="74"/>
        <v>72.994384219338102</v>
      </c>
      <c r="AE77" s="61">
        <f t="shared" si="75"/>
        <v>-86.40395078042522</v>
      </c>
      <c r="AF77" s="31" t="str">
        <f t="shared" si="60"/>
        <v>-1.33333333333333E-06</v>
      </c>
      <c r="AG77" s="31" t="str">
        <f t="shared" si="61"/>
        <v>0.000244688718159647i</v>
      </c>
      <c r="AH77" s="31">
        <f t="shared" si="76"/>
        <v>2.44688718159647E-4</v>
      </c>
      <c r="AI77" s="31">
        <f t="shared" si="77"/>
        <v>1.5707963267948966</v>
      </c>
      <c r="AJ77" s="31" t="str">
        <f t="shared" si="62"/>
        <v>1+0.000791208239150717i</v>
      </c>
      <c r="AK77" s="31">
        <f t="shared" si="78"/>
        <v>1.0000003130051898</v>
      </c>
      <c r="AL77" s="31">
        <f t="shared" si="79"/>
        <v>7.912080740492297E-4</v>
      </c>
      <c r="AM77" s="31" t="str">
        <f t="shared" si="63"/>
        <v>1+0.791999447389869i</v>
      </c>
      <c r="AN77" s="31">
        <f t="shared" si="80"/>
        <v>1.2756422400758991</v>
      </c>
      <c r="AO77" s="31">
        <f t="shared" si="81"/>
        <v>0.66984348212903033</v>
      </c>
      <c r="AP77" s="58" t="str">
        <f t="shared" si="82"/>
        <v>-0.00431137024377863+0.00545251135190168i</v>
      </c>
      <c r="AQ77" s="49">
        <f t="shared" si="83"/>
        <v>-43.158929073075278</v>
      </c>
      <c r="AR77" s="61">
        <f t="shared" si="84"/>
        <v>128.33387157698047</v>
      </c>
      <c r="AS77" s="58" t="str">
        <f t="shared" si="85"/>
        <v>23.0846829552078+20.7344719109713i</v>
      </c>
      <c r="AT77" s="64">
        <f t="shared" si="86"/>
        <v>29.835455146262827</v>
      </c>
      <c r="AU77" s="61">
        <f t="shared" si="87"/>
        <v>41.929920796555351</v>
      </c>
    </row>
    <row r="78" spans="1:47" x14ac:dyDescent="0.3">
      <c r="N78" s="10">
        <v>60</v>
      </c>
      <c r="O78" s="50">
        <f t="shared" si="64"/>
        <v>39.810717055349755</v>
      </c>
      <c r="P78" s="48" t="str">
        <f t="shared" si="55"/>
        <v>51201.9230769231</v>
      </c>
      <c r="Q78" s="17" t="str">
        <f t="shared" si="56"/>
        <v>1+11.6891464096771i</v>
      </c>
      <c r="R78" s="17">
        <f t="shared" si="65"/>
        <v>11.731843153864062</v>
      </c>
      <c r="S78" s="17">
        <f t="shared" si="66"/>
        <v>1.4854546728528917</v>
      </c>
      <c r="T78" s="17" t="str">
        <f t="shared" si="57"/>
        <v>1+7.50414337411372E-10i</v>
      </c>
      <c r="U78" s="17">
        <f t="shared" si="67"/>
        <v>1</v>
      </c>
      <c r="V78" s="17">
        <f t="shared" si="68"/>
        <v>7.5041433741137198E-10</v>
      </c>
      <c r="W78" s="31" t="str">
        <f t="shared" si="58"/>
        <v>1-0.00040522374220214i</v>
      </c>
      <c r="X78" s="17">
        <f t="shared" si="69"/>
        <v>1.0000000821031372</v>
      </c>
      <c r="Y78" s="17">
        <f t="shared" si="70"/>
        <v>-4.0522372002204759E-4</v>
      </c>
      <c r="Z78" s="31" t="str">
        <f t="shared" si="59"/>
        <v>0.999999366042723+0.0247282137410388i</v>
      </c>
      <c r="AA78" s="17">
        <f t="shared" si="71"/>
        <v>1.0003050617889875</v>
      </c>
      <c r="AB78" s="17">
        <f t="shared" si="72"/>
        <v>2.4723190949610532E-2</v>
      </c>
      <c r="AC78" s="66" t="str">
        <f t="shared" si="73"/>
        <v>262.553085739808-4355.11694375897i</v>
      </c>
      <c r="AD78" s="64">
        <f t="shared" si="74"/>
        <v>72.795751877456269</v>
      </c>
      <c r="AE78" s="61">
        <f t="shared" si="75"/>
        <v>-86.550035475886119</v>
      </c>
      <c r="AF78" s="31" t="str">
        <f t="shared" si="60"/>
        <v>-1.33333333333333E-06</v>
      </c>
      <c r="AG78" s="31" t="str">
        <f t="shared" si="61"/>
        <v>0.000250388250582928i</v>
      </c>
      <c r="AH78" s="31">
        <f t="shared" si="76"/>
        <v>2.5038825058292799E-4</v>
      </c>
      <c r="AI78" s="31">
        <f t="shared" si="77"/>
        <v>1.5707963267948966</v>
      </c>
      <c r="AJ78" s="31" t="str">
        <f t="shared" si="62"/>
        <v>1+0.000809637846557722i</v>
      </c>
      <c r="AK78" s="31">
        <f t="shared" si="78"/>
        <v>1.0000003277566676</v>
      </c>
      <c r="AL78" s="31">
        <f t="shared" si="79"/>
        <v>8.0963766964829427E-4</v>
      </c>
      <c r="AM78" s="31" t="str">
        <f t="shared" si="63"/>
        <v>1+0.810447484404281i</v>
      </c>
      <c r="AN78" s="31">
        <f t="shared" si="80"/>
        <v>1.2871771925330355</v>
      </c>
      <c r="AO78" s="31">
        <f t="shared" si="81"/>
        <v>0.68107897351829316</v>
      </c>
      <c r="AP78" s="58" t="str">
        <f t="shared" si="82"/>
        <v>-0.00431137011658048+0.00532855414572239i</v>
      </c>
      <c r="AQ78" s="49">
        <f t="shared" si="83"/>
        <v>-43.280740313362536</v>
      </c>
      <c r="AR78" s="61">
        <f t="shared" si="84"/>
        <v>128.97656187629485</v>
      </c>
      <c r="AS78" s="58" t="str">
        <f t="shared" si="85"/>
        <v>22.0745129178981+20.1755493790268i</v>
      </c>
      <c r="AT78" s="64">
        <f t="shared" si="86"/>
        <v>29.51501156409374</v>
      </c>
      <c r="AU78" s="61">
        <f t="shared" si="87"/>
        <v>42.42652640040874</v>
      </c>
    </row>
    <row r="79" spans="1:47" x14ac:dyDescent="0.3">
      <c r="N79" s="10">
        <v>61</v>
      </c>
      <c r="O79" s="50">
        <f t="shared" si="64"/>
        <v>40.738027780411279</v>
      </c>
      <c r="P79" s="48" t="str">
        <f t="shared" si="55"/>
        <v>51201.9230769231</v>
      </c>
      <c r="Q79" s="17" t="str">
        <f t="shared" si="56"/>
        <v>1+11.9614216067664i</v>
      </c>
      <c r="R79" s="17">
        <f t="shared" si="65"/>
        <v>12.003149872213465</v>
      </c>
      <c r="S79" s="17">
        <f t="shared" si="66"/>
        <v>1.4873881848661561</v>
      </c>
      <c r="T79" s="17" t="str">
        <f t="shared" si="57"/>
        <v>1+7.67893732780063E-10i</v>
      </c>
      <c r="U79" s="17">
        <f t="shared" si="67"/>
        <v>1</v>
      </c>
      <c r="V79" s="17">
        <f t="shared" si="68"/>
        <v>7.6789373278006304E-10</v>
      </c>
      <c r="W79" s="31" t="str">
        <f t="shared" si="58"/>
        <v>1-0.000414662615701233i</v>
      </c>
      <c r="X79" s="17">
        <f t="shared" si="69"/>
        <v>1.0000000859725386</v>
      </c>
      <c r="Y79" s="17">
        <f t="shared" si="70"/>
        <v>-4.1466259193483589E-4</v>
      </c>
      <c r="Z79" s="31" t="str">
        <f t="shared" si="59"/>
        <v>0.999999336165237+0.0253042078328257i</v>
      </c>
      <c r="AA79" s="17">
        <f t="shared" si="71"/>
        <v>1.000319436612606</v>
      </c>
      <c r="AB79" s="17">
        <f t="shared" si="72"/>
        <v>2.5298825907662855E-2</v>
      </c>
      <c r="AC79" s="66" t="str">
        <f t="shared" si="73"/>
        <v>245.893463685161-4257.25006158192i</v>
      </c>
      <c r="AD79" s="64">
        <f t="shared" si="74"/>
        <v>72.597047479574982</v>
      </c>
      <c r="AE79" s="61">
        <f t="shared" si="75"/>
        <v>-86.694339814043062</v>
      </c>
      <c r="AF79" s="31" t="str">
        <f t="shared" si="60"/>
        <v>-1.33333333333333E-06</v>
      </c>
      <c r="AG79" s="31" t="str">
        <f t="shared" si="61"/>
        <v>0.000256220542170947i</v>
      </c>
      <c r="AH79" s="31">
        <f t="shared" si="76"/>
        <v>2.5622054217094701E-4</v>
      </c>
      <c r="AI79" s="31">
        <f t="shared" si="77"/>
        <v>1.5707963267948966</v>
      </c>
      <c r="AJ79" s="31" t="str">
        <f t="shared" si="62"/>
        <v>1+0.000828496734667798i</v>
      </c>
      <c r="AK79" s="31">
        <f t="shared" si="78"/>
        <v>1.0000003432033608</v>
      </c>
      <c r="AL79" s="31">
        <f t="shared" si="79"/>
        <v>8.2849654510593442E-4</v>
      </c>
      <c r="AM79" s="31" t="str">
        <f t="shared" si="63"/>
        <v>1+0.829325231402467i</v>
      </c>
      <c r="AN79" s="31">
        <f t="shared" si="80"/>
        <v>1.2991460038966964</v>
      </c>
      <c r="AO79" s="31">
        <f t="shared" si="81"/>
        <v>0.69236817147589735</v>
      </c>
      <c r="AP79" s="58" t="str">
        <f t="shared" si="82"/>
        <v>-0.00431136998338772+0.00520742220947324i</v>
      </c>
      <c r="AQ79" s="49">
        <f t="shared" si="83"/>
        <v>-43.400347929776153</v>
      </c>
      <c r="AR79" s="61">
        <f t="shared" si="84"/>
        <v>129.62230473938322</v>
      </c>
      <c r="AS79" s="58" t="str">
        <f t="shared" si="85"/>
        <v>21.1091608235196+19.6350512112382i</v>
      </c>
      <c r="AT79" s="64">
        <f t="shared" si="86"/>
        <v>29.196699549798844</v>
      </c>
      <c r="AU79" s="61">
        <f t="shared" si="87"/>
        <v>42.927964925340092</v>
      </c>
    </row>
    <row r="80" spans="1:47" x14ac:dyDescent="0.3">
      <c r="N80" s="10">
        <v>62</v>
      </c>
      <c r="O80" s="50">
        <f t="shared" si="64"/>
        <v>41.686938347033561</v>
      </c>
      <c r="P80" s="48" t="str">
        <f t="shared" si="55"/>
        <v>51201.9230769231</v>
      </c>
      <c r="Q80" s="17" t="str">
        <f t="shared" si="56"/>
        <v>1+12.2400389079196i</v>
      </c>
      <c r="R80" s="17">
        <f t="shared" si="65"/>
        <v>12.280820512790894</v>
      </c>
      <c r="S80" s="17">
        <f t="shared" si="66"/>
        <v>1.4892782889776173</v>
      </c>
      <c r="T80" s="17" t="str">
        <f t="shared" si="57"/>
        <v>1+7.8578027557015E-10i</v>
      </c>
      <c r="U80" s="17">
        <f t="shared" si="67"/>
        <v>1</v>
      </c>
      <c r="V80" s="17">
        <f t="shared" si="68"/>
        <v>7.8578027557014999E-10</v>
      </c>
      <c r="W80" s="31" t="str">
        <f t="shared" si="58"/>
        <v>1-0.00042432134880788i</v>
      </c>
      <c r="X80" s="17">
        <f t="shared" si="69"/>
        <v>1.0000000900242996</v>
      </c>
      <c r="Y80" s="17">
        <f t="shared" si="70"/>
        <v>-4.2432132334172684E-4</v>
      </c>
      <c r="Z80" s="31" t="str">
        <f t="shared" si="59"/>
        <v>0.999999304879668+0.0258936185505464i</v>
      </c>
      <c r="AA80" s="17">
        <f t="shared" si="71"/>
        <v>1.0003344886793919</v>
      </c>
      <c r="AB80" s="17">
        <f t="shared" si="72"/>
        <v>2.5887851817975024E-2</v>
      </c>
      <c r="AC80" s="66" t="str">
        <f t="shared" si="73"/>
        <v>229.973760511211-4161.51584104215i</v>
      </c>
      <c r="AD80" s="64">
        <f t="shared" si="74"/>
        <v>72.398273710394108</v>
      </c>
      <c r="AE80" s="61">
        <f t="shared" si="75"/>
        <v>-86.836936904675099</v>
      </c>
      <c r="AF80" s="31" t="str">
        <f t="shared" si="60"/>
        <v>-1.33333333333333E-06</v>
      </c>
      <c r="AG80" s="31" t="str">
        <f t="shared" si="61"/>
        <v>0.000262188685281906i</v>
      </c>
      <c r="AH80" s="31">
        <f t="shared" si="76"/>
        <v>2.6218868528190599E-4</v>
      </c>
      <c r="AI80" s="31">
        <f t="shared" si="77"/>
        <v>1.5707963267948966</v>
      </c>
      <c r="AJ80" s="31" t="str">
        <f t="shared" si="62"/>
        <v>1+0.000847794902713047i</v>
      </c>
      <c r="AK80" s="31">
        <f t="shared" si="78"/>
        <v>1.000000359378034</v>
      </c>
      <c r="AL80" s="31">
        <f t="shared" si="79"/>
        <v>8.4779469959385455E-4</v>
      </c>
      <c r="AM80" s="31" t="str">
        <f t="shared" si="63"/>
        <v>1+0.848642697615761i</v>
      </c>
      <c r="AN80" s="31">
        <f t="shared" si="80"/>
        <v>1.3115618278283934</v>
      </c>
      <c r="AO80" s="31">
        <f t="shared" si="81"/>
        <v>0.70370555230334864</v>
      </c>
      <c r="AP80" s="58" t="str">
        <f t="shared" si="82"/>
        <v>-0.00431136984391778+0.00508905131739751i</v>
      </c>
      <c r="AQ80" s="49">
        <f t="shared" si="83"/>
        <v>-43.517731939760331</v>
      </c>
      <c r="AR80" s="61">
        <f t="shared" si="84"/>
        <v>130.2707831087242</v>
      </c>
      <c r="AS80" s="58" t="str">
        <f t="shared" si="85"/>
        <v>20.1866657372658+19.1121821709517i</v>
      </c>
      <c r="AT80" s="64">
        <f t="shared" si="86"/>
        <v>28.880541770633791</v>
      </c>
      <c r="AU80" s="61">
        <f t="shared" si="87"/>
        <v>43.433846204049061</v>
      </c>
    </row>
    <row r="81" spans="14:47" x14ac:dyDescent="0.3">
      <c r="N81" s="10">
        <v>63</v>
      </c>
      <c r="O81" s="50">
        <f t="shared" si="64"/>
        <v>42.657951880159267</v>
      </c>
      <c r="P81" s="48" t="str">
        <f t="shared" si="55"/>
        <v>51201.9230769231</v>
      </c>
      <c r="Q81" s="17" t="str">
        <f t="shared" si="56"/>
        <v>1+12.5251460397179i</v>
      </c>
      <c r="R81" s="17">
        <f t="shared" si="65"/>
        <v>12.565002320583192</v>
      </c>
      <c r="S81" s="17">
        <f t="shared" si="66"/>
        <v>1.4911259332963485</v>
      </c>
      <c r="T81" s="17" t="str">
        <f t="shared" si="57"/>
        <v>1+8.04083449463374E-10i</v>
      </c>
      <c r="U81" s="17">
        <f t="shared" si="67"/>
        <v>1</v>
      </c>
      <c r="V81" s="17">
        <f t="shared" si="68"/>
        <v>8.0408344946337396E-10</v>
      </c>
      <c r="W81" s="31" t="str">
        <f t="shared" si="58"/>
        <v>1-0.000434205062710221i</v>
      </c>
      <c r="X81" s="17">
        <f t="shared" si="69"/>
        <v>1.0000000942670138</v>
      </c>
      <c r="Y81" s="17">
        <f t="shared" si="70"/>
        <v>-4.3420503542274634E-4</v>
      </c>
      <c r="Z81" s="31" t="str">
        <f t="shared" si="59"/>
        <v>0.999999272119657+0.026496758407565i</v>
      </c>
      <c r="AA81" s="17">
        <f t="shared" si="71"/>
        <v>1.0003502498854853</v>
      </c>
      <c r="AB81" s="17">
        <f t="shared" si="72"/>
        <v>2.6490579359128404E-2</v>
      </c>
      <c r="AC81" s="66" t="str">
        <f t="shared" si="73"/>
        <v>214.761575070812-4067.8717302742i</v>
      </c>
      <c r="AD81" s="64">
        <f t="shared" si="74"/>
        <v>72.199433113091516</v>
      </c>
      <c r="AE81" s="61">
        <f t="shared" si="75"/>
        <v>-86.977899164423576</v>
      </c>
      <c r="AF81" s="31" t="str">
        <f t="shared" si="60"/>
        <v>-1.33333333333333E-06</v>
      </c>
      <c r="AG81" s="31" t="str">
        <f t="shared" si="61"/>
        <v>0.000268295844304278i</v>
      </c>
      <c r="AH81" s="31">
        <f t="shared" si="76"/>
        <v>2.6829584430427801E-4</v>
      </c>
      <c r="AI81" s="31">
        <f t="shared" si="77"/>
        <v>1.5707963267948966</v>
      </c>
      <c r="AJ81" s="31" t="str">
        <f t="shared" si="62"/>
        <v>1+0.000867542582837604i</v>
      </c>
      <c r="AK81" s="31">
        <f t="shared" si="78"/>
        <v>1.0000003763149958</v>
      </c>
      <c r="AL81" s="31">
        <f t="shared" si="79"/>
        <v>8.6754236519147245E-4</v>
      </c>
      <c r="AM81" s="31" t="str">
        <f t="shared" si="63"/>
        <v>1+0.868410125420443i</v>
      </c>
      <c r="AN81" s="31">
        <f t="shared" si="80"/>
        <v>1.3244380491109238</v>
      </c>
      <c r="AO81" s="31">
        <f t="shared" si="81"/>
        <v>0.71508546991512889</v>
      </c>
      <c r="AP81" s="58" t="str">
        <f t="shared" si="82"/>
        <v>-0.00431136969787483+0.00497337870768069i</v>
      </c>
      <c r="AQ81" s="49">
        <f t="shared" si="83"/>
        <v>-43.632874475496742</v>
      </c>
      <c r="AR81" s="61">
        <f t="shared" si="84"/>
        <v>130.92167290119184</v>
      </c>
      <c r="AS81" s="58" t="str">
        <f t="shared" si="85"/>
        <v>19.3051501018937+18.606189557431i</v>
      </c>
      <c r="AT81" s="64">
        <f t="shared" si="86"/>
        <v>28.566558637594774</v>
      </c>
      <c r="AU81" s="61">
        <f t="shared" si="87"/>
        <v>43.943773736768343</v>
      </c>
    </row>
    <row r="82" spans="14:47" x14ac:dyDescent="0.3">
      <c r="N82" s="10">
        <v>64</v>
      </c>
      <c r="O82" s="50">
        <f t="shared" si="64"/>
        <v>43.651583224016633</v>
      </c>
      <c r="P82" s="48" t="str">
        <f t="shared" si="55"/>
        <v>51201.9230769231</v>
      </c>
      <c r="Q82" s="17" t="str">
        <f t="shared" si="56"/>
        <v>1+12.8168941697364i</v>
      </c>
      <c r="R82" s="17">
        <f t="shared" si="65"/>
        <v>12.855845991541084</v>
      </c>
      <c r="S82" s="17">
        <f t="shared" si="66"/>
        <v>1.4929320469799459</v>
      </c>
      <c r="T82" s="17" t="str">
        <f t="shared" si="57"/>
        <v>1+8.22812959044805E-10i</v>
      </c>
      <c r="U82" s="17">
        <f t="shared" si="67"/>
        <v>1</v>
      </c>
      <c r="V82" s="17">
        <f t="shared" si="68"/>
        <v>8.2281295904480505E-10</v>
      </c>
      <c r="W82" s="31" t="str">
        <f t="shared" si="58"/>
        <v>1-0.000444318997884194i</v>
      </c>
      <c r="X82" s="17">
        <f t="shared" si="69"/>
        <v>1.0000000987096811</v>
      </c>
      <c r="Y82" s="17">
        <f t="shared" si="70"/>
        <v>-4.443189686451383E-4</v>
      </c>
      <c r="Z82" s="31" t="str">
        <f t="shared" si="59"/>
        <v>0.999999237815713+0.0271139471966174i</v>
      </c>
      <c r="AA82" s="17">
        <f t="shared" si="71"/>
        <v>1.0003667536281819</v>
      </c>
      <c r="AB82" s="17">
        <f t="shared" si="72"/>
        <v>2.710732635802221E-2</v>
      </c>
      <c r="AC82" s="66" t="str">
        <f t="shared" si="73"/>
        <v>200.225888224324-3976.27574961071i</v>
      </c>
      <c r="AD82" s="64">
        <f t="shared" si="74"/>
        <v>72.000528094238575</v>
      </c>
      <c r="AE82" s="61">
        <f t="shared" si="75"/>
        <v>-87.117298340493306</v>
      </c>
      <c r="AF82" s="31" t="str">
        <f t="shared" si="60"/>
        <v>-1.33333333333333E-06</v>
      </c>
      <c r="AG82" s="31" t="str">
        <f t="shared" si="61"/>
        <v>0.000274545257334617i</v>
      </c>
      <c r="AH82" s="31">
        <f t="shared" si="76"/>
        <v>2.74545257334617E-4</v>
      </c>
      <c r="AI82" s="31">
        <f t="shared" si="77"/>
        <v>1.5707963267948966</v>
      </c>
      <c r="AJ82" s="31" t="str">
        <f t="shared" si="62"/>
        <v>1+0.000887750245522864i</v>
      </c>
      <c r="AK82" s="31">
        <f t="shared" si="78"/>
        <v>1.0000003940501716</v>
      </c>
      <c r="AL82" s="31">
        <f t="shared" si="79"/>
        <v>8.8775001231083722E-4</v>
      </c>
      <c r="AM82" s="31" t="str">
        <f t="shared" si="63"/>
        <v>1+0.888637995768388i</v>
      </c>
      <c r="AN82" s="31">
        <f t="shared" si="80"/>
        <v>1.3377882820249465</v>
      </c>
      <c r="AO82" s="31">
        <f t="shared" si="81"/>
        <v>0.72650216913187005</v>
      </c>
      <c r="AP82" s="58" t="str">
        <f t="shared" si="82"/>
        <v>-0.00431136954494906+0.00486034304917316i</v>
      </c>
      <c r="AQ82" s="49">
        <f t="shared" si="83"/>
        <v>-43.745759856166799</v>
      </c>
      <c r="AR82" s="61">
        <f t="shared" si="84"/>
        <v>131.57464376938754</v>
      </c>
      <c r="AS82" s="58" t="str">
        <f t="shared" si="85"/>
        <v>18.4628164046155+18.1163606732867i</v>
      </c>
      <c r="AT82" s="64">
        <f t="shared" si="86"/>
        <v>28.254768238071776</v>
      </c>
      <c r="AU82" s="61">
        <f t="shared" si="87"/>
        <v>44.457345428894179</v>
      </c>
    </row>
    <row r="83" spans="14:47" x14ac:dyDescent="0.3">
      <c r="N83" s="10">
        <v>65</v>
      </c>
      <c r="O83" s="50">
        <f t="shared" si="64"/>
        <v>44.668359215096324</v>
      </c>
      <c r="P83" s="48" t="str">
        <f t="shared" ref="P83:P146" si="88">COMPLEX(Adc,0)</f>
        <v>51201.9230769231</v>
      </c>
      <c r="Q83" s="17" t="str">
        <f t="shared" ref="Q83:Q146" si="89">IMSUM(COMPLEX(1,0),IMDIV(COMPLEX(0,2*PI()*O83),COMPLEX(wp_lf,0)))</f>
        <v>1+13.1154379866953i</v>
      </c>
      <c r="R83" s="17">
        <f t="shared" si="65"/>
        <v>13.153505752568401</v>
      </c>
      <c r="S83" s="17">
        <f t="shared" si="66"/>
        <v>1.4946975404944658</v>
      </c>
      <c r="T83" s="17" t="str">
        <f t="shared" ref="T83:T146" si="90">IMSUM(COMPLEX(1,0),IMDIV(COMPLEX(0,2*PI()*O83),COMPLEX(wz_esr,0)))</f>
        <v>1+8.4197873494834E-10i</v>
      </c>
      <c r="U83" s="17">
        <f t="shared" si="67"/>
        <v>1</v>
      </c>
      <c r="V83" s="17">
        <f t="shared" si="68"/>
        <v>8.4197873494833996E-10</v>
      </c>
      <c r="W83" s="31" t="str">
        <f t="shared" ref="W83:W146" si="91">IMSUB(COMPLEX(1,0),IMDIV(COMPLEX(0,2*PI()*O83),COMPLEX(wz_rhp,0)))</f>
        <v>1-0.000454668516872103i</v>
      </c>
      <c r="X83" s="17">
        <f t="shared" si="69"/>
        <v>1.0000001033617247</v>
      </c>
      <c r="Y83" s="17">
        <f t="shared" si="70"/>
        <v>-4.5466848554189053E-4</v>
      </c>
      <c r="Z83" s="31" t="str">
        <f t="shared" ref="Z83:Z146" si="92">IMSUM(COMPLEX(1,0),IMDIV(COMPLEX(0,2*PI()*O83),COMPLEX(Q*(wsl/2),0)),IMDIV(IMPOWER(COMPLEX(0,2*PI()*O83),2),IMPOWER(COMPLEX(wsl/2,0),2)))</f>
        <v>0.999999201895074+0.027745512159369i</v>
      </c>
      <c r="AA83" s="17">
        <f t="shared" si="71"/>
        <v>1.0003840348764921</v>
      </c>
      <c r="AB83" s="17">
        <f t="shared" si="72"/>
        <v>2.7738417950078632E-2</v>
      </c>
      <c r="AC83" s="66" t="str">
        <f t="shared" si="73"/>
        <v>186.337007295677-3886.68650384548i</v>
      </c>
      <c r="AD83" s="64">
        <f t="shared" si="74"/>
        <v>71.801560928466898</v>
      </c>
      <c r="AE83" s="61">
        <f t="shared" si="75"/>
        <v>-87.255205534884098</v>
      </c>
      <c r="AF83" s="31" t="str">
        <f t="shared" ref="AF83:AF146" si="93">COMPLEX(Adc_ea,0)</f>
        <v>-1.33333333333333E-06</v>
      </c>
      <c r="AG83" s="31" t="str">
        <f t="shared" ref="AG83:AG146" si="94">COMPLEX(0,2*PI()*O83*wp0_ea)</f>
        <v>0.000280940237894429i</v>
      </c>
      <c r="AH83" s="31">
        <f t="shared" si="76"/>
        <v>2.8094023789442901E-4</v>
      </c>
      <c r="AI83" s="31">
        <f t="shared" si="77"/>
        <v>1.5707963267948966</v>
      </c>
      <c r="AJ83" s="31" t="str">
        <f t="shared" ref="AJ83:AJ146" si="95">IMSUM(COMPLEX(1,0),IMDIV(COMPLEX(0,2*PI()*O83),COMPLEX(wp1_ea,0)))</f>
        <v>1+0.000908428605139066i</v>
      </c>
      <c r="AK83" s="31">
        <f t="shared" si="78"/>
        <v>1.0000004126211801</v>
      </c>
      <c r="AL83" s="31">
        <f t="shared" si="79"/>
        <v>9.0842835524788273E-4</v>
      </c>
      <c r="AM83" s="31" t="str">
        <f t="shared" ref="AM83:AM146" si="96">IMSUM(COMPLEX(1,0),IMDIV(COMPLEX(0,2*PI()*O83),COMPLEX(wz_ea,0)))</f>
        <v>1+0.909337033744206i</v>
      </c>
      <c r="AN83" s="31">
        <f t="shared" si="80"/>
        <v>1.3516263688381902</v>
      </c>
      <c r="AO83" s="31">
        <f t="shared" si="81"/>
        <v>0.73794979964521445</v>
      </c>
      <c r="AP83" s="58" t="str">
        <f t="shared" si="82"/>
        <v>-0.00431136938481619+0.00474988440887178i</v>
      </c>
      <c r="AQ83" s="49">
        <f t="shared" si="83"/>
        <v>-43.856374652094068</v>
      </c>
      <c r="AR83" s="61">
        <f t="shared" si="84"/>
        <v>132.22935990144981</v>
      </c>
      <c r="AS83" s="58" t="str">
        <f t="shared" si="85"/>
        <v>17.6579439582752+17.6420204468072i</v>
      </c>
      <c r="AT83" s="64">
        <f t="shared" si="86"/>
        <v>27.94518627637283</v>
      </c>
      <c r="AU83" s="61">
        <f t="shared" si="87"/>
        <v>44.974154366565585</v>
      </c>
    </row>
    <row r="84" spans="14:47" x14ac:dyDescent="0.3">
      <c r="N84" s="10">
        <v>66</v>
      </c>
      <c r="O84" s="50">
        <f t="shared" ref="O84:O118" si="97">10^(1+(N84/100))</f>
        <v>45.70881896148753</v>
      </c>
      <c r="P84" s="48" t="str">
        <f t="shared" si="88"/>
        <v>51201.9230769231</v>
      </c>
      <c r="Q84" s="17" t="str">
        <f t="shared" si="89"/>
        <v>1+13.4209357824781i</v>
      </c>
      <c r="R84" s="17">
        <f t="shared" ref="R84:R147" si="98">IMABS(Q84)</f>
        <v>13.458139443377791</v>
      </c>
      <c r="S84" s="17">
        <f t="shared" ref="S84:S147" si="99">IMARGUMENT(Q84)</f>
        <v>1.4964233058794485</v>
      </c>
      <c r="T84" s="17" t="str">
        <f t="shared" si="90"/>
        <v>1+8.61590939122051E-10i</v>
      </c>
      <c r="U84" s="17">
        <f t="shared" ref="U84:U147" si="100">IMABS(T84)</f>
        <v>1</v>
      </c>
      <c r="V84" s="17">
        <f t="shared" ref="V84:V147" si="101">IMARGUMENT(T84)</f>
        <v>8.6159093912205104E-10</v>
      </c>
      <c r="W84" s="31" t="str">
        <f t="shared" si="91"/>
        <v>1-0.000465259107125907i</v>
      </c>
      <c r="X84" s="17">
        <f t="shared" ref="X84:X147" si="102">IMABS(W84)</f>
        <v>1.0000001082330126</v>
      </c>
      <c r="Y84" s="17">
        <f t="shared" ref="Y84:Y147" si="103">IMARGUMENT(W84)</f>
        <v>-4.6525907355497969E-4</v>
      </c>
      <c r="Z84" s="31" t="str">
        <f t="shared" si="92"/>
        <v>0.999999164281548+0.0283917881599227i</v>
      </c>
      <c r="AA84" s="17">
        <f t="shared" ref="AA84:AA147" si="104">IMABS(Z84)</f>
        <v>1.0004021302449893</v>
      </c>
      <c r="AB84" s="17">
        <f t="shared" ref="AB84:AB147" si="105">IMARGUMENT(Z84)</f>
        <v>2.8384186742732184E-2</v>
      </c>
      <c r="AC84" s="66" t="str">
        <f t="shared" ref="AC84:AC147" si="106">(IMDIV(IMPRODUCT(P84,T84,W84),IMPRODUCT(Q84,Z84)))</f>
        <v>173.06651246477-3799.06319263729i</v>
      </c>
      <c r="AD84" s="64">
        <f t="shared" ref="AD84:AD147" si="107">20*LOG(IMABS(AC84))</f>
        <v>71.602533762894424</v>
      </c>
      <c r="AE84" s="61">
        <f t="shared" ref="AE84:AE147" si="108">(180/PI())*IMARGUMENT(AC84)</f>
        <v>-87.391691229105703</v>
      </c>
      <c r="AF84" s="31" t="str">
        <f t="shared" si="93"/>
        <v>-1.33333333333333E-06</v>
      </c>
      <c r="AG84" s="31" t="str">
        <f t="shared" si="94"/>
        <v>0.000287484176687058i</v>
      </c>
      <c r="AH84" s="31">
        <f t="shared" ref="AH84:AH147" si="109">IMABS(AG84)</f>
        <v>2.8748417668705801E-4</v>
      </c>
      <c r="AI84" s="31">
        <f t="shared" ref="AI84:AI147" si="110">IMARGUMENT(AG84)</f>
        <v>1.5707963267948966</v>
      </c>
      <c r="AJ84" s="31" t="str">
        <f t="shared" si="95"/>
        <v>1+0.000929588625626187i</v>
      </c>
      <c r="AK84" s="31">
        <f t="shared" ref="AK84:AK147" si="111">IMABS(AJ84)</f>
        <v>1.0000004320674132</v>
      </c>
      <c r="AL84" s="31">
        <f t="shared" ref="AL84:AL147" si="112">IMARGUMENT(AJ84)</f>
        <v>9.2958835786296611E-4</v>
      </c>
      <c r="AM84" s="31" t="str">
        <f t="shared" si="96"/>
        <v>1+0.930518214251814i</v>
      </c>
      <c r="AN84" s="31">
        <f t="shared" ref="AN84:AN147" si="113">IMABS(AM84)</f>
        <v>1.3659663784494789</v>
      </c>
      <c r="AO84" s="31">
        <f t="shared" ref="AO84:AO147" si="114">IMARGUMENT(AM84)</f>
        <v>0.74942243057571045</v>
      </c>
      <c r="AP84" s="58" t="str">
        <f t="shared" ref="AP84:AP147" si="115">IMPRODUCT(AF84,IMDIV(AM84,IMPRODUCT(AG84,AJ84)))</f>
        <v>-0.00431136921713646+0.00464194422014239i</v>
      </c>
      <c r="AQ84" s="49">
        <f t="shared" ref="AQ84:AQ147" si="116">20*LOG(IMABS(AP84))</f>
        <v>-43.964707740218358</v>
      </c>
      <c r="AR84" s="61">
        <f t="shared" ref="AR84:AR147" si="117">(180/PI())*IMARGUMENT(AP84)</f>
        <v>132.8854808548341</v>
      </c>
      <c r="AS84" s="58" t="str">
        <f t="shared" ref="AS84:AS147" si="118">IMPRODUCT(AC84,AP84)</f>
        <v>16.8888857946606+17.1825291999286i</v>
      </c>
      <c r="AT84" s="64">
        <f t="shared" ref="AT84:AT147" si="119">20*LOG(IMABS(AS84))</f>
        <v>27.637826022676055</v>
      </c>
      <c r="AU84" s="61">
        <f t="shared" ref="AU84:AU147" si="120">(180/PI())*IMARGUMENT(AS84)</f>
        <v>45.493789625728397</v>
      </c>
    </row>
    <row r="85" spans="14:47" x14ac:dyDescent="0.3">
      <c r="N85" s="10">
        <v>67</v>
      </c>
      <c r="O85" s="50">
        <f t="shared" si="97"/>
        <v>46.773514128719818</v>
      </c>
      <c r="P85" s="48" t="str">
        <f t="shared" si="88"/>
        <v>51201.9230769231</v>
      </c>
      <c r="Q85" s="17" t="str">
        <f t="shared" si="89"/>
        <v>1+13.7335495360598i</v>
      </c>
      <c r="R85" s="17">
        <f t="shared" si="98"/>
        <v>13.769908600256153</v>
      </c>
      <c r="S85" s="17">
        <f t="shared" si="99"/>
        <v>1.4981102170172256</v>
      </c>
      <c r="T85" s="17" t="str">
        <f t="shared" si="90"/>
        <v>1+8.81659970216188E-10i</v>
      </c>
      <c r="U85" s="17">
        <f t="shared" si="100"/>
        <v>1</v>
      </c>
      <c r="V85" s="17">
        <f t="shared" si="101"/>
        <v>8.81659970216188E-10</v>
      </c>
      <c r="W85" s="31" t="str">
        <f t="shared" si="91"/>
        <v>1-0.000476096383916741i</v>
      </c>
      <c r="X85" s="17">
        <f t="shared" si="102"/>
        <v>1.0000001133338769</v>
      </c>
      <c r="Y85" s="17">
        <f t="shared" si="103"/>
        <v>-4.7609634794484456E-4</v>
      </c>
      <c r="Z85" s="31" t="str">
        <f t="shared" si="92"/>
        <v>0.99999912489535+0.0290531178623686i</v>
      </c>
      <c r="AA85" s="17">
        <f t="shared" si="104"/>
        <v>1.0004210780711245</v>
      </c>
      <c r="AB85" s="17">
        <f t="shared" si="105"/>
        <v>2.9044972982246973E-2</v>
      </c>
      <c r="AC85" s="66" t="str">
        <f t="shared" si="106"/>
        <v>160.387205056528-3713.36561919047i</v>
      </c>
      <c r="AD85" s="64">
        <f t="shared" si="107"/>
        <v>71.403448621316699</v>
      </c>
      <c r="AE85" s="61">
        <f t="shared" si="108"/>
        <v>-87.526825309332551</v>
      </c>
      <c r="AF85" s="31" t="str">
        <f t="shared" si="93"/>
        <v>-1.33333333333333E-06</v>
      </c>
      <c r="AG85" s="31" t="str">
        <f t="shared" si="94"/>
        <v>0.000294180543395468i</v>
      </c>
      <c r="AH85" s="31">
        <f t="shared" si="109"/>
        <v>2.9418054339546801E-4</v>
      </c>
      <c r="AI85" s="31">
        <f t="shared" si="110"/>
        <v>1.5707963267948966</v>
      </c>
      <c r="AJ85" s="31" t="str">
        <f t="shared" si="95"/>
        <v>1+0.000951241526307174i</v>
      </c>
      <c r="AK85" s="31">
        <f t="shared" si="111"/>
        <v>1.0000004524301185</v>
      </c>
      <c r="AL85" s="31">
        <f t="shared" si="112"/>
        <v>9.5124123939372058E-4</v>
      </c>
      <c r="AM85" s="31" t="str">
        <f t="shared" si="96"/>
        <v>1+0.952192767833482i</v>
      </c>
      <c r="AN85" s="31">
        <f t="shared" si="113"/>
        <v>1.3808226052300807</v>
      </c>
      <c r="AO85" s="31">
        <f t="shared" si="114"/>
        <v>0.76091406553831709</v>
      </c>
      <c r="AP85" s="58" t="str">
        <f t="shared" si="115"/>
        <v>-0.00431136904155427+0.00453646525166724i</v>
      </c>
      <c r="AQ85" s="49">
        <f t="shared" si="116"/>
        <v>-44.070750350417683</v>
      </c>
      <c r="AR85" s="61">
        <f t="shared" si="117"/>
        <v>133.54266241917051</v>
      </c>
      <c r="AS85" s="58" t="str">
        <f t="shared" si="118"/>
        <v>16.1540656676512+16.7372805531008i</v>
      </c>
      <c r="AT85" s="64">
        <f t="shared" si="119"/>
        <v>27.332698270899019</v>
      </c>
      <c r="AU85" s="61">
        <f t="shared" si="120"/>
        <v>46.015837109838102</v>
      </c>
    </row>
    <row r="86" spans="14:47" x14ac:dyDescent="0.3">
      <c r="N86" s="10">
        <v>68</v>
      </c>
      <c r="O86" s="50">
        <f t="shared" si="97"/>
        <v>47.863009232263877</v>
      </c>
      <c r="P86" s="48" t="str">
        <f t="shared" si="88"/>
        <v>51201.9230769231</v>
      </c>
      <c r="Q86" s="17" t="str">
        <f t="shared" si="89"/>
        <v>1+14.0534449993906i</v>
      </c>
      <c r="R86" s="17">
        <f t="shared" si="98"/>
        <v>14.088978541785655</v>
      </c>
      <c r="S86" s="17">
        <f t="shared" si="99"/>
        <v>1.4997591299057671</v>
      </c>
      <c r="T86" s="17" t="str">
        <f t="shared" si="90"/>
        <v>1+9.02196469096684E-10i</v>
      </c>
      <c r="U86" s="17">
        <f t="shared" si="100"/>
        <v>1</v>
      </c>
      <c r="V86" s="17">
        <f t="shared" si="101"/>
        <v>9.0219646909668397E-10</v>
      </c>
      <c r="W86" s="31" t="str">
        <f t="shared" si="91"/>
        <v>1-0.000487186093312209i</v>
      </c>
      <c r="X86" s="17">
        <f t="shared" si="102"/>
        <v>1.0000001186751377</v>
      </c>
      <c r="Y86" s="17">
        <f t="shared" si="103"/>
        <v>-4.8718605476762774E-4</v>
      </c>
      <c r="Z86" s="31" t="str">
        <f t="shared" si="92"/>
        <v>0.999999083652939+0.0297298519124686i</v>
      </c>
      <c r="AA86" s="17">
        <f t="shared" si="104"/>
        <v>1.0004409184961673</v>
      </c>
      <c r="AB86" s="17">
        <f t="shared" si="105"/>
        <v>2.9721124723904188E-2</v>
      </c>
      <c r="AC86" s="66" t="str">
        <f t="shared" si="106"/>
        <v>148.273057684843-3629.55419733984i</v>
      </c>
      <c r="AD86" s="64">
        <f t="shared" si="107"/>
        <v>71.204307408168731</v>
      </c>
      <c r="AE86" s="61">
        <f t="shared" si="108"/>
        <v>-87.660677091958405</v>
      </c>
      <c r="AF86" s="31" t="str">
        <f t="shared" si="93"/>
        <v>-1.33333333333333E-06</v>
      </c>
      <c r="AG86" s="31" t="str">
        <f t="shared" si="94"/>
        <v>0.000301032888521927i</v>
      </c>
      <c r="AH86" s="31">
        <f t="shared" si="109"/>
        <v>3.01032888521927E-4</v>
      </c>
      <c r="AI86" s="31">
        <f t="shared" si="110"/>
        <v>1.5707963267948966</v>
      </c>
      <c r="AJ86" s="31" t="str">
        <f t="shared" si="95"/>
        <v>1+0.00097339878783658i</v>
      </c>
      <c r="AK86" s="31">
        <f t="shared" si="111"/>
        <v>1.0000004737524879</v>
      </c>
      <c r="AL86" s="31">
        <f t="shared" si="112"/>
        <v>9.7339848040328366E-4</v>
      </c>
      <c r="AM86" s="31" t="str">
        <f t="shared" si="96"/>
        <v>1+0.974372186624418i</v>
      </c>
      <c r="AN86" s="31">
        <f t="shared" si="113"/>
        <v>1.3962095681047491</v>
      </c>
      <c r="AO86" s="31">
        <f t="shared" si="114"/>
        <v>0.77241865812416599</v>
      </c>
      <c r="AP86" s="58" t="str">
        <f t="shared" si="115"/>
        <v>-0.00431136885769715+0.00443339157709999i</v>
      </c>
      <c r="AQ86" s="49">
        <f t="shared" si="116"/>
        <v>-44.174496102273366</v>
      </c>
      <c r="AR86" s="61">
        <f t="shared" si="117"/>
        <v>134.2005575029616</v>
      </c>
      <c r="AS86" s="58" t="str">
        <f t="shared" si="118"/>
        <v>15.4519751637764+16.3056994587858i</v>
      </c>
      <c r="AT86" s="64">
        <f t="shared" si="119"/>
        <v>27.029811305895368</v>
      </c>
      <c r="AU86" s="61">
        <f t="shared" si="120"/>
        <v>46.539880411003189</v>
      </c>
    </row>
    <row r="87" spans="14:47" x14ac:dyDescent="0.3">
      <c r="N87" s="10">
        <v>69</v>
      </c>
      <c r="O87" s="50">
        <f t="shared" si="97"/>
        <v>48.977881936844632</v>
      </c>
      <c r="P87" s="48" t="str">
        <f t="shared" si="88"/>
        <v>51201.9230769231</v>
      </c>
      <c r="Q87" s="17" t="str">
        <f t="shared" si="89"/>
        <v>1+14.3807917852795i</v>
      </c>
      <c r="R87" s="17">
        <f t="shared" si="98"/>
        <v>14.41551845656487</v>
      </c>
      <c r="S87" s="17">
        <f t="shared" si="99"/>
        <v>1.5013708829343808</v>
      </c>
      <c r="T87" s="17" t="str">
        <f t="shared" si="90"/>
        <v>1+9.23211324487078E-10i</v>
      </c>
      <c r="U87" s="17">
        <f t="shared" si="100"/>
        <v>1</v>
      </c>
      <c r="V87" s="17">
        <f t="shared" si="101"/>
        <v>9.2321132448707799E-10</v>
      </c>
      <c r="W87" s="31" t="str">
        <f t="shared" si="91"/>
        <v>1-0.000498534115223021i</v>
      </c>
      <c r="X87" s="17">
        <f t="shared" si="102"/>
        <v>1.0000001242681242</v>
      </c>
      <c r="Y87" s="17">
        <f t="shared" si="103"/>
        <v>-4.9853407392175838E-4</v>
      </c>
      <c r="Z87" s="31" t="str">
        <f t="shared" si="92"/>
        <v>0.999999040466832+0.0304223491235737i</v>
      </c>
      <c r="AA87" s="17">
        <f t="shared" si="104"/>
        <v>1.0004616935499238</v>
      </c>
      <c r="AB87" s="17">
        <f t="shared" si="105"/>
        <v>3.0412998005604014E-2</v>
      </c>
      <c r="AC87" s="66" t="str">
        <f t="shared" si="106"/>
        <v>136.699166207941-3547.58995716063i</v>
      </c>
      <c r="AD87" s="64">
        <f t="shared" si="107"/>
        <v>71.005111912263715</v>
      </c>
      <c r="AE87" s="61">
        <f t="shared" si="108"/>
        <v>-87.793315349513989</v>
      </c>
      <c r="AF87" s="31" t="str">
        <f t="shared" si="93"/>
        <v>-1.33333333333333E-06</v>
      </c>
      <c r="AG87" s="31" t="str">
        <f t="shared" si="94"/>
        <v>0.000308044845270521i</v>
      </c>
      <c r="AH87" s="31">
        <f t="shared" si="109"/>
        <v>3.08044845270521E-4</v>
      </c>
      <c r="AI87" s="31">
        <f t="shared" si="110"/>
        <v>1.5707963267948966</v>
      </c>
      <c r="AJ87" s="31" t="str">
        <f t="shared" si="95"/>
        <v>1+0.000996072158287754i</v>
      </c>
      <c r="AK87" s="31">
        <f t="shared" si="111"/>
        <v>1.0000004960797493</v>
      </c>
      <c r="AL87" s="31">
        <f t="shared" si="112"/>
        <v>9.960718288670508E-4</v>
      </c>
      <c r="AM87" s="31" t="str">
        <f t="shared" si="96"/>
        <v>1+0.997068230446043i</v>
      </c>
      <c r="AN87" s="31">
        <f t="shared" si="113"/>
        <v>1.4121420099143016</v>
      </c>
      <c r="AO87" s="31">
        <f t="shared" si="114"/>
        <v>0.78393012770234927</v>
      </c>
      <c r="AP87" s="58" t="str">
        <f t="shared" si="115"/>
        <v>-0.00431136866517514+0.00433266854541292i</v>
      </c>
      <c r="AQ87" s="49">
        <f t="shared" si="116"/>
        <v>-44.275941031950666</v>
      </c>
      <c r="AR87" s="61">
        <f t="shared" si="117"/>
        <v>134.8588170386104</v>
      </c>
      <c r="AS87" s="58" t="str">
        <f t="shared" si="118"/>
        <v>14.7811709176681+15.8872403558057i</v>
      </c>
      <c r="AT87" s="64">
        <f t="shared" si="119"/>
        <v>26.729170880313045</v>
      </c>
      <c r="AU87" s="61">
        <f t="shared" si="120"/>
        <v>47.065501689096536</v>
      </c>
    </row>
    <row r="88" spans="14:47" x14ac:dyDescent="0.3">
      <c r="N88" s="10">
        <v>70</v>
      </c>
      <c r="O88" s="50">
        <f t="shared" si="97"/>
        <v>50.118723362727238</v>
      </c>
      <c r="P88" s="48" t="str">
        <f t="shared" si="88"/>
        <v>51201.9230769231</v>
      </c>
      <c r="Q88" s="17" t="str">
        <f t="shared" si="89"/>
        <v>1+14.7157634573251i</v>
      </c>
      <c r="R88" s="17">
        <f t="shared" si="98"/>
        <v>14.74970149297757</v>
      </c>
      <c r="S88" s="17">
        <f t="shared" si="99"/>
        <v>1.5029462971616243</v>
      </c>
      <c r="T88" s="17" t="str">
        <f t="shared" si="90"/>
        <v>1+9.44715678741859E-10i</v>
      </c>
      <c r="U88" s="17">
        <f t="shared" si="100"/>
        <v>1</v>
      </c>
      <c r="V88" s="17">
        <f t="shared" si="101"/>
        <v>9.4471567874185892E-10</v>
      </c>
      <c r="W88" s="31" t="str">
        <f t="shared" si="91"/>
        <v>1-0.000510146466520603i</v>
      </c>
      <c r="X88" s="17">
        <f t="shared" si="102"/>
        <v>1.0000001301247001</v>
      </c>
      <c r="Y88" s="17">
        <f t="shared" si="103"/>
        <v>-5.10146422265503E-4</v>
      </c>
      <c r="Z88" s="31" t="str">
        <f t="shared" si="92"/>
        <v>0.999998995245427+0.0311309766668715i</v>
      </c>
      <c r="AA88" s="17">
        <f t="shared" si="104"/>
        <v>1.0004834472394317</v>
      </c>
      <c r="AB88" s="17">
        <f t="shared" si="105"/>
        <v>3.1120957024920369E-2</v>
      </c>
      <c r="AC88" s="66" t="str">
        <f t="shared" si="106"/>
        <v>125.64170345041-3467.4345492162i</v>
      </c>
      <c r="AD88" s="64">
        <f t="shared" si="107"/>
        <v>70.805863810314264</v>
      </c>
      <c r="AE88" s="61">
        <f t="shared" si="108"/>
        <v>-87.924808336913159</v>
      </c>
      <c r="AF88" s="31" t="str">
        <f t="shared" si="93"/>
        <v>-1.33333333333333E-06</v>
      </c>
      <c r="AG88" s="31" t="str">
        <f t="shared" si="94"/>
        <v>0.000315220131473533i</v>
      </c>
      <c r="AH88" s="31">
        <f t="shared" si="109"/>
        <v>3.1522013147353302E-4</v>
      </c>
      <c r="AI88" s="31">
        <f t="shared" si="110"/>
        <v>1.5707963267948966</v>
      </c>
      <c r="AJ88" s="31" t="str">
        <f t="shared" si="95"/>
        <v>1+0.00101927365938182i</v>
      </c>
      <c r="AK88" s="31">
        <f t="shared" si="111"/>
        <v>1.0000005194592614</v>
      </c>
      <c r="AL88" s="31">
        <f t="shared" si="112"/>
        <v>1.0192733064011868E-3</v>
      </c>
      <c r="AM88" s="31" t="str">
        <f t="shared" si="96"/>
        <v>1+1.02029293304121i</v>
      </c>
      <c r="AN88" s="31">
        <f t="shared" si="113"/>
        <v>1.4286348971006677</v>
      </c>
      <c r="AO88" s="31">
        <f t="shared" si="114"/>
        <v>0.79544237544172336</v>
      </c>
      <c r="AP88" s="58" t="str">
        <f t="shared" si="115"/>
        <v>-0.00431136846357986+0.0042342427519202i</v>
      </c>
      <c r="AQ88" s="49">
        <f t="shared" si="116"/>
        <v>-44.375083608956203</v>
      </c>
      <c r="AR88" s="61">
        <f t="shared" si="117"/>
        <v>135.51709090004431</v>
      </c>
      <c r="AS88" s="58" t="str">
        <f t="shared" si="118"/>
        <v>14.1402719298098+15.4813854371918i</v>
      </c>
      <c r="AT88" s="64">
        <f t="shared" si="119"/>
        <v>26.430780201358061</v>
      </c>
      <c r="AU88" s="61">
        <f t="shared" si="120"/>
        <v>47.592282563131249</v>
      </c>
    </row>
    <row r="89" spans="14:47" x14ac:dyDescent="0.3">
      <c r="N89" s="10">
        <v>71</v>
      </c>
      <c r="O89" s="50">
        <f t="shared" si="97"/>
        <v>51.28613839913649</v>
      </c>
      <c r="P89" s="48" t="str">
        <f t="shared" si="88"/>
        <v>51201.9230769231</v>
      </c>
      <c r="Q89" s="17" t="str">
        <f t="shared" si="89"/>
        <v>1+15.058537621942i</v>
      </c>
      <c r="R89" s="17">
        <f t="shared" si="98"/>
        <v>15.091704851057836</v>
      </c>
      <c r="S89" s="17">
        <f t="shared" si="99"/>
        <v>1.5044861765948503</v>
      </c>
      <c r="T89" s="17" t="str">
        <f t="shared" si="90"/>
        <v>1+9.667209337543E-10i</v>
      </c>
      <c r="U89" s="17">
        <f t="shared" si="100"/>
        <v>1</v>
      </c>
      <c r="V89" s="17">
        <f t="shared" si="101"/>
        <v>9.6672093375429999E-10</v>
      </c>
      <c r="W89" s="31" t="str">
        <f t="shared" si="91"/>
        <v>1-0.000522029304227321i</v>
      </c>
      <c r="X89" s="17">
        <f t="shared" si="102"/>
        <v>1.0000001362572879</v>
      </c>
      <c r="Y89" s="17">
        <f t="shared" si="103"/>
        <v>-5.2202925680712735E-4</v>
      </c>
      <c r="Z89" s="31" t="str">
        <f t="shared" si="92"/>
        <v>0.999998947892803+0.0318561102660653i</v>
      </c>
      <c r="AA89" s="17">
        <f t="shared" si="104"/>
        <v>1.000506225641798</v>
      </c>
      <c r="AB89" s="17">
        <f t="shared" si="105"/>
        <v>3.1845374319648644E-2</v>
      </c>
      <c r="AC89" s="66" t="str">
        <f t="shared" si="106"/>
        <v>115.077874645997-3389.05024754886i</v>
      </c>
      <c r="AD89" s="64">
        <f t="shared" si="107"/>
        <v>70.606564670239806</v>
      </c>
      <c r="AE89" s="61">
        <f t="shared" si="108"/>
        <v>-88.05522381799733</v>
      </c>
      <c r="AF89" s="31" t="str">
        <f t="shared" si="93"/>
        <v>-1.33333333333333E-06</v>
      </c>
      <c r="AG89" s="31" t="str">
        <f t="shared" si="94"/>
        <v>0.000322562551562685i</v>
      </c>
      <c r="AH89" s="31">
        <f t="shared" si="109"/>
        <v>3.2256255156268499E-4</v>
      </c>
      <c r="AI89" s="31">
        <f t="shared" si="110"/>
        <v>1.5707963267948966</v>
      </c>
      <c r="AJ89" s="31" t="str">
        <f t="shared" si="95"/>
        <v>1+0.00104301559286178i</v>
      </c>
      <c r="AK89" s="31">
        <f t="shared" si="111"/>
        <v>1.0000005439406154</v>
      </c>
      <c r="AL89" s="31">
        <f t="shared" si="112"/>
        <v>1.0430152146362283E-3</v>
      </c>
      <c r="AM89" s="31" t="str">
        <f t="shared" si="96"/>
        <v>1+1.04405860845464i</v>
      </c>
      <c r="AN89" s="31">
        <f t="shared" si="113"/>
        <v>1.4457034197539407</v>
      </c>
      <c r="AO89" s="31">
        <f t="shared" si="114"/>
        <v>0.80694930045006097</v>
      </c>
      <c r="AP89" s="58" t="str">
        <f t="shared" si="115"/>
        <v>-0.00431136825248367+0.00413806200996199i</v>
      </c>
      <c r="AQ89" s="49">
        <f t="shared" si="116"/>
        <v>-44.471924742621376</v>
      </c>
      <c r="AR89" s="61">
        <f t="shared" si="117"/>
        <v>136.1750288270562</v>
      </c>
      <c r="AS89" s="58" t="str">
        <f t="shared" si="118"/>
        <v>13.5279569839222+15.0876430246138i</v>
      </c>
      <c r="AT89" s="64">
        <f t="shared" si="119"/>
        <v>26.134639927618419</v>
      </c>
      <c r="AU89" s="61">
        <f t="shared" si="120"/>
        <v>48.119805009058709</v>
      </c>
    </row>
    <row r="90" spans="14:47" x14ac:dyDescent="0.3">
      <c r="N90" s="10">
        <v>72</v>
      </c>
      <c r="O90" s="50">
        <f t="shared" si="97"/>
        <v>52.480746024977286</v>
      </c>
      <c r="P90" s="48" t="str">
        <f t="shared" si="88"/>
        <v>51201.9230769231</v>
      </c>
      <c r="Q90" s="17" t="str">
        <f t="shared" si="89"/>
        <v>1+15.4092960225293i</v>
      </c>
      <c r="R90" s="17">
        <f t="shared" si="98"/>
        <v>15.441709876498045</v>
      </c>
      <c r="S90" s="17">
        <f t="shared" si="99"/>
        <v>1.505991308470831</v>
      </c>
      <c r="T90" s="17" t="str">
        <f t="shared" si="90"/>
        <v>1+9.89238757001884E-10i</v>
      </c>
      <c r="U90" s="17">
        <f t="shared" si="100"/>
        <v>1</v>
      </c>
      <c r="V90" s="17">
        <f t="shared" si="101"/>
        <v>9.8923875700188392E-10</v>
      </c>
      <c r="W90" s="31" t="str">
        <f t="shared" si="91"/>
        <v>1-0.000534188928781017i</v>
      </c>
      <c r="X90" s="17">
        <f t="shared" si="102"/>
        <v>1.0000001426788956</v>
      </c>
      <c r="Y90" s="17">
        <f t="shared" si="103"/>
        <v>-5.3418887796936453E-4</v>
      </c>
      <c r="Z90" s="31" t="str">
        <f t="shared" si="92"/>
        <v>0.999998898308519+0.0325981343965876i</v>
      </c>
      <c r="AA90" s="17">
        <f t="shared" si="104"/>
        <v>1.000530077001381</v>
      </c>
      <c r="AB90" s="17">
        <f t="shared" si="105"/>
        <v>3.2586630951881773E-2</v>
      </c>
      <c r="AC90" s="66" t="str">
        <f t="shared" si="106"/>
        <v>104.985874554785-3312.39995151432i</v>
      </c>
      <c r="AD90" s="64">
        <f t="shared" si="107"/>
        <v>70.407215954268295</v>
      </c>
      <c r="AE90" s="61">
        <f t="shared" si="108"/>
        <v>-88.184629092347549</v>
      </c>
      <c r="AF90" s="31" t="str">
        <f t="shared" si="93"/>
        <v>-1.33333333333333E-06</v>
      </c>
      <c r="AG90" s="31" t="str">
        <f t="shared" si="94"/>
        <v>0.000330075998586295i</v>
      </c>
      <c r="AH90" s="31">
        <f t="shared" si="109"/>
        <v>3.3007599858629502E-4</v>
      </c>
      <c r="AI90" s="31">
        <f t="shared" si="110"/>
        <v>1.5707963267948966</v>
      </c>
      <c r="AJ90" s="31" t="str">
        <f t="shared" si="95"/>
        <v>1+0.00106731054701502i</v>
      </c>
      <c r="AK90" s="31">
        <f t="shared" si="111"/>
        <v>1.0000005695757397</v>
      </c>
      <c r="AL90" s="31">
        <f t="shared" si="112"/>
        <v>1.0673101417390521E-3</v>
      </c>
      <c r="AM90" s="31" t="str">
        <f t="shared" si="96"/>
        <v>1+1.06837785756203i</v>
      </c>
      <c r="AN90" s="31">
        <f t="shared" si="113"/>
        <v>1.4633629920593294</v>
      </c>
      <c r="AO90" s="31">
        <f t="shared" si="114"/>
        <v>0.81844481592653606</v>
      </c>
      <c r="AP90" s="58" t="str">
        <f t="shared" si="115"/>
        <v>-0.00431136803143888+0.00404407532323444i</v>
      </c>
      <c r="AQ90" s="49">
        <f t="shared" si="116"/>
        <v>-44.566467778253653</v>
      </c>
      <c r="AR90" s="61">
        <f t="shared" si="117"/>
        <v>136.83228135039892</v>
      </c>
      <c r="AS90" s="58" t="str">
        <f t="shared" si="118"/>
        <v>12.9429621612939+14.7055460428737i</v>
      </c>
      <c r="AT90" s="64">
        <f t="shared" si="119"/>
        <v>25.840748176014642</v>
      </c>
      <c r="AU90" s="61">
        <f t="shared" si="120"/>
        <v>48.647652258051252</v>
      </c>
    </row>
    <row r="91" spans="14:47" x14ac:dyDescent="0.3">
      <c r="N91" s="10">
        <v>73</v>
      </c>
      <c r="O91" s="50">
        <f t="shared" si="97"/>
        <v>53.703179637025293</v>
      </c>
      <c r="P91" s="48" t="str">
        <f t="shared" si="88"/>
        <v>51201.9230769231</v>
      </c>
      <c r="Q91" s="17" t="str">
        <f t="shared" si="89"/>
        <v>1+15.7682246358339i</v>
      </c>
      <c r="R91" s="17">
        <f t="shared" si="98"/>
        <v>15.799902156852713</v>
      </c>
      <c r="S91" s="17">
        <f t="shared" si="99"/>
        <v>1.5074624635369773</v>
      </c>
      <c r="T91" s="17" t="str">
        <f t="shared" si="90"/>
        <v>1+1.01228108773255E-09i</v>
      </c>
      <c r="U91" s="17">
        <f t="shared" si="100"/>
        <v>1</v>
      </c>
      <c r="V91" s="17">
        <f t="shared" si="101"/>
        <v>1.0122810877325499E-9</v>
      </c>
      <c r="W91" s="31" t="str">
        <f t="shared" si="91"/>
        <v>1-0.000546631787375576i</v>
      </c>
      <c r="X91" s="17">
        <f t="shared" si="102"/>
        <v>1.0000001494031443</v>
      </c>
      <c r="Y91" s="17">
        <f t="shared" si="103"/>
        <v>-5.466317329299098E-4</v>
      </c>
      <c r="Z91" s="31" t="str">
        <f t="shared" si="92"/>
        <v>0.999998846387399+0.0333574424894543i</v>
      </c>
      <c r="AA91" s="17">
        <f t="shared" si="104"/>
        <v>1.0005550518315154</v>
      </c>
      <c r="AB91" s="17">
        <f t="shared" si="105"/>
        <v>3.3345116695650281E-2</v>
      </c>
      <c r="AC91" s="66" t="str">
        <f t="shared" si="106"/>
        <v>95.3448462075827-3237.44718655117i</v>
      </c>
      <c r="AD91" s="64">
        <f t="shared" si="107"/>
        <v>70.20781902183289</v>
      </c>
      <c r="AE91" s="61">
        <f t="shared" si="108"/>
        <v>-88.31309102233989</v>
      </c>
      <c r="AF91" s="31" t="str">
        <f t="shared" si="93"/>
        <v>-1.33333333333333E-06</v>
      </c>
      <c r="AG91" s="31" t="str">
        <f t="shared" si="94"/>
        <v>0.000337764456273428i</v>
      </c>
      <c r="AH91" s="31">
        <f t="shared" si="109"/>
        <v>3.37764456273428E-4</v>
      </c>
      <c r="AI91" s="31">
        <f t="shared" si="110"/>
        <v>1.5707963267948966</v>
      </c>
      <c r="AJ91" s="31" t="str">
        <f t="shared" si="95"/>
        <v>1+0.0010921714033478i</v>
      </c>
      <c r="AK91" s="31">
        <f t="shared" si="111"/>
        <v>1.0000005964190093</v>
      </c>
      <c r="AL91" s="31">
        <f t="shared" si="112"/>
        <v>1.0921709690867904E-3</v>
      </c>
      <c r="AM91" s="31" t="str">
        <f t="shared" si="96"/>
        <v>1+1.09326357475115i</v>
      </c>
      <c r="AN91" s="31">
        <f t="shared" si="113"/>
        <v>1.4816292531796418</v>
      </c>
      <c r="AO91" s="31">
        <f t="shared" si="114"/>
        <v>0.82992286522325487</v>
      </c>
      <c r="AP91" s="58" t="str">
        <f t="shared" si="115"/>
        <v>-0.00431136779997659+0.00395223285875068i</v>
      </c>
      <c r="AQ91" s="49">
        <f t="shared" si="116"/>
        <v>-44.65871848299075</v>
      </c>
      <c r="AR91" s="61">
        <f t="shared" si="117"/>
        <v>137.48850071166186</v>
      </c>
      <c r="AS91" s="58" t="str">
        <f t="shared" si="118"/>
        <v>12.3840784493244+14.3346505883157i</v>
      </c>
      <c r="AT91" s="64">
        <f t="shared" si="119"/>
        <v>25.549100538842154</v>
      </c>
      <c r="AU91" s="61">
        <f t="shared" si="120"/>
        <v>49.175409689322009</v>
      </c>
    </row>
    <row r="92" spans="14:47" x14ac:dyDescent="0.3">
      <c r="N92" s="10">
        <v>74</v>
      </c>
      <c r="O92" s="50">
        <f t="shared" si="97"/>
        <v>54.95408738576247</v>
      </c>
      <c r="P92" s="48" t="str">
        <f t="shared" si="88"/>
        <v>51201.9230769231</v>
      </c>
      <c r="Q92" s="17" t="str">
        <f t="shared" si="89"/>
        <v>1+16.1355137705576i</v>
      </c>
      <c r="R92" s="17">
        <f t="shared" si="98"/>
        <v>16.166471619987274</v>
      </c>
      <c r="S92" s="17">
        <f t="shared" si="99"/>
        <v>1.5089003963326864</v>
      </c>
      <c r="T92" s="17" t="str">
        <f t="shared" si="90"/>
        <v>1+1.03586014329506E-09i</v>
      </c>
      <c r="U92" s="17">
        <f t="shared" si="100"/>
        <v>1</v>
      </c>
      <c r="V92" s="17">
        <f t="shared" si="101"/>
        <v>1.0358601432950601E-9</v>
      </c>
      <c r="W92" s="31" t="str">
        <f t="shared" si="91"/>
        <v>1-0.000559364477379331i</v>
      </c>
      <c r="X92" s="17">
        <f t="shared" si="102"/>
        <v>1.0000001564442971</v>
      </c>
      <c r="Y92" s="17">
        <f t="shared" si="103"/>
        <v>-5.593644190397491E-4</v>
      </c>
      <c r="Z92" s="31" t="str">
        <f t="shared" si="92"/>
        <v>0.999998792019312+0.0341344371398669i</v>
      </c>
      <c r="AA92" s="17">
        <f t="shared" si="104"/>
        <v>1.0005812030209935</v>
      </c>
      <c r="AB92" s="17">
        <f t="shared" si="105"/>
        <v>3.4121230228156649E-2</v>
      </c>
      <c r="AC92" s="66" t="str">
        <f t="shared" si="106"/>
        <v>86.1348412304287-3164.15610397407i</v>
      </c>
      <c r="AD92" s="64">
        <f t="shared" si="107"/>
        <v>70.008375132272221</v>
      </c>
      <c r="AE92" s="61">
        <f t="shared" si="108"/>
        <v>-88.440676060418056</v>
      </c>
      <c r="AF92" s="31" t="str">
        <f t="shared" si="93"/>
        <v>-1.33333333333333E-06</v>
      </c>
      <c r="AG92" s="31" t="str">
        <f t="shared" si="94"/>
        <v>0.000345632001146118i</v>
      </c>
      <c r="AH92" s="31">
        <f t="shared" si="109"/>
        <v>3.4563200114611799E-4</v>
      </c>
      <c r="AI92" s="31">
        <f t="shared" si="110"/>
        <v>1.5707963267948966</v>
      </c>
      <c r="AJ92" s="31" t="str">
        <f t="shared" si="95"/>
        <v>1+0.00111761134341525i</v>
      </c>
      <c r="AK92" s="31">
        <f t="shared" si="111"/>
        <v>1.0000006245273625</v>
      </c>
      <c r="AL92" s="31">
        <f t="shared" si="112"/>
        <v>1.1176108780962103E-3</v>
      </c>
      <c r="AM92" s="31" t="str">
        <f t="shared" si="96"/>
        <v>1+1.11872895475866i</v>
      </c>
      <c r="AN92" s="31">
        <f t="shared" si="113"/>
        <v>1.5005180686067743</v>
      </c>
      <c r="AO92" s="31">
        <f t="shared" si="114"/>
        <v>0.84137743771280182</v>
      </c>
      <c r="AP92" s="58" t="str">
        <f t="shared" si="115"/>
        <v>-0.00431136755760586+0.0038624859204188i</v>
      </c>
      <c r="AQ92" s="49">
        <f t="shared" si="116"/>
        <v>-44.748685021483851</v>
      </c>
      <c r="AR92" s="61">
        <f t="shared" si="117"/>
        <v>138.14334177202207</v>
      </c>
      <c r="AS92" s="58" t="str">
        <f t="shared" si="118"/>
        <v>11.8501494415466+13.9745345853844i</v>
      </c>
      <c r="AT92" s="64">
        <f t="shared" si="119"/>
        <v>25.259690110788355</v>
      </c>
      <c r="AU92" s="61">
        <f t="shared" si="120"/>
        <v>49.702665711604155</v>
      </c>
    </row>
    <row r="93" spans="14:47" x14ac:dyDescent="0.3">
      <c r="N93" s="10">
        <v>75</v>
      </c>
      <c r="O93" s="50">
        <f t="shared" si="97"/>
        <v>56.234132519034915</v>
      </c>
      <c r="P93" s="48" t="str">
        <f t="shared" si="88"/>
        <v>51201.9230769231</v>
      </c>
      <c r="Q93" s="17" t="str">
        <f t="shared" si="89"/>
        <v>1+16.5113581682612i</v>
      </c>
      <c r="R93" s="17">
        <f t="shared" si="98"/>
        <v>16.541612634825114</v>
      </c>
      <c r="S93" s="17">
        <f t="shared" si="99"/>
        <v>1.5103058454703984</v>
      </c>
      <c r="T93" s="17" t="str">
        <f t="shared" si="90"/>
        <v>1+1.05998842561677E-09i</v>
      </c>
      <c r="U93" s="17">
        <f t="shared" si="100"/>
        <v>1</v>
      </c>
      <c r="V93" s="17">
        <f t="shared" si="101"/>
        <v>1.0599884256167699E-9</v>
      </c>
      <c r="W93" s="31" t="str">
        <f t="shared" si="91"/>
        <v>1-0.000572393749833056i</v>
      </c>
      <c r="X93" s="17">
        <f t="shared" si="102"/>
        <v>1.0000001638172891</v>
      </c>
      <c r="Y93" s="17">
        <f t="shared" si="103"/>
        <v>-5.7239368732106826E-4</v>
      </c>
      <c r="Z93" s="31" t="str">
        <f t="shared" si="92"/>
        <v>0.999998735088936+0.0349295303206737i</v>
      </c>
      <c r="AA93" s="17">
        <f t="shared" si="104"/>
        <v>1.0006085859455207</v>
      </c>
      <c r="AB93" s="17">
        <f t="shared" si="105"/>
        <v>3.4915379324633809E-2</v>
      </c>
      <c r="AC93" s="66" t="str">
        <f t="shared" si="106"/>
        <v>77.3367817018434-3092.49147987076i</v>
      </c>
      <c r="AD93" s="64">
        <f t="shared" si="107"/>
        <v>69.808885447334944</v>
      </c>
      <c r="AE93" s="61">
        <f t="shared" si="108"/>
        <v>-88.567450276561743</v>
      </c>
      <c r="AF93" s="31" t="str">
        <f t="shared" si="93"/>
        <v>-1.33333333333333E-06</v>
      </c>
      <c r="AG93" s="31" t="str">
        <f t="shared" si="94"/>
        <v>0.000353682804680796i</v>
      </c>
      <c r="AH93" s="31">
        <f t="shared" si="109"/>
        <v>3.5368280468079597E-4</v>
      </c>
      <c r="AI93" s="31">
        <f t="shared" si="110"/>
        <v>1.5707963267948966</v>
      </c>
      <c r="AJ93" s="31" t="str">
        <f t="shared" si="95"/>
        <v>1+0.0011436438558103i</v>
      </c>
      <c r="AK93" s="31">
        <f t="shared" si="111"/>
        <v>1.0000006539604205</v>
      </c>
      <c r="AL93" s="31">
        <f t="shared" si="112"/>
        <v>1.1436433572119835E-3</v>
      </c>
      <c r="AM93" s="31" t="str">
        <f t="shared" si="96"/>
        <v>1+1.14478749966611i</v>
      </c>
      <c r="AN93" s="31">
        <f t="shared" si="113"/>
        <v>1.5200455320127038</v>
      </c>
      <c r="AO93" s="31">
        <f t="shared" si="114"/>
        <v>0.85280258436091705</v>
      </c>
      <c r="AP93" s="58" t="str">
        <f t="shared" si="115"/>
        <v>-0.00431136730381256+0.00377478692322242i</v>
      </c>
      <c r="AQ93" s="49">
        <f t="shared" si="116"/>
        <v>-44.8363779216279</v>
      </c>
      <c r="AR93" s="61">
        <f t="shared" si="117"/>
        <v>138.79646290409352</v>
      </c>
      <c r="AS93" s="58" t="str">
        <f t="shared" si="118"/>
        <v>11.3400691263815+13.6247965258859i</v>
      </c>
      <c r="AT93" s="64">
        <f t="shared" si="119"/>
        <v>24.97250752570703</v>
      </c>
      <c r="AU93" s="61">
        <f t="shared" si="120"/>
        <v>50.229012627531638</v>
      </c>
    </row>
    <row r="94" spans="14:47" x14ac:dyDescent="0.3">
      <c r="N94" s="10">
        <v>76</v>
      </c>
      <c r="O94" s="50">
        <f t="shared" si="97"/>
        <v>57.543993733715695</v>
      </c>
      <c r="P94" s="48" t="str">
        <f t="shared" si="88"/>
        <v>51201.9230769231</v>
      </c>
      <c r="Q94" s="17" t="str">
        <f t="shared" si="89"/>
        <v>1+16.8959571066193i</v>
      </c>
      <c r="R94" s="17">
        <f t="shared" si="98"/>
        <v>16.925524114446773</v>
      </c>
      <c r="S94" s="17">
        <f t="shared" si="99"/>
        <v>1.5116795339159834</v>
      </c>
      <c r="T94" s="17" t="str">
        <f t="shared" si="90"/>
        <v>1+1.08467872783235E-09i</v>
      </c>
      <c r="U94" s="17">
        <f t="shared" si="100"/>
        <v>1</v>
      </c>
      <c r="V94" s="17">
        <f t="shared" si="101"/>
        <v>1.08467872783235E-9</v>
      </c>
      <c r="W94" s="31" t="str">
        <f t="shared" si="91"/>
        <v>1-0.000585726513029469i</v>
      </c>
      <c r="X94" s="17">
        <f t="shared" si="102"/>
        <v>1.0000001715377593</v>
      </c>
      <c r="Y94" s="17">
        <f t="shared" si="103"/>
        <v>-5.8572644604666798E-4</v>
      </c>
      <c r="Z94" s="31" t="str">
        <f t="shared" si="92"/>
        <v>0.999998675475514+0.0357431436008035i</v>
      </c>
      <c r="AA94" s="17">
        <f t="shared" si="104"/>
        <v>1.0006372585843732</v>
      </c>
      <c r="AB94" s="17">
        <f t="shared" si="105"/>
        <v>3.5727981056853542E-2</v>
      </c>
      <c r="AC94" s="66" t="str">
        <f t="shared" si="106"/>
        <v>68.9324234957246-3022.41871317998i</v>
      </c>
      <c r="AD94" s="64">
        <f t="shared" si="107"/>
        <v>69.609351033494903</v>
      </c>
      <c r="AE94" s="61">
        <f t="shared" si="108"/>
        <v>-88.693479385930459</v>
      </c>
      <c r="AF94" s="31" t="str">
        <f t="shared" si="93"/>
        <v>-1.33333333333333E-06</v>
      </c>
      <c r="AG94" s="31" t="str">
        <f t="shared" si="94"/>
        <v>0.000361921135520061i</v>
      </c>
      <c r="AH94" s="31">
        <f t="shared" si="109"/>
        <v>3.6192113552006101E-4</v>
      </c>
      <c r="AI94" s="31">
        <f t="shared" si="110"/>
        <v>1.5707963267948966</v>
      </c>
      <c r="AJ94" s="31" t="str">
        <f t="shared" si="95"/>
        <v>1+0.00117028274331562i</v>
      </c>
      <c r="AK94" s="31">
        <f t="shared" si="111"/>
        <v>1.0000006847806153</v>
      </c>
      <c r="AL94" s="31">
        <f t="shared" si="112"/>
        <v>1.170282209057918E-3</v>
      </c>
      <c r="AM94" s="31" t="str">
        <f t="shared" si="96"/>
        <v>1+1.17145302605894i</v>
      </c>
      <c r="AN94" s="31">
        <f t="shared" si="113"/>
        <v>1.5402279676277297</v>
      </c>
      <c r="AO94" s="31">
        <f t="shared" si="114"/>
        <v>0.86419243290704972</v>
      </c>
      <c r="AP94" s="58" t="str">
        <f t="shared" si="115"/>
        <v>-0.0043113670380584+0.00368908936799059i</v>
      </c>
      <c r="AQ94" s="49">
        <f t="shared" si="116"/>
        <v>-44.921810030642703</v>
      </c>
      <c r="AR94" s="61">
        <f t="shared" si="117"/>
        <v>139.44752686129823</v>
      </c>
      <c r="AS94" s="58" t="str">
        <f t="shared" si="118"/>
        <v>10.8527797618951+13.285054285843i</v>
      </c>
      <c r="AT94" s="64">
        <f t="shared" si="119"/>
        <v>24.687541002852221</v>
      </c>
      <c r="AU94" s="61">
        <f t="shared" si="120"/>
        <v>50.754047475367898</v>
      </c>
    </row>
    <row r="95" spans="14:47" x14ac:dyDescent="0.3">
      <c r="N95" s="10">
        <v>77</v>
      </c>
      <c r="O95" s="50">
        <f t="shared" si="97"/>
        <v>58.884365535558949</v>
      </c>
      <c r="P95" s="48" t="str">
        <f t="shared" si="88"/>
        <v>51201.9230769231</v>
      </c>
      <c r="Q95" s="17" t="str">
        <f t="shared" si="89"/>
        <v>1+17.2895145050798i</v>
      </c>
      <c r="R95" s="17">
        <f t="shared" si="98"/>
        <v>17.318409621595304</v>
      </c>
      <c r="S95" s="17">
        <f t="shared" si="99"/>
        <v>1.5130221692681007</v>
      </c>
      <c r="T95" s="17" t="str">
        <f t="shared" si="90"/>
        <v>1+1.10994414106685E-09i</v>
      </c>
      <c r="U95" s="17">
        <f t="shared" si="100"/>
        <v>1</v>
      </c>
      <c r="V95" s="17">
        <f t="shared" si="101"/>
        <v>1.10994414106685E-9</v>
      </c>
      <c r="W95" s="31" t="str">
        <f t="shared" si="91"/>
        <v>1-0.000599369836176098i</v>
      </c>
      <c r="X95" s="17">
        <f t="shared" si="102"/>
        <v>1.0000001796220841</v>
      </c>
      <c r="Y95" s="17">
        <f t="shared" si="103"/>
        <v>-5.9936976440273424E-4</v>
      </c>
      <c r="Z95" s="31" t="str">
        <f t="shared" si="92"/>
        <v>0.999998613052598+0.0365757083687869i</v>
      </c>
      <c r="AA95" s="17">
        <f t="shared" si="104"/>
        <v>1.0006672816425037</v>
      </c>
      <c r="AB95" s="17">
        <f t="shared" si="105"/>
        <v>3.6559461995306124E-2</v>
      </c>
      <c r="AC95" s="66" t="str">
        <f t="shared" si="106"/>
        <v>60.9043210630485-2953.90382302104i</v>
      </c>
      <c r="AD95" s="64">
        <f t="shared" si="107"/>
        <v>69.409772864079542</v>
      </c>
      <c r="AE95" s="61">
        <f t="shared" si="108"/>
        <v>-88.818828776663509</v>
      </c>
      <c r="AF95" s="31" t="str">
        <f t="shared" si="93"/>
        <v>-1.33333333333333E-06</v>
      </c>
      <c r="AG95" s="31" t="str">
        <f t="shared" si="94"/>
        <v>0.000370351361735972i</v>
      </c>
      <c r="AH95" s="31">
        <f t="shared" si="109"/>
        <v>3.7035136173597201E-4</v>
      </c>
      <c r="AI95" s="31">
        <f t="shared" si="110"/>
        <v>1.5707963267948966</v>
      </c>
      <c r="AJ95" s="31" t="str">
        <f t="shared" si="95"/>
        <v>1+0.00119754213022197i</v>
      </c>
      <c r="AK95" s="31">
        <f t="shared" si="111"/>
        <v>1.0000007170533198</v>
      </c>
      <c r="AL95" s="31">
        <f t="shared" si="112"/>
        <v>1.1975415577545505E-3</v>
      </c>
      <c r="AM95" s="31" t="str">
        <f t="shared" si="96"/>
        <v>1+1.1987396723522i</v>
      </c>
      <c r="AN95" s="31">
        <f t="shared" si="113"/>
        <v>1.5610819331704084</v>
      </c>
      <c r="AO95" s="31">
        <f t="shared" si="114"/>
        <v>0.87554120256006962</v>
      </c>
      <c r="AP95" s="58" t="str">
        <f t="shared" si="115"/>
        <v>-0.00431136675977966+0.0036053478167432i</v>
      </c>
      <c r="AQ95" s="49">
        <f t="shared" si="116"/>
        <v>-45.004996461892176</v>
      </c>
      <c r="AR95" s="61">
        <f t="shared" si="117"/>
        <v>140.09620161944983</v>
      </c>
      <c r="AS95" s="58" t="str">
        <f t="shared" si="118"/>
        <v>10.3872698338401+12.9549440151339i</v>
      </c>
      <c r="AT95" s="64">
        <f t="shared" si="119"/>
        <v>24.404776402187373</v>
      </c>
      <c r="AU95" s="61">
        <f t="shared" si="120"/>
        <v>51.277372842786484</v>
      </c>
    </row>
    <row r="96" spans="14:47" x14ac:dyDescent="0.3">
      <c r="N96" s="10">
        <v>78</v>
      </c>
      <c r="O96" s="50">
        <f t="shared" si="97"/>
        <v>60.255958607435822</v>
      </c>
      <c r="P96" s="48" t="str">
        <f t="shared" si="88"/>
        <v>51201.9230769231</v>
      </c>
      <c r="Q96" s="17" t="str">
        <f t="shared" si="89"/>
        <v>1+17.6922390329846i</v>
      </c>
      <c r="R96" s="17">
        <f t="shared" si="98"/>
        <v>17.720477476644465</v>
      </c>
      <c r="S96" s="17">
        <f t="shared" si="99"/>
        <v>1.5143344440362116</v>
      </c>
      <c r="T96" s="17" t="str">
        <f t="shared" si="90"/>
        <v>1+1.13579806137679E-09i</v>
      </c>
      <c r="U96" s="17">
        <f t="shared" si="100"/>
        <v>1</v>
      </c>
      <c r="V96" s="17">
        <f t="shared" si="101"/>
        <v>1.13579806137679E-9</v>
      </c>
      <c r="W96" s="31" t="str">
        <f t="shared" si="91"/>
        <v>1-0.000613330953143464i</v>
      </c>
      <c r="X96" s="17">
        <f t="shared" si="102"/>
        <v>1.0000001880874114</v>
      </c>
      <c r="Y96" s="17">
        <f t="shared" si="103"/>
        <v>-6.1333087623691997E-4</v>
      </c>
      <c r="Z96" s="31" t="str">
        <f t="shared" si="92"/>
        <v>0.999998547687781+0.0374276660614842i</v>
      </c>
      <c r="AA96" s="17">
        <f t="shared" si="104"/>
        <v>1.0006987186783449</v>
      </c>
      <c r="AB96" s="17">
        <f t="shared" si="105"/>
        <v>3.7410258415070272E-2</v>
      </c>
      <c r="AC96" s="66" t="str">
        <f t="shared" si="106"/>
        <v>53.2357936059603-2886.91344534157i</v>
      </c>
      <c r="AD96" s="64">
        <f t="shared" si="107"/>
        <v>69.210151821214978</v>
      </c>
      <c r="AE96" s="61">
        <f t="shared" si="108"/>
        <v>-88.943563537819188</v>
      </c>
      <c r="AF96" s="31" t="str">
        <f t="shared" si="93"/>
        <v>-1.33333333333333E-06</v>
      </c>
      <c r="AG96" s="31" t="str">
        <f t="shared" si="94"/>
        <v>0.000378977953146054i</v>
      </c>
      <c r="AH96" s="31">
        <f t="shared" si="109"/>
        <v>3.7897795314605401E-4</v>
      </c>
      <c r="AI96" s="31">
        <f t="shared" si="110"/>
        <v>1.5707963267948966</v>
      </c>
      <c r="AJ96" s="31" t="str">
        <f t="shared" si="95"/>
        <v>1+0.00122543646981711i</v>
      </c>
      <c r="AK96" s="31">
        <f t="shared" si="111"/>
        <v>1.000000750846989</v>
      </c>
      <c r="AL96" s="31">
        <f t="shared" si="112"/>
        <v>1.2254358564072435E-3</v>
      </c>
      <c r="AM96" s="31" t="str">
        <f t="shared" si="96"/>
        <v>1+1.22666190628693i</v>
      </c>
      <c r="AN96" s="31">
        <f t="shared" si="113"/>
        <v>1.5826242233504089</v>
      </c>
      <c r="AO96" s="31">
        <f t="shared" si="114"/>
        <v>0.88684321812212552</v>
      </c>
      <c r="AP96" s="58" t="str">
        <f t="shared" si="115"/>
        <v>-0.00431136646838608+0.00352351786859927i</v>
      </c>
      <c r="AQ96" s="49">
        <f t="shared" si="116"/>
        <v>-45.085954532904566</v>
      </c>
      <c r="AR96" s="61">
        <f t="shared" si="117"/>
        <v>140.74216118556151</v>
      </c>
      <c r="AS96" s="58" t="str">
        <f t="shared" si="118"/>
        <v>9.94257209428985+12.6341190953982i</v>
      </c>
      <c r="AT96" s="64">
        <f t="shared" si="119"/>
        <v>24.124197288310398</v>
      </c>
      <c r="AU96" s="61">
        <f t="shared" si="120"/>
        <v>51.798597647742227</v>
      </c>
    </row>
    <row r="97" spans="14:47" x14ac:dyDescent="0.3">
      <c r="N97" s="10">
        <v>79</v>
      </c>
      <c r="O97" s="50">
        <f t="shared" si="97"/>
        <v>61.659500186148257</v>
      </c>
      <c r="P97" s="48" t="str">
        <f t="shared" si="88"/>
        <v>51201.9230769231</v>
      </c>
      <c r="Q97" s="17" t="str">
        <f t="shared" si="89"/>
        <v>1+18.1043442202091i</v>
      </c>
      <c r="R97" s="17">
        <f t="shared" si="98"/>
        <v>18.131940868087415</v>
      </c>
      <c r="S97" s="17">
        <f t="shared" si="99"/>
        <v>1.5156170359169576</v>
      </c>
      <c r="T97" s="17" t="str">
        <f t="shared" si="90"/>
        <v>1+1.16225419685293E-09i</v>
      </c>
      <c r="U97" s="17">
        <f t="shared" si="100"/>
        <v>1</v>
      </c>
      <c r="V97" s="17">
        <f t="shared" si="101"/>
        <v>1.16225419685293E-9</v>
      </c>
      <c r="W97" s="31" t="str">
        <f t="shared" si="91"/>
        <v>1-0.000627617266300583i</v>
      </c>
      <c r="X97" s="17">
        <f t="shared" si="102"/>
        <v>1.0000001969516972</v>
      </c>
      <c r="Y97" s="17">
        <f t="shared" si="103"/>
        <v>-6.2761718389373717E-4</v>
      </c>
      <c r="Z97" s="31" t="str">
        <f t="shared" si="92"/>
        <v>0.999998479242415+0.038299468398141i</v>
      </c>
      <c r="AA97" s="17">
        <f t="shared" si="104"/>
        <v>1.0007316362375696</v>
      </c>
      <c r="AB97" s="17">
        <f t="shared" si="105"/>
        <v>3.8280816505387116E-2</v>
      </c>
      <c r="AC97" s="66" t="str">
        <f t="shared" si="106"/>
        <v>45.9108925984039-2821.41482894549i</v>
      </c>
      <c r="AD97" s="64">
        <f t="shared" si="107"/>
        <v>69.010488697591285</v>
      </c>
      <c r="AE97" s="61">
        <f t="shared" si="108"/>
        <v>-89.067748487437527</v>
      </c>
      <c r="AF97" s="31" t="str">
        <f t="shared" si="93"/>
        <v>-1.33333333333333E-06</v>
      </c>
      <c r="AG97" s="31" t="str">
        <f t="shared" si="94"/>
        <v>0.000387805483683261i</v>
      </c>
      <c r="AH97" s="31">
        <f t="shared" si="109"/>
        <v>3.87805483683261E-4</v>
      </c>
      <c r="AI97" s="31">
        <f t="shared" si="110"/>
        <v>1.5707963267948966</v>
      </c>
      <c r="AJ97" s="31" t="str">
        <f t="shared" si="95"/>
        <v>1+0.00125398055204912i</v>
      </c>
      <c r="AK97" s="31">
        <f t="shared" si="111"/>
        <v>1.0000007862333034</v>
      </c>
      <c r="AL97" s="31">
        <f t="shared" si="112"/>
        <v>1.2539798947686339E-3</v>
      </c>
      <c r="AM97" s="31" t="str">
        <f t="shared" si="96"/>
        <v>1+1.25523453260117i</v>
      </c>
      <c r="AN97" s="31">
        <f t="shared" si="113"/>
        <v>1.6048718739620549</v>
      </c>
      <c r="AO97" s="31">
        <f t="shared" si="114"/>
        <v>0.89809292346018677</v>
      </c>
      <c r="AP97" s="58" t="str">
        <f t="shared" si="115"/>
        <v>-0.0043113661632596+0.00344355613623486i</v>
      </c>
      <c r="AQ97" s="49">
        <f t="shared" si="116"/>
        <v>-45.164703695127351</v>
      </c>
      <c r="AR97" s="61">
        <f t="shared" si="117"/>
        <v>141.38508636926989</v>
      </c>
      <c r="AS97" s="58" t="str">
        <f t="shared" si="118"/>
        <v>9.51776167820547+12.3222491619617i</v>
      </c>
      <c r="AT97" s="64">
        <f t="shared" si="119"/>
        <v>23.845785002463927</v>
      </c>
      <c r="AU97" s="61">
        <f t="shared" si="120"/>
        <v>52.317337881832323</v>
      </c>
    </row>
    <row r="98" spans="14:47" x14ac:dyDescent="0.3">
      <c r="N98" s="10">
        <v>80</v>
      </c>
      <c r="O98" s="50">
        <f t="shared" si="97"/>
        <v>63.095734448019364</v>
      </c>
      <c r="P98" s="48" t="str">
        <f t="shared" si="88"/>
        <v>51201.9230769231</v>
      </c>
      <c r="Q98" s="17" t="str">
        <f t="shared" si="89"/>
        <v>1+18.5260485703786i</v>
      </c>
      <c r="R98" s="17">
        <f t="shared" si="98"/>
        <v>18.553017965604056</v>
      </c>
      <c r="S98" s="17">
        <f t="shared" si="99"/>
        <v>1.5168706080686341</v>
      </c>
      <c r="T98" s="17" t="str">
        <f t="shared" si="90"/>
        <v>1+1.1893265748885E-09i</v>
      </c>
      <c r="U98" s="17">
        <f t="shared" si="100"/>
        <v>1</v>
      </c>
      <c r="V98" s="17">
        <f t="shared" si="101"/>
        <v>1.1893265748885E-9</v>
      </c>
      <c r="W98" s="31" t="str">
        <f t="shared" si="91"/>
        <v>1-0.00064223635043979i</v>
      </c>
      <c r="X98" s="17">
        <f t="shared" si="102"/>
        <v>1.0000002062337436</v>
      </c>
      <c r="Y98" s="17">
        <f t="shared" si="103"/>
        <v>-6.4223626213926474E-4</v>
      </c>
      <c r="Z98" s="31" t="str">
        <f t="shared" si="92"/>
        <v>0.999998407571318+0.0391915776198958i</v>
      </c>
      <c r="AA98" s="17">
        <f t="shared" si="104"/>
        <v>1.00076610399309</v>
      </c>
      <c r="AB98" s="17">
        <f t="shared" si="105"/>
        <v>3.9171592582947654E-2</v>
      </c>
      <c r="AC98" s="66" t="str">
        <f t="shared" si="106"/>
        <v>38.9143706080947-2757.375830959i</v>
      </c>
      <c r="AD98" s="64">
        <f t="shared" si="107"/>
        <v>68.810784198050342</v>
      </c>
      <c r="AE98" s="61">
        <f t="shared" si="108"/>
        <v>-89.191448200711861</v>
      </c>
      <c r="AF98" s="31" t="str">
        <f t="shared" si="93"/>
        <v>-1.33333333333333E-06</v>
      </c>
      <c r="AG98" s="31" t="str">
        <f t="shared" si="94"/>
        <v>0.00039683863382113i</v>
      </c>
      <c r="AH98" s="31">
        <f t="shared" si="109"/>
        <v>3.9683863382113002E-4</v>
      </c>
      <c r="AI98" s="31">
        <f t="shared" si="110"/>
        <v>1.5707963267948966</v>
      </c>
      <c r="AJ98" s="31" t="str">
        <f t="shared" si="95"/>
        <v>1+0.00128318951136821i</v>
      </c>
      <c r="AK98" s="31">
        <f t="shared" si="111"/>
        <v>1.0000008232873221</v>
      </c>
      <c r="AL98" s="31">
        <f t="shared" si="112"/>
        <v>1.2831888070795115E-3</v>
      </c>
      <c r="AM98" s="31" t="str">
        <f t="shared" si="96"/>
        <v>1+1.28447270087958i</v>
      </c>
      <c r="AN98" s="31">
        <f t="shared" si="113"/>
        <v>1.6278421665827689</v>
      </c>
      <c r="AO98" s="31">
        <f t="shared" si="114"/>
        <v>0.90928489425215475</v>
      </c>
      <c r="AP98" s="58" t="str">
        <f t="shared" si="115"/>
        <v>-0.00431136584375295+0.00336542022287866i</v>
      </c>
      <c r="AQ98" s="49">
        <f t="shared" si="116"/>
        <v>-45.24126545601159</v>
      </c>
      <c r="AR98" s="61">
        <f t="shared" si="117"/>
        <v>142.0246655126837</v>
      </c>
      <c r="AS98" s="58" t="str">
        <f t="shared" si="118"/>
        <v>9.11195429531538+12.0190191857916i</v>
      </c>
      <c r="AT98" s="64">
        <f t="shared" si="119"/>
        <v>23.569518742038753</v>
      </c>
      <c r="AU98" s="61">
        <f t="shared" si="120"/>
        <v>52.833217311971801</v>
      </c>
    </row>
    <row r="99" spans="14:47" x14ac:dyDescent="0.3">
      <c r="N99" s="10">
        <v>81</v>
      </c>
      <c r="O99" s="50">
        <f t="shared" si="97"/>
        <v>64.565422903465588</v>
      </c>
      <c r="P99" s="48" t="str">
        <f t="shared" si="88"/>
        <v>51201.9230769231</v>
      </c>
      <c r="Q99" s="17" t="str">
        <f t="shared" si="89"/>
        <v>1+18.9575756767213i</v>
      </c>
      <c r="R99" s="17">
        <f t="shared" si="98"/>
        <v>18.983932035766856</v>
      </c>
      <c r="S99" s="17">
        <f t="shared" si="99"/>
        <v>1.5180958093835193</v>
      </c>
      <c r="T99" s="17" t="str">
        <f t="shared" si="90"/>
        <v>1+1.21702954961667E-09i</v>
      </c>
      <c r="U99" s="17">
        <f t="shared" si="100"/>
        <v>1</v>
      </c>
      <c r="V99" s="17">
        <f t="shared" si="101"/>
        <v>1.21702954961667E-9</v>
      </c>
      <c r="W99" s="31" t="str">
        <f t="shared" si="91"/>
        <v>1-0.000657195956793003i</v>
      </c>
      <c r="X99" s="17">
        <f t="shared" si="102"/>
        <v>1.0000002159532395</v>
      </c>
      <c r="Y99" s="17">
        <f t="shared" si="103"/>
        <v>-6.5719586217728666E-4</v>
      </c>
      <c r="Z99" s="31" t="str">
        <f t="shared" si="92"/>
        <v>0.999998332522466+0.0401044667348666i</v>
      </c>
      <c r="AA99" s="17">
        <f t="shared" si="104"/>
        <v>1.0008021948915782</v>
      </c>
      <c r="AB99" s="17">
        <f t="shared" si="105"/>
        <v>4.0083053308897977E-2</v>
      </c>
      <c r="AC99" s="66" t="str">
        <f t="shared" si="106"/>
        <v>32.2316513753897-2694.76491178869i</v>
      </c>
      <c r="AD99" s="64">
        <f t="shared" si="107"/>
        <v>68.611038941000018</v>
      </c>
      <c r="AE99" s="61">
        <f t="shared" si="108"/>
        <v>-89.314727038255668</v>
      </c>
      <c r="AF99" s="31" t="str">
        <f t="shared" si="93"/>
        <v>-1.33333333333333E-06</v>
      </c>
      <c r="AG99" s="31" t="str">
        <f t="shared" si="94"/>
        <v>0.00040608219305543i</v>
      </c>
      <c r="AH99" s="31">
        <f t="shared" si="109"/>
        <v>4.0608219305542998E-4</v>
      </c>
      <c r="AI99" s="31">
        <f t="shared" si="110"/>
        <v>1.5707963267948966</v>
      </c>
      <c r="AJ99" s="31" t="str">
        <f t="shared" si="95"/>
        <v>1+0.00131307883475125i</v>
      </c>
      <c r="AK99" s="31">
        <f t="shared" si="111"/>
        <v>1.0000008620876415</v>
      </c>
      <c r="AL99" s="31">
        <f t="shared" si="112"/>
        <v>1.3130780800923482E-3</v>
      </c>
      <c r="AM99" s="31" t="str">
        <f t="shared" si="96"/>
        <v>1+1.31439191358601i</v>
      </c>
      <c r="AN99" s="31">
        <f t="shared" si="113"/>
        <v>1.6515526338873654</v>
      </c>
      <c r="AO99" s="31">
        <f t="shared" si="114"/>
        <v>0.92041384994259201</v>
      </c>
      <c r="AP99" s="58" t="str">
        <f t="shared" si="115"/>
        <v>-0.00431136550918852+0.00328906869983259i</v>
      </c>
      <c r="AQ99" s="49">
        <f t="shared" si="116"/>
        <v>-45.31566329407439</v>
      </c>
      <c r="AR99" s="61">
        <f t="shared" si="117"/>
        <v>142.66059517493753</v>
      </c>
      <c r="AS99" s="58" t="str">
        <f t="shared" si="118"/>
        <v>8.72430449472727+11.7241286117399i</v>
      </c>
      <c r="AT99" s="64">
        <f t="shared" si="119"/>
        <v>23.295375646925631</v>
      </c>
      <c r="AU99" s="61">
        <f t="shared" si="120"/>
        <v>53.345868136681808</v>
      </c>
    </row>
    <row r="100" spans="14:47" x14ac:dyDescent="0.3">
      <c r="N100" s="10">
        <v>82</v>
      </c>
      <c r="O100" s="50">
        <f t="shared" si="97"/>
        <v>66.069344800759623</v>
      </c>
      <c r="P100" s="48" t="str">
        <f t="shared" si="88"/>
        <v>51201.9230769231</v>
      </c>
      <c r="Q100" s="17" t="str">
        <f t="shared" si="89"/>
        <v>1+19.399154340621i</v>
      </c>
      <c r="R100" s="17">
        <f t="shared" si="98"/>
        <v>19.424911560448209</v>
      </c>
      <c r="S100" s="17">
        <f t="shared" si="99"/>
        <v>1.5192932747578491</v>
      </c>
      <c r="T100" s="17" t="str">
        <f t="shared" si="90"/>
        <v>1+1.24537780952135E-09i</v>
      </c>
      <c r="U100" s="17">
        <f t="shared" si="100"/>
        <v>1</v>
      </c>
      <c r="V100" s="17">
        <f t="shared" si="101"/>
        <v>1.2453778095213499E-9</v>
      </c>
      <c r="W100" s="31" t="str">
        <f t="shared" si="91"/>
        <v>1-0.000672504017141526i</v>
      </c>
      <c r="X100" s="17">
        <f t="shared" si="102"/>
        <v>1.000000226130801</v>
      </c>
      <c r="Y100" s="17">
        <f t="shared" si="103"/>
        <v>-6.7250391575896071E-4</v>
      </c>
      <c r="Z100" s="31" t="str">
        <f t="shared" si="92"/>
        <v>0.999998253936671+0.0410386197689457i</v>
      </c>
      <c r="AA100" s="17">
        <f t="shared" si="104"/>
        <v>1.0008399853068077</v>
      </c>
      <c r="AB100" s="17">
        <f t="shared" si="105"/>
        <v>4.101567590955997E-2</v>
      </c>
      <c r="AC100" s="66" t="str">
        <f t="shared" si="106"/>
        <v>25.8488011053882-2633.55112962139i</v>
      </c>
      <c r="AD100" s="64">
        <f t="shared" si="107"/>
        <v>68.411253459654745</v>
      </c>
      <c r="AE100" s="61">
        <f t="shared" si="108"/>
        <v>-89.437649174452844</v>
      </c>
      <c r="AF100" s="31" t="str">
        <f t="shared" si="93"/>
        <v>-1.33333333333333E-06</v>
      </c>
      <c r="AG100" s="31" t="str">
        <f t="shared" si="94"/>
        <v>0.000415541062443622i</v>
      </c>
      <c r="AH100" s="31">
        <f t="shared" si="109"/>
        <v>4.1554106244362201E-4</v>
      </c>
      <c r="AI100" s="31">
        <f t="shared" si="110"/>
        <v>1.5707963267948966</v>
      </c>
      <c r="AJ100" s="31" t="str">
        <f t="shared" si="95"/>
        <v>1+0.00134366436991314i</v>
      </c>
      <c r="AK100" s="31">
        <f t="shared" si="111"/>
        <v>1.0000009027165622</v>
      </c>
      <c r="AL100" s="31">
        <f t="shared" si="112"/>
        <v>1.3436635612815973E-3</v>
      </c>
      <c r="AM100" s="31" t="str">
        <f t="shared" si="96"/>
        <v>1+1.34500803428305i</v>
      </c>
      <c r="AN100" s="31">
        <f t="shared" si="113"/>
        <v>1.6760210655853804</v>
      </c>
      <c r="AO100" s="31">
        <f t="shared" si="114"/>
        <v>0.93147466485154251</v>
      </c>
      <c r="AP100" s="58" t="str">
        <f t="shared" si="115"/>
        <v>-0.00431136515885658+0.00321446108450571i</v>
      </c>
      <c r="AQ100" s="49">
        <f t="shared" si="116"/>
        <v>-45.387922567633453</v>
      </c>
      <c r="AR100" s="61">
        <f t="shared" si="117"/>
        <v>143.29258076820932</v>
      </c>
      <c r="AS100" s="58" t="str">
        <f t="shared" si="118"/>
        <v>8.35400399974003+11.4372905495514i</v>
      </c>
      <c r="AT100" s="64">
        <f t="shared" si="119"/>
        <v>23.023330892021264</v>
      </c>
      <c r="AU100" s="61">
        <f t="shared" si="120"/>
        <v>53.854931593756376</v>
      </c>
    </row>
    <row r="101" spans="14:47" x14ac:dyDescent="0.3">
      <c r="N101" s="10">
        <v>83</v>
      </c>
      <c r="O101" s="50">
        <f t="shared" si="97"/>
        <v>67.60829753919819</v>
      </c>
      <c r="P101" s="48" t="str">
        <f t="shared" si="88"/>
        <v>51201.9230769231</v>
      </c>
      <c r="Q101" s="17" t="str">
        <f t="shared" si="89"/>
        <v>1+19.8510186929302i</v>
      </c>
      <c r="R101" s="17">
        <f t="shared" si="98"/>
        <v>19.876190357990243</v>
      </c>
      <c r="S101" s="17">
        <f t="shared" si="99"/>
        <v>1.5204636253592341</v>
      </c>
      <c r="T101" s="17" t="str">
        <f t="shared" si="90"/>
        <v>1+1.27438638522515E-09i</v>
      </c>
      <c r="U101" s="17">
        <f t="shared" si="100"/>
        <v>1</v>
      </c>
      <c r="V101" s="17">
        <f t="shared" si="101"/>
        <v>1.27438638522515E-9</v>
      </c>
      <c r="W101" s="31" t="str">
        <f t="shared" si="91"/>
        <v>1-0.00068816864802158i</v>
      </c>
      <c r="X101" s="17">
        <f t="shared" si="102"/>
        <v>1.0000002367880161</v>
      </c>
      <c r="Y101" s="17">
        <f t="shared" si="103"/>
        <v>-6.881685393882055E-4</v>
      </c>
      <c r="Z101" s="31" t="str">
        <f t="shared" si="92"/>
        <v>0.999998171647242+0.0419945320224365i</v>
      </c>
      <c r="AA101" s="17">
        <f t="shared" si="104"/>
        <v>1.0008795552001302</v>
      </c>
      <c r="AB101" s="17">
        <f t="shared" si="105"/>
        <v>4.1969948400860858E-2</v>
      </c>
      <c r="AC101" s="66" t="str">
        <f t="shared" si="106"/>
        <v>19.7525009305393-2573.70413451316i</v>
      </c>
      <c r="AD101" s="64">
        <f t="shared" si="107"/>
        <v>68.211428203107147</v>
      </c>
      <c r="AE101" s="61">
        <f t="shared" si="108"/>
        <v>-89.56027862587932</v>
      </c>
      <c r="AF101" s="31" t="str">
        <f t="shared" si="93"/>
        <v>-1.33333333333333E-06</v>
      </c>
      <c r="AG101" s="31" t="str">
        <f t="shared" si="94"/>
        <v>0.000425220257203458i</v>
      </c>
      <c r="AH101" s="31">
        <f t="shared" si="109"/>
        <v>4.2522025720345799E-4</v>
      </c>
      <c r="AI101" s="31">
        <f t="shared" si="110"/>
        <v>1.5707963267948966</v>
      </c>
      <c r="AJ101" s="31" t="str">
        <f t="shared" si="95"/>
        <v>1+0.00137496233370945i</v>
      </c>
      <c r="AK101" s="31">
        <f t="shared" si="111"/>
        <v>1.0000009452602627</v>
      </c>
      <c r="AL101" s="31">
        <f t="shared" si="112"/>
        <v>1.3749614672451853E-3</v>
      </c>
      <c r="AM101" s="31" t="str">
        <f t="shared" si="96"/>
        <v>1+1.37633729604316i</v>
      </c>
      <c r="AN101" s="31">
        <f t="shared" si="113"/>
        <v>1.7012655149856524</v>
      </c>
      <c r="AO101" s="31">
        <f t="shared" si="114"/>
        <v>0.94246237838907654</v>
      </c>
      <c r="AP101" s="58" t="str">
        <f t="shared" si="115"/>
        <v>-0.00431136479201408+0.00314155781894989i</v>
      </c>
      <c r="AQ101" s="49">
        <f t="shared" si="116"/>
        <v>-45.458070417940505</v>
      </c>
      <c r="AR101" s="61">
        <f t="shared" si="117"/>
        <v>143.92033714248939</v>
      </c>
      <c r="AS101" s="58" t="str">
        <f t="shared" si="118"/>
        <v>8.00028011037733+11.1582310143433i</v>
      </c>
      <c r="AT101" s="64">
        <f t="shared" si="119"/>
        <v>22.753357785166664</v>
      </c>
      <c r="AU101" s="61">
        <f t="shared" si="120"/>
        <v>54.360058516610167</v>
      </c>
    </row>
    <row r="102" spans="14:47" x14ac:dyDescent="0.3">
      <c r="N102" s="10">
        <v>84</v>
      </c>
      <c r="O102" s="50">
        <f t="shared" si="97"/>
        <v>69.183097091893657</v>
      </c>
      <c r="P102" s="48" t="str">
        <f t="shared" si="88"/>
        <v>51201.9230769231</v>
      </c>
      <c r="Q102" s="17" t="str">
        <f t="shared" si="89"/>
        <v>1+20.3134083181097i</v>
      </c>
      <c r="R102" s="17">
        <f t="shared" si="98"/>
        <v>20.338007707202994</v>
      </c>
      <c r="S102" s="17">
        <f t="shared" si="99"/>
        <v>1.5216074688913488</v>
      </c>
      <c r="T102" s="17" t="str">
        <f t="shared" si="90"/>
        <v>1+1.3040706574589E-09i</v>
      </c>
      <c r="U102" s="17">
        <f t="shared" si="100"/>
        <v>1</v>
      </c>
      <c r="V102" s="17">
        <f t="shared" si="101"/>
        <v>1.3040706574589E-9</v>
      </c>
      <c r="W102" s="31" t="str">
        <f t="shared" si="91"/>
        <v>1-0.000704198155027803i</v>
      </c>
      <c r="X102" s="17">
        <f t="shared" si="102"/>
        <v>1.0000002479474901</v>
      </c>
      <c r="Y102" s="17">
        <f t="shared" si="103"/>
        <v>-7.0419803862504658E-4</v>
      </c>
      <c r="Z102" s="31" t="str">
        <f t="shared" si="92"/>
        <v>0.999998085479631+0.042972710332669i</v>
      </c>
      <c r="AA102" s="17">
        <f t="shared" si="104"/>
        <v>1.0009209882884176</v>
      </c>
      <c r="AB102" s="17">
        <f t="shared" si="105"/>
        <v>4.2946369816457587E-2</v>
      </c>
      <c r="AC102" s="66" t="str">
        <f t="shared" si="106"/>
        <v>13.9300205019015-2515.1941621104i</v>
      </c>
      <c r="AD102" s="64">
        <f t="shared" si="107"/>
        <v>68.011563537230842</v>
      </c>
      <c r="AE102" s="61">
        <f t="shared" si="108"/>
        <v>-89.682679279785901</v>
      </c>
      <c r="AF102" s="31" t="str">
        <f t="shared" si="93"/>
        <v>-1.33333333333333E-06</v>
      </c>
      <c r="AG102" s="31" t="str">
        <f t="shared" si="94"/>
        <v>0.000435124909372118i</v>
      </c>
      <c r="AH102" s="31">
        <f t="shared" si="109"/>
        <v>4.3512490937211798E-4</v>
      </c>
      <c r="AI102" s="31">
        <f t="shared" si="110"/>
        <v>1.5707963267948966</v>
      </c>
      <c r="AJ102" s="31" t="str">
        <f t="shared" si="95"/>
        <v>1+0.00140698932073487i</v>
      </c>
      <c r="AK102" s="31">
        <f t="shared" si="111"/>
        <v>1.0000009898089846</v>
      </c>
      <c r="AL102" s="31">
        <f t="shared" si="112"/>
        <v>1.4069883923017328E-3</v>
      </c>
      <c r="AM102" s="31" t="str">
        <f t="shared" si="96"/>
        <v>1+1.40839631005561i</v>
      </c>
      <c r="AN102" s="31">
        <f t="shared" si="113"/>
        <v>1.727304306188767</v>
      </c>
      <c r="AO102" s="31">
        <f t="shared" si="114"/>
        <v>0.95337220433723313</v>
      </c>
      <c r="AP102" s="58" t="str">
        <f t="shared" si="115"/>
        <v>-0.0043113644078829+0.00307032024888554i</v>
      </c>
      <c r="AQ102" s="49">
        <f t="shared" si="116"/>
        <v>-45.526135667468751</v>
      </c>
      <c r="AR102" s="61">
        <f t="shared" si="117"/>
        <v>144.54358911690466</v>
      </c>
      <c r="AS102" s="58" t="str">
        <f t="shared" si="118"/>
        <v>7.66239417121328+10.886688213452i</v>
      </c>
      <c r="AT102" s="64">
        <f t="shared" si="119"/>
        <v>22.48542786976207</v>
      </c>
      <c r="AU102" s="61">
        <f t="shared" si="120"/>
        <v>54.860909837118733</v>
      </c>
    </row>
    <row r="103" spans="14:47" x14ac:dyDescent="0.3">
      <c r="N103" s="10">
        <v>85</v>
      </c>
      <c r="O103" s="50">
        <f t="shared" si="97"/>
        <v>70.794578438413865</v>
      </c>
      <c r="P103" s="48" t="str">
        <f t="shared" si="88"/>
        <v>51201.9230769231</v>
      </c>
      <c r="Q103" s="17" t="str">
        <f t="shared" si="89"/>
        <v>1+20.7865683812593i</v>
      </c>
      <c r="R103" s="17">
        <f t="shared" si="98"/>
        <v>20.81060847425584</v>
      </c>
      <c r="S103" s="17">
        <f t="shared" si="99"/>
        <v>1.5227253998557371</v>
      </c>
      <c r="T103" s="17" t="str">
        <f t="shared" si="90"/>
        <v>1+1.33444636521665E-09i</v>
      </c>
      <c r="U103" s="17">
        <f t="shared" si="100"/>
        <v>1</v>
      </c>
      <c r="V103" s="17">
        <f t="shared" si="101"/>
        <v>1.3344463652166501E-9</v>
      </c>
      <c r="W103" s="31" t="str">
        <f t="shared" si="91"/>
        <v>1-0.000720601037216988i</v>
      </c>
      <c r="X103" s="17">
        <f t="shared" si="102"/>
        <v>1.0000002596328936</v>
      </c>
      <c r="Y103" s="17">
        <f t="shared" si="103"/>
        <v>-7.2060091248918898E-4</v>
      </c>
      <c r="Z103" s="31" t="str">
        <f t="shared" si="92"/>
        <v>0.999997995251065+0.043973673342731i</v>
      </c>
      <c r="AA103" s="17">
        <f t="shared" si="104"/>
        <v>1.000964372219812</v>
      </c>
      <c r="AB103" s="17">
        <f t="shared" si="105"/>
        <v>4.3945450439532213E-2</v>
      </c>
      <c r="AC103" s="66" t="str">
        <f t="shared" si="106"/>
        <v>8.36919266821574-2457.99202704348i</v>
      </c>
      <c r="AD103" s="64">
        <f t="shared" si="107"/>
        <v>67.811659745416094</v>
      </c>
      <c r="AE103" s="61">
        <f t="shared" si="108"/>
        <v>-89.80491492263171</v>
      </c>
      <c r="AF103" s="31" t="str">
        <f t="shared" si="93"/>
        <v>-1.33333333333333E-06</v>
      </c>
      <c r="AG103" s="31" t="str">
        <f t="shared" si="94"/>
        <v>0.000445260270527287i</v>
      </c>
      <c r="AH103" s="31">
        <f t="shared" si="109"/>
        <v>4.4526027052728699E-4</v>
      </c>
      <c r="AI103" s="31">
        <f t="shared" si="110"/>
        <v>1.5707963267948966</v>
      </c>
      <c r="AJ103" s="31" t="str">
        <f t="shared" si="95"/>
        <v>1+0.00143976231212185i</v>
      </c>
      <c r="AK103" s="31">
        <f t="shared" si="111"/>
        <v>1.0000010364572207</v>
      </c>
      <c r="AL103" s="31">
        <f t="shared" si="112"/>
        <v>1.4397613172878756E-3</v>
      </c>
      <c r="AM103" s="31" t="str">
        <f t="shared" si="96"/>
        <v>1+1.44120207443398i</v>
      </c>
      <c r="AN103" s="31">
        <f t="shared" si="113"/>
        <v>1.7541560419052824</v>
      </c>
      <c r="AO103" s="31">
        <f t="shared" si="114"/>
        <v>0.9641995391704965</v>
      </c>
      <c r="AP103" s="58" t="str">
        <f t="shared" si="115"/>
        <v>-0.00431136400564823+0.0030007106032067i</v>
      </c>
      <c r="AQ103" s="49">
        <f t="shared" si="116"/>
        <v>-45.59214871412307</v>
      </c>
      <c r="AR103" s="61">
        <f t="shared" si="117"/>
        <v>145.16207195594149</v>
      </c>
      <c r="AS103" s="58" t="str">
        <f t="shared" si="118"/>
        <v>7.33964010212082+10.6224118767454i</v>
      </c>
      <c r="AT103" s="64">
        <f t="shared" si="119"/>
        <v>22.219511031293031</v>
      </c>
      <c r="AU103" s="61">
        <f t="shared" si="120"/>
        <v>55.357157033309811</v>
      </c>
    </row>
    <row r="104" spans="14:47" x14ac:dyDescent="0.3">
      <c r="N104" s="10">
        <v>86</v>
      </c>
      <c r="O104" s="50">
        <f t="shared" si="97"/>
        <v>72.443596007499011</v>
      </c>
      <c r="P104" s="48" t="str">
        <f t="shared" si="88"/>
        <v>51201.9230769231</v>
      </c>
      <c r="Q104" s="17" t="str">
        <f t="shared" si="89"/>
        <v>1+21.2707497581073i</v>
      </c>
      <c r="R104" s="17">
        <f t="shared" si="98"/>
        <v>21.294243242529699</v>
      </c>
      <c r="S104" s="17">
        <f t="shared" si="99"/>
        <v>1.5238179998105921</v>
      </c>
      <c r="T104" s="17" t="str">
        <f t="shared" si="90"/>
        <v>1+1.36552961410071E-09i</v>
      </c>
      <c r="U104" s="17">
        <f t="shared" si="100"/>
        <v>1</v>
      </c>
      <c r="V104" s="17">
        <f t="shared" si="101"/>
        <v>1.3655296141007099E-9</v>
      </c>
      <c r="W104" s="31" t="str">
        <f t="shared" si="91"/>
        <v>1-0.000737385991614385i</v>
      </c>
      <c r="X104" s="17">
        <f t="shared" si="102"/>
        <v>1.0000002718690133</v>
      </c>
      <c r="Y104" s="17">
        <f t="shared" si="103"/>
        <v>-7.3738585796614248E-4</v>
      </c>
      <c r="Z104" s="31" t="str">
        <f t="shared" si="92"/>
        <v>0.999997900770159+0.0449979517764595i</v>
      </c>
      <c r="AA104" s="17">
        <f t="shared" si="104"/>
        <v>1.0010097987576352</v>
      </c>
      <c r="AB104" s="17">
        <f t="shared" si="105"/>
        <v>4.4967712038230655E-2</v>
      </c>
      <c r="AC104" s="66" t="str">
        <f t="shared" si="106"/>
        <v>3.05838920294006-2402.06911603063i</v>
      </c>
      <c r="AD104" s="64">
        <f t="shared" si="107"/>
        <v>67.611717029140451</v>
      </c>
      <c r="AE104" s="61">
        <f t="shared" si="108"/>
        <v>-89.927049268659047</v>
      </c>
      <c r="AF104" s="31" t="str">
        <f t="shared" si="93"/>
        <v>-1.33333333333333E-06</v>
      </c>
      <c r="AG104" s="31" t="str">
        <f t="shared" si="94"/>
        <v>0.000455631714571605i</v>
      </c>
      <c r="AH104" s="31">
        <f t="shared" si="109"/>
        <v>4.5563171457160497E-4</v>
      </c>
      <c r="AI104" s="31">
        <f t="shared" si="110"/>
        <v>1.5707963267948966</v>
      </c>
      <c r="AJ104" s="31" t="str">
        <f t="shared" si="95"/>
        <v>1+0.00147329868454422i</v>
      </c>
      <c r="AK104" s="31">
        <f t="shared" si="111"/>
        <v>1.0000010853039181</v>
      </c>
      <c r="AL104" s="31">
        <f t="shared" si="112"/>
        <v>1.4732976185604734E-3</v>
      </c>
      <c r="AM104" s="31" t="str">
        <f t="shared" si="96"/>
        <v>1+1.47477198322877i</v>
      </c>
      <c r="AN104" s="31">
        <f t="shared" si="113"/>
        <v>1.7818396118945496</v>
      </c>
      <c r="AO104" s="31">
        <f t="shared" si="114"/>
        <v>0.9749399693951033</v>
      </c>
      <c r="AP104" s="58" t="str">
        <f t="shared" si="115"/>
        <v>-0.0043113635844569+0.00293269197395418i</v>
      </c>
      <c r="AQ104" s="49">
        <f t="shared" si="116"/>
        <v>-45.656141422149339</v>
      </c>
      <c r="AR104" s="61">
        <f t="shared" si="117"/>
        <v>145.77553178944282</v>
      </c>
      <c r="AS104" s="58" t="str">
        <f t="shared" si="118"/>
        <v>7.03134298962959+10.3651626276717i</v>
      </c>
      <c r="AT104" s="64">
        <f t="shared" si="119"/>
        <v>21.955575606991104</v>
      </c>
      <c r="AU104" s="61">
        <f t="shared" si="120"/>
        <v>55.848482520783698</v>
      </c>
    </row>
    <row r="105" spans="14:47" x14ac:dyDescent="0.3">
      <c r="N105" s="10">
        <v>87</v>
      </c>
      <c r="O105" s="50">
        <f t="shared" si="97"/>
        <v>74.131024130091816</v>
      </c>
      <c r="P105" s="48" t="str">
        <f t="shared" si="88"/>
        <v>51201.9230769231</v>
      </c>
      <c r="Q105" s="17" t="str">
        <f t="shared" si="89"/>
        <v>1+21.7662091680287i</v>
      </c>
      <c r="R105" s="17">
        <f t="shared" si="98"/>
        <v>21.789168445500085</v>
      </c>
      <c r="S105" s="17">
        <f t="shared" si="99"/>
        <v>1.524885837626395</v>
      </c>
      <c r="T105" s="17" t="str">
        <f t="shared" si="90"/>
        <v>1+1.39733688486111E-09i</v>
      </c>
      <c r="U105" s="17">
        <f t="shared" si="100"/>
        <v>1</v>
      </c>
      <c r="V105" s="17">
        <f t="shared" si="101"/>
        <v>1.3973368848611099E-9</v>
      </c>
      <c r="W105" s="31" t="str">
        <f t="shared" si="91"/>
        <v>1-0.000754561917824996i</v>
      </c>
      <c r="X105" s="17">
        <f t="shared" si="102"/>
        <v>1.0000002846818035</v>
      </c>
      <c r="Y105" s="17">
        <f t="shared" si="103"/>
        <v>-7.5456177461832614E-4</v>
      </c>
      <c r="Z105" s="31" t="str">
        <f t="shared" si="92"/>
        <v>0.999997801836505+0.0460460887198384i</v>
      </c>
      <c r="AA105" s="17">
        <f t="shared" si="104"/>
        <v>1.0010573639728328</v>
      </c>
      <c r="AB105" s="17">
        <f t="shared" si="105"/>
        <v>4.601368810470706E-2</v>
      </c>
      <c r="AC105" s="66" t="str">
        <f t="shared" si="106"/>
        <v>-2.01350245958498-2347.39738072648i</v>
      </c>
      <c r="AD105" s="64">
        <f t="shared" si="107"/>
        <v>67.411735508373994</v>
      </c>
      <c r="AE105" s="61">
        <f t="shared" si="108"/>
        <v>-90.04914598850084</v>
      </c>
      <c r="AF105" s="31" t="str">
        <f t="shared" si="93"/>
        <v>-1.33333333333333E-06</v>
      </c>
      <c r="AG105" s="31" t="str">
        <f t="shared" si="94"/>
        <v>0.000466244740581989i</v>
      </c>
      <c r="AH105" s="31">
        <f t="shared" si="109"/>
        <v>4.6624474058198901E-4</v>
      </c>
      <c r="AI105" s="31">
        <f t="shared" si="110"/>
        <v>1.5707963267948966</v>
      </c>
      <c r="AJ105" s="31" t="str">
        <f t="shared" si="95"/>
        <v>1+0.00150761621943056i</v>
      </c>
      <c r="AK105" s="31">
        <f t="shared" si="111"/>
        <v>1.0000011364526868</v>
      </c>
      <c r="AL105" s="31">
        <f t="shared" si="112"/>
        <v>1.5076150772084665E-3</v>
      </c>
      <c r="AM105" s="31" t="str">
        <f t="shared" si="96"/>
        <v>1+1.50912383564999i</v>
      </c>
      <c r="AN105" s="31">
        <f t="shared" si="113"/>
        <v>1.8103742020165161</v>
      </c>
      <c r="AO105" s="31">
        <f t="shared" si="114"/>
        <v>0.98558927789663586</v>
      </c>
      <c r="AP105" s="58" t="str">
        <f t="shared" si="115"/>
        <v>-0.00431136314341552+0.0028662282967465i</v>
      </c>
      <c r="AQ105" s="49">
        <f t="shared" si="116"/>
        <v>-45.718147010516709</v>
      </c>
      <c r="AR105" s="61">
        <f t="shared" si="117"/>
        <v>146.38372597576924</v>
      </c>
      <c r="AS105" s="58" t="str">
        <f t="shared" si="118"/>
        <v>6.73685773664029+10.114711392489i</v>
      </c>
      <c r="AT105" s="64">
        <f t="shared" si="119"/>
        <v>21.693588497857252</v>
      </c>
      <c r="AU105" s="61">
        <f t="shared" si="120"/>
        <v>56.334579987268285</v>
      </c>
    </row>
    <row r="106" spans="14:47" x14ac:dyDescent="0.3">
      <c r="N106" s="10">
        <v>88</v>
      </c>
      <c r="O106" s="50">
        <f t="shared" si="97"/>
        <v>75.857757502918361</v>
      </c>
      <c r="P106" s="48" t="str">
        <f t="shared" si="88"/>
        <v>51201.9230769231</v>
      </c>
      <c r="Q106" s="17" t="str">
        <f t="shared" si="89"/>
        <v>1+22.2732093101609i</v>
      </c>
      <c r="R106" s="17">
        <f t="shared" si="98"/>
        <v>22.295646502719723</v>
      </c>
      <c r="S106" s="17">
        <f t="shared" si="99"/>
        <v>1.5259294697382975</v>
      </c>
      <c r="T106" s="17" t="str">
        <f t="shared" si="90"/>
        <v>1+1.42988504213379E-09i</v>
      </c>
      <c r="U106" s="17">
        <f t="shared" si="100"/>
        <v>1</v>
      </c>
      <c r="V106" s="17">
        <f t="shared" si="101"/>
        <v>1.4298850421337901E-9</v>
      </c>
      <c r="W106" s="31" t="str">
        <f t="shared" si="91"/>
        <v>1-0.000772137922752245i</v>
      </c>
      <c r="X106" s="17">
        <f t="shared" si="102"/>
        <v>1.0000002980984415</v>
      </c>
      <c r="Y106" s="17">
        <f t="shared" si="103"/>
        <v>-7.7213776930353613E-4</v>
      </c>
      <c r="Z106" s="31" t="str">
        <f t="shared" si="92"/>
        <v>0.999997698240251+0.0471186399089485i</v>
      </c>
      <c r="AA106" s="17">
        <f t="shared" si="104"/>
        <v>1.0011071684453514</v>
      </c>
      <c r="AB106" s="17">
        <f t="shared" si="105"/>
        <v>4.7083924097722121E-2</v>
      </c>
      <c r="AC106" s="66" t="str">
        <f t="shared" si="106"/>
        <v>-6.85710151658308-2293.9493303479i</v>
      </c>
      <c r="AD106" s="64">
        <f t="shared" si="107"/>
        <v>67.211715221821095</v>
      </c>
      <c r="AE106" s="61">
        <f t="shared" si="108"/>
        <v>-90.171268737811261</v>
      </c>
      <c r="AF106" s="31" t="str">
        <f t="shared" si="93"/>
        <v>-1.33333333333333E-06</v>
      </c>
      <c r="AG106" s="31" t="str">
        <f t="shared" si="94"/>
        <v>0.000477104975725307i</v>
      </c>
      <c r="AH106" s="31">
        <f t="shared" si="109"/>
        <v>4.7710497572530698E-4</v>
      </c>
      <c r="AI106" s="31">
        <f t="shared" si="110"/>
        <v>1.5707963267948966</v>
      </c>
      <c r="AJ106" s="31" t="str">
        <f t="shared" si="95"/>
        <v>1+0.0015427331123921i</v>
      </c>
      <c r="AK106" s="31">
        <f t="shared" si="111"/>
        <v>1.00000119001202</v>
      </c>
      <c r="AL106" s="31">
        <f t="shared" si="112"/>
        <v>1.5427318884791547E-3</v>
      </c>
      <c r="AM106" s="31" t="str">
        <f t="shared" si="96"/>
        <v>1+1.54427584550449i</v>
      </c>
      <c r="AN106" s="31">
        <f t="shared" si="113"/>
        <v>1.8397793038863677</v>
      </c>
      <c r="AO106" s="31">
        <f t="shared" si="114"/>
        <v>0.99614344929407983</v>
      </c>
      <c r="AP106" s="58" t="str">
        <f t="shared" si="115"/>
        <v>-0.00431136268158863+0.00280128433165809i</v>
      </c>
      <c r="AQ106" s="49">
        <f t="shared" si="116"/>
        <v>-45.778199939534844</v>
      </c>
      <c r="AR106" s="61">
        <f t="shared" si="117"/>
        <v>146.98642340802476</v>
      </c>
      <c r="AS106" s="58" t="str">
        <f t="shared" si="118"/>
        <v>6.4555677683036+9.87083884527817i</v>
      </c>
      <c r="AT106" s="64">
        <f t="shared" si="119"/>
        <v>21.43351528228624</v>
      </c>
      <c r="AU106" s="61">
        <f t="shared" si="120"/>
        <v>56.815154670213502</v>
      </c>
    </row>
    <row r="107" spans="14:47" x14ac:dyDescent="0.3">
      <c r="N107" s="10">
        <v>89</v>
      </c>
      <c r="O107" s="50">
        <f t="shared" si="97"/>
        <v>77.624711662869217</v>
      </c>
      <c r="P107" s="48" t="str">
        <f t="shared" si="88"/>
        <v>51201.9230769231</v>
      </c>
      <c r="Q107" s="17" t="str">
        <f t="shared" si="89"/>
        <v>1+22.7920190026901i</v>
      </c>
      <c r="R107" s="17">
        <f t="shared" si="98"/>
        <v>22.813945958974013</v>
      </c>
      <c r="S107" s="17">
        <f t="shared" si="99"/>
        <v>1.5269494403951591</v>
      </c>
      <c r="T107" s="17" t="str">
        <f t="shared" si="90"/>
        <v>1+1.46319134338258E-09i</v>
      </c>
      <c r="U107" s="17">
        <f t="shared" si="100"/>
        <v>1</v>
      </c>
      <c r="V107" s="17">
        <f t="shared" si="101"/>
        <v>1.4631913433825799E-9</v>
      </c>
      <c r="W107" s="31" t="str">
        <f t="shared" si="91"/>
        <v>1-0.000790123325426591i</v>
      </c>
      <c r="X107" s="17">
        <f t="shared" si="102"/>
        <v>1.0000003121473859</v>
      </c>
      <c r="Y107" s="17">
        <f t="shared" si="103"/>
        <v>-7.9012316100333989E-4</v>
      </c>
      <c r="Z107" s="31" t="str">
        <f t="shared" si="92"/>
        <v>0.999997589761656+0.0482161740246273i</v>
      </c>
      <c r="AA107" s="17">
        <f t="shared" si="104"/>
        <v>1.0011593174748432</v>
      </c>
      <c r="AB107" s="17">
        <f t="shared" si="105"/>
        <v>4.8178977688742818E-2</v>
      </c>
      <c r="AC107" s="66" t="str">
        <f t="shared" si="106"/>
        <v>-11.4825551546299-2241.69802410671i</v>
      </c>
      <c r="AD107" s="64">
        <f t="shared" si="107"/>
        <v>67.011656126998474</v>
      </c>
      <c r="AE107" s="61">
        <f t="shared" si="108"/>
        <v>-90.29348118591173</v>
      </c>
      <c r="AF107" s="31" t="str">
        <f t="shared" si="93"/>
        <v>-1.33333333333333E-06</v>
      </c>
      <c r="AG107" s="31" t="str">
        <f t="shared" si="94"/>
        <v>0.000488218178241986i</v>
      </c>
      <c r="AH107" s="31">
        <f t="shared" si="109"/>
        <v>4.8821817824198601E-4</v>
      </c>
      <c r="AI107" s="31">
        <f t="shared" si="110"/>
        <v>1.5707963267948966</v>
      </c>
      <c r="AJ107" s="31" t="str">
        <f t="shared" si="95"/>
        <v>1+0.00157866798287031i</v>
      </c>
      <c r="AK107" s="31">
        <f t="shared" si="111"/>
        <v>1.0000012460955237</v>
      </c>
      <c r="AL107" s="31">
        <f t="shared" si="112"/>
        <v>1.5786666714240494E-3</v>
      </c>
      <c r="AM107" s="31" t="str">
        <f t="shared" si="96"/>
        <v>1+1.58024665085318i</v>
      </c>
      <c r="AN107" s="31">
        <f t="shared" si="113"/>
        <v>1.8700747251200129</v>
      </c>
      <c r="AO107" s="31">
        <f t="shared" si="114"/>
        <v>1.0065986743069908</v>
      </c>
      <c r="AP107" s="58" t="str">
        <f t="shared" si="115"/>
        <v>-0.00431136219799659+0.00273782564453453i</v>
      </c>
      <c r="AQ107" s="49">
        <f t="shared" si="116"/>
        <v>-45.836335796450392</v>
      </c>
      <c r="AR107" s="61">
        <f t="shared" si="117"/>
        <v>147.58340476372371</v>
      </c>
      <c r="AS107" s="58" t="str">
        <f t="shared" si="118"/>
        <v>6.18688379193182+9.63333488649019i</v>
      </c>
      <c r="AT107" s="64">
        <f t="shared" si="119"/>
        <v>21.175320330548079</v>
      </c>
      <c r="AU107" s="61">
        <f t="shared" si="120"/>
        <v>57.289923577811969</v>
      </c>
    </row>
    <row r="108" spans="14:47" x14ac:dyDescent="0.3">
      <c r="N108" s="10">
        <v>90</v>
      </c>
      <c r="O108" s="50">
        <f t="shared" si="97"/>
        <v>79.432823472428197</v>
      </c>
      <c r="P108" s="48" t="str">
        <f t="shared" si="88"/>
        <v>51201.9230769231</v>
      </c>
      <c r="Q108" s="17" t="str">
        <f t="shared" si="89"/>
        <v>1+23.3229133253826i</v>
      </c>
      <c r="R108" s="17">
        <f t="shared" si="98"/>
        <v>23.344341626683526</v>
      </c>
      <c r="S108" s="17">
        <f t="shared" si="99"/>
        <v>1.527946281905159</v>
      </c>
      <c r="T108" s="17" t="str">
        <f t="shared" si="90"/>
        <v>1+1.49727344804925E-09i</v>
      </c>
      <c r="U108" s="17">
        <f t="shared" si="100"/>
        <v>1</v>
      </c>
      <c r="V108" s="17">
        <f t="shared" si="101"/>
        <v>1.49727344804925E-9</v>
      </c>
      <c r="W108" s="31" t="str">
        <f t="shared" si="91"/>
        <v>1-0.000808527661946596i</v>
      </c>
      <c r="X108" s="17">
        <f t="shared" si="102"/>
        <v>1.0000003268584365</v>
      </c>
      <c r="Y108" s="17">
        <f t="shared" si="103"/>
        <v>-8.0852748576391127E-4</v>
      </c>
      <c r="Z108" s="31" t="str">
        <f t="shared" si="92"/>
        <v>0.999997476170622+0.0493392729939905i</v>
      </c>
      <c r="AA108" s="17">
        <f t="shared" si="104"/>
        <v>1.001213921301132</v>
      </c>
      <c r="AB108" s="17">
        <f t="shared" si="105"/>
        <v>4.9299419011470148E-2</v>
      </c>
      <c r="AC108" s="66" t="str">
        <f t="shared" si="106"/>
        <v>-15.8995590084075-2190.61706347698i</v>
      </c>
      <c r="AD108" s="64">
        <f t="shared" si="107"/>
        <v>66.811558100149341</v>
      </c>
      <c r="AE108" s="61">
        <f t="shared" si="108"/>
        <v>-90.415847044443325</v>
      </c>
      <c r="AF108" s="31" t="str">
        <f t="shared" si="93"/>
        <v>-1.33333333333333E-06</v>
      </c>
      <c r="AG108" s="31" t="str">
        <f t="shared" si="94"/>
        <v>0.000499590240499101i</v>
      </c>
      <c r="AH108" s="31">
        <f t="shared" si="109"/>
        <v>4.9959024049910095E-4</v>
      </c>
      <c r="AI108" s="31">
        <f t="shared" si="110"/>
        <v>1.5707963267948966</v>
      </c>
      <c r="AJ108" s="31" t="str">
        <f t="shared" si="95"/>
        <v>1+0.00161543988400918i</v>
      </c>
      <c r="AK108" s="31">
        <f t="shared" si="111"/>
        <v>1.0000013048221581</v>
      </c>
      <c r="AL108" s="31">
        <f t="shared" si="112"/>
        <v>1.6154384787692929E-3</v>
      </c>
      <c r="AM108" s="31" t="str">
        <f t="shared" si="96"/>
        <v>1+1.61705532389319i</v>
      </c>
      <c r="AN108" s="31">
        <f t="shared" si="113"/>
        <v>1.9012806001564604</v>
      </c>
      <c r="AO108" s="31">
        <f t="shared" si="114"/>
        <v>1.0169513531502203</v>
      </c>
      <c r="AP108" s="58" t="str">
        <f t="shared" si="115"/>
        <v>-0.00431136169161368+0.00267581858873513i</v>
      </c>
      <c r="AQ108" s="49">
        <f t="shared" si="116"/>
        <v>-45.892591180738727</v>
      </c>
      <c r="AR108" s="61">
        <f t="shared" si="117"/>
        <v>148.17446269872923</v>
      </c>
      <c r="AS108" s="58" t="str">
        <f t="shared" si="118"/>
        <v>5.93024260887447+9.40199815292252i</v>
      </c>
      <c r="AT108" s="64">
        <f t="shared" si="119"/>
        <v>20.918966919410622</v>
      </c>
      <c r="AU108" s="61">
        <f t="shared" si="120"/>
        <v>57.75861565428589</v>
      </c>
    </row>
    <row r="109" spans="14:47" x14ac:dyDescent="0.3">
      <c r="N109" s="10">
        <v>91</v>
      </c>
      <c r="O109" s="50">
        <f t="shared" si="97"/>
        <v>81.283051616409963</v>
      </c>
      <c r="P109" s="48" t="str">
        <f t="shared" si="88"/>
        <v>51201.9230769231</v>
      </c>
      <c r="Q109" s="17" t="str">
        <f t="shared" si="89"/>
        <v>1+23.8661737654354i</v>
      </c>
      <c r="R109" s="17">
        <f t="shared" si="98"/>
        <v>23.88711473162795</v>
      </c>
      <c r="S109" s="17">
        <f t="shared" si="99"/>
        <v>1.5289205148779119</v>
      </c>
      <c r="T109" s="17" t="str">
        <f t="shared" si="90"/>
        <v>1+1.53214942691684E-09i</v>
      </c>
      <c r="U109" s="17">
        <f t="shared" si="100"/>
        <v>1</v>
      </c>
      <c r="V109" s="17">
        <f t="shared" si="101"/>
        <v>1.5321494269168401E-9</v>
      </c>
      <c r="W109" s="31" t="str">
        <f t="shared" si="91"/>
        <v>1-0.000827360690535094i</v>
      </c>
      <c r="X109" s="17">
        <f t="shared" si="102"/>
        <v>1.0000003422627977</v>
      </c>
      <c r="Y109" s="17">
        <f t="shared" si="103"/>
        <v>-8.2736050175194953E-4</v>
      </c>
      <c r="Z109" s="31" t="str">
        <f t="shared" si="92"/>
        <v>0.999997357226208+0.0504885322989775i</v>
      </c>
      <c r="AA109" s="17">
        <f t="shared" si="104"/>
        <v>1.0012710953348773</v>
      </c>
      <c r="AB109" s="17">
        <f t="shared" si="105"/>
        <v>5.0445830914716022E-2</v>
      </c>
      <c r="AC109" s="66" t="str">
        <f t="shared" si="106"/>
        <v>-20.1173767549926-2140.6805843227i</v>
      </c>
      <c r="AD109" s="64">
        <f t="shared" si="107"/>
        <v>66.611420935994644</v>
      </c>
      <c r="AE109" s="61">
        <f t="shared" si="108"/>
        <v>-90.53843009601745</v>
      </c>
      <c r="AF109" s="31" t="str">
        <f t="shared" si="93"/>
        <v>-1.33333333333333E-06</v>
      </c>
      <c r="AG109" s="31" t="str">
        <f t="shared" si="94"/>
        <v>0.000511227192114586i</v>
      </c>
      <c r="AH109" s="31">
        <f t="shared" si="109"/>
        <v>5.1122719211458602E-4</v>
      </c>
      <c r="AI109" s="31">
        <f t="shared" si="110"/>
        <v>1.5707963267948966</v>
      </c>
      <c r="AJ109" s="31" t="str">
        <f t="shared" si="95"/>
        <v>1+0.00165306831275743i</v>
      </c>
      <c r="AK109" s="31">
        <f t="shared" si="111"/>
        <v>1.0000013663164899</v>
      </c>
      <c r="AL109" s="31">
        <f t="shared" si="112"/>
        <v>1.6530668070158735E-3</v>
      </c>
      <c r="AM109" s="31" t="str">
        <f t="shared" si="96"/>
        <v>1+1.65472138107019i</v>
      </c>
      <c r="AN109" s="31">
        <f t="shared" si="113"/>
        <v>1.9334174016416725</v>
      </c>
      <c r="AO109" s="31">
        <f t="shared" si="114"/>
        <v>1.027198097977958</v>
      </c>
      <c r="AP109" s="58" t="str">
        <f t="shared" si="115"/>
        <v>-0.00431136116136582+0.00261523028729301i</v>
      </c>
      <c r="AQ109" s="49">
        <f t="shared" si="116"/>
        <v>-45.947003589776756</v>
      </c>
      <c r="AR109" s="61">
        <f t="shared" si="117"/>
        <v>148.75940198670736</v>
      </c>
      <c r="AS109" s="58" t="str">
        <f t="shared" si="118"/>
        <v>5.68510597635086+9.17663555714824i</v>
      </c>
      <c r="AT109" s="64">
        <f t="shared" si="119"/>
        <v>20.664417346217899</v>
      </c>
      <c r="AU109" s="61">
        <f t="shared" si="120"/>
        <v>58.220971890689903</v>
      </c>
    </row>
    <row r="110" spans="14:47" x14ac:dyDescent="0.3">
      <c r="N110" s="10">
        <v>92</v>
      </c>
      <c r="O110" s="50">
        <f t="shared" si="97"/>
        <v>83.176377110267126</v>
      </c>
      <c r="P110" s="48" t="str">
        <f t="shared" si="88"/>
        <v>51201.9230769231</v>
      </c>
      <c r="Q110" s="17" t="str">
        <f t="shared" si="89"/>
        <v>1+24.4220883667248i</v>
      </c>
      <c r="R110" s="17">
        <f t="shared" si="98"/>
        <v>24.44255306207015</v>
      </c>
      <c r="S110" s="17">
        <f t="shared" si="99"/>
        <v>1.5298726484630314</v>
      </c>
      <c r="T110" s="17" t="str">
        <f t="shared" si="90"/>
        <v>1+1.56783777169098E-09i</v>
      </c>
      <c r="U110" s="17">
        <f t="shared" si="100"/>
        <v>1</v>
      </c>
      <c r="V110" s="17">
        <f t="shared" si="101"/>
        <v>1.5678377716909799E-9</v>
      </c>
      <c r="W110" s="31" t="str">
        <f t="shared" si="91"/>
        <v>1-0.000846632396713127i</v>
      </c>
      <c r="X110" s="17">
        <f t="shared" si="102"/>
        <v>1.0000003583931434</v>
      </c>
      <c r="Y110" s="17">
        <f t="shared" si="103"/>
        <v>-8.4663219442834717E-4</v>
      </c>
      <c r="Z110" s="31" t="str">
        <f t="shared" si="92"/>
        <v>0.999997232676116+0.0516645612920842i</v>
      </c>
      <c r="AA110" s="17">
        <f t="shared" si="104"/>
        <v>1.0013309603989051</v>
      </c>
      <c r="AB110" s="17">
        <f t="shared" si="105"/>
        <v>5.1618809218535573E-2</v>
      </c>
      <c r="AC110" s="66" t="str">
        <f t="shared" si="106"/>
        <v>-24.1448588771826-2091.86324890911i</v>
      </c>
      <c r="AD110" s="64">
        <f t="shared" si="107"/>
        <v>66.411244347319624</v>
      </c>
      <c r="AE110" s="61">
        <f t="shared" si="108"/>
        <v>-90.66129422285637</v>
      </c>
      <c r="AF110" s="31" t="str">
        <f t="shared" si="93"/>
        <v>-1.33333333333333E-06</v>
      </c>
      <c r="AG110" s="31" t="str">
        <f t="shared" si="94"/>
        <v>0.000523135203154223i</v>
      </c>
      <c r="AH110" s="31">
        <f t="shared" si="109"/>
        <v>5.2313520315422303E-4</v>
      </c>
      <c r="AI110" s="31">
        <f t="shared" si="110"/>
        <v>1.5707963267948966</v>
      </c>
      <c r="AJ110" s="31" t="str">
        <f t="shared" si="95"/>
        <v>1+0.00169157322020605i</v>
      </c>
      <c r="AK110" s="31">
        <f t="shared" si="111"/>
        <v>1.0000014307089562</v>
      </c>
      <c r="AL110" s="31">
        <f t="shared" si="112"/>
        <v>1.6915716067750284E-3</v>
      </c>
      <c r="AM110" s="31" t="str">
        <f t="shared" si="96"/>
        <v>1+1.69326479342626i</v>
      </c>
      <c r="AN110" s="31">
        <f t="shared" si="113"/>
        <v>1.9665059523573467</v>
      </c>
      <c r="AO110" s="31">
        <f t="shared" si="114"/>
        <v>1.0373357344055005</v>
      </c>
      <c r="AP110" s="58" t="str">
        <f t="shared" si="115"/>
        <v>-0.00431136060612828+0.00255602861548322i</v>
      </c>
      <c r="AQ110" s="49">
        <f t="shared" si="116"/>
        <v>-45.999611305542373</v>
      </c>
      <c r="AR110" s="61">
        <f t="shared" si="117"/>
        <v>149.33803960572644</v>
      </c>
      <c r="AS110" s="58" t="str">
        <f t="shared" si="118"/>
        <v>5.450959517293+8.95706185454737i</v>
      </c>
      <c r="AT110" s="64">
        <f t="shared" si="119"/>
        <v>20.411633041777254</v>
      </c>
      <c r="AU110" s="61">
        <f t="shared" si="120"/>
        <v>58.676745382870052</v>
      </c>
    </row>
    <row r="111" spans="14:47" x14ac:dyDescent="0.3">
      <c r="N111" s="10">
        <v>93</v>
      </c>
      <c r="O111" s="50">
        <f t="shared" si="97"/>
        <v>85.113803820237734</v>
      </c>
      <c r="P111" s="48" t="str">
        <f t="shared" si="88"/>
        <v>51201.9230769231</v>
      </c>
      <c r="Q111" s="17" t="str">
        <f t="shared" si="89"/>
        <v>1+24.9909518825309i</v>
      </c>
      <c r="R111" s="17">
        <f t="shared" si="98"/>
        <v>25.010951121358314</v>
      </c>
      <c r="S111" s="17">
        <f t="shared" si="99"/>
        <v>1.530803180585095</v>
      </c>
      <c r="T111" s="17" t="str">
        <f t="shared" si="90"/>
        <v>1+1.60435740480445E-09i</v>
      </c>
      <c r="U111" s="17">
        <f t="shared" si="100"/>
        <v>1</v>
      </c>
      <c r="V111" s="17">
        <f t="shared" si="101"/>
        <v>1.6043574048044499E-9</v>
      </c>
      <c r="W111" s="31" t="str">
        <f t="shared" si="91"/>
        <v>1-0.000866352998594404i</v>
      </c>
      <c r="X111" s="17">
        <f t="shared" si="102"/>
        <v>1.0000003752836886</v>
      </c>
      <c r="Y111" s="17">
        <f t="shared" si="103"/>
        <v>-8.6635278184236161E-4</v>
      </c>
      <c r="Z111" s="31" t="str">
        <f t="shared" si="92"/>
        <v>0.99999710225616+0.0528679835194493i</v>
      </c>
      <c r="AA111" s="17">
        <f t="shared" si="104"/>
        <v>1.001393642980686</v>
      </c>
      <c r="AB111" s="17">
        <f t="shared" si="105"/>
        <v>5.2818962973505267E-2</v>
      </c>
      <c r="AC111" s="66" t="str">
        <f t="shared" si="106"/>
        <v>-27.9904606282866-2044.1402378198i</v>
      </c>
      <c r="AD111" s="64">
        <f t="shared" si="107"/>
        <v>66.211027964395811</v>
      </c>
      <c r="AE111" s="61">
        <f t="shared" si="108"/>
        <v>-90.784503435414436</v>
      </c>
      <c r="AF111" s="31" t="str">
        <f t="shared" si="93"/>
        <v>-1.33333333333333E-06</v>
      </c>
      <c r="AG111" s="31" t="str">
        <f t="shared" si="94"/>
        <v>0.000535320587403085i</v>
      </c>
      <c r="AH111" s="31">
        <f t="shared" si="109"/>
        <v>5.3532058740308499E-4</v>
      </c>
      <c r="AI111" s="31">
        <f t="shared" si="110"/>
        <v>1.5707963267948966</v>
      </c>
      <c r="AJ111" s="31" t="str">
        <f t="shared" si="95"/>
        <v>1+0.00173097502216664i</v>
      </c>
      <c r="AK111" s="31">
        <f t="shared" si="111"/>
        <v>1.0000014981361416</v>
      </c>
      <c r="AL111" s="31">
        <f t="shared" si="112"/>
        <v>1.7309732933442927E-3</v>
      </c>
      <c r="AM111" s="31" t="str">
        <f t="shared" si="96"/>
        <v>1+1.73270599718881i</v>
      </c>
      <c r="AN111" s="31">
        <f t="shared" si="113"/>
        <v>2.0005674376771378</v>
      </c>
      <c r="AO111" s="31">
        <f t="shared" si="114"/>
        <v>1.0473613021430845</v>
      </c>
      <c r="AP111" s="58" t="str">
        <f t="shared" si="115"/>
        <v>-0.00431136002472335+0.00249818218378985i</v>
      </c>
      <c r="AQ111" s="49">
        <f t="shared" si="116"/>
        <v>-46.0504532829437</v>
      </c>
      <c r="AR111" s="61">
        <f t="shared" si="117"/>
        <v>149.91020477396648</v>
      </c>
      <c r="AS111" s="58" t="str">
        <f t="shared" si="118"/>
        <v>5.22731167631576+8.74309923620711i</v>
      </c>
      <c r="AT111" s="64">
        <f t="shared" si="119"/>
        <v>20.160574681452104</v>
      </c>
      <c r="AU111" s="61">
        <f t="shared" si="120"/>
        <v>59.125701338552027</v>
      </c>
    </row>
    <row r="112" spans="14:47" x14ac:dyDescent="0.3">
      <c r="N112" s="10">
        <v>94</v>
      </c>
      <c r="O112" s="50">
        <f t="shared" si="97"/>
        <v>87.096358995608071</v>
      </c>
      <c r="P112" s="48" t="str">
        <f t="shared" si="88"/>
        <v>51201.9230769231</v>
      </c>
      <c r="Q112" s="17" t="str">
        <f t="shared" si="89"/>
        <v>1+25.5730659318193i</v>
      </c>
      <c r="R112" s="17">
        <f t="shared" si="98"/>
        <v>25.592610284087414</v>
      </c>
      <c r="S112" s="17">
        <f t="shared" si="99"/>
        <v>1.5317125981749666</v>
      </c>
      <c r="T112" s="17" t="str">
        <f t="shared" si="90"/>
        <v>1+1.64172768945013E-09i</v>
      </c>
      <c r="U112" s="17">
        <f t="shared" si="100"/>
        <v>1</v>
      </c>
      <c r="V112" s="17">
        <f t="shared" si="101"/>
        <v>1.64172768945013E-9</v>
      </c>
      <c r="W112" s="31" t="str">
        <f t="shared" si="91"/>
        <v>1-0.00088653295230307i</v>
      </c>
      <c r="X112" s="17">
        <f t="shared" si="102"/>
        <v>1.0000003929702606</v>
      </c>
      <c r="Y112" s="17">
        <f t="shared" si="103"/>
        <v>-8.865327200490771E-4</v>
      </c>
      <c r="Z112" s="31" t="str">
        <f t="shared" si="92"/>
        <v>0.9999969656897+0.0540994370514668i</v>
      </c>
      <c r="AA112" s="17">
        <f t="shared" si="104"/>
        <v>1.0014592754964589</v>
      </c>
      <c r="AB112" s="17">
        <f t="shared" si="105"/>
        <v>5.4046914723026092E-2</v>
      </c>
      <c r="AC112" s="66" t="str">
        <f t="shared" si="106"/>
        <v>-31.6622592297721-1997.48724179969i</v>
      </c>
      <c r="AD112" s="64">
        <f t="shared" si="107"/>
        <v>66.010771334238044</v>
      </c>
      <c r="AE112" s="61">
        <f t="shared" si="108"/>
        <v>-90.908121900971196</v>
      </c>
      <c r="AF112" s="31" t="str">
        <f t="shared" si="93"/>
        <v>-1.33333333333333E-06</v>
      </c>
      <c r="AG112" s="31" t="str">
        <f t="shared" si="94"/>
        <v>0.000547789805713193i</v>
      </c>
      <c r="AH112" s="31">
        <f t="shared" si="109"/>
        <v>5.4778980571319302E-4</v>
      </c>
      <c r="AI112" s="31">
        <f t="shared" si="110"/>
        <v>1.5707963267948966</v>
      </c>
      <c r="AJ112" s="31" t="str">
        <f t="shared" si="95"/>
        <v>1+0.00177129460999614i</v>
      </c>
      <c r="AK112" s="31">
        <f t="shared" si="111"/>
        <v>1.0000015687410673</v>
      </c>
      <c r="AL112" s="31">
        <f t="shared" si="112"/>
        <v>1.7712927575297764E-3</v>
      </c>
      <c r="AM112" s="31" t="str">
        <f t="shared" si="96"/>
        <v>1+1.77306590460614i</v>
      </c>
      <c r="AN112" s="31">
        <f t="shared" si="113"/>
        <v>2.0356234185322171</v>
      </c>
      <c r="AO112" s="31">
        <f t="shared" si="114"/>
        <v>1.0572720547813161</v>
      </c>
      <c r="AP112" s="58" t="str">
        <f t="shared" si="115"/>
        <v>-0.00431135941591782+0.00244166032126279i</v>
      </c>
      <c r="AQ112" s="49">
        <f t="shared" si="116"/>
        <v>-46.099569040335496</v>
      </c>
      <c r="AR112" s="61">
        <f t="shared" si="117"/>
        <v>150.47573893680536</v>
      </c>
      <c r="AS112" s="58" t="str">
        <f t="shared" si="118"/>
        <v>5.01369271999046+8.53457694606594i</v>
      </c>
      <c r="AT112" s="64">
        <f t="shared" si="119"/>
        <v>19.911202293902548</v>
      </c>
      <c r="AU112" s="61">
        <f t="shared" si="120"/>
        <v>59.567617035834168</v>
      </c>
    </row>
    <row r="113" spans="14:47" x14ac:dyDescent="0.3">
      <c r="N113" s="10">
        <v>95</v>
      </c>
      <c r="O113" s="50">
        <f t="shared" si="97"/>
        <v>89.125093813374562</v>
      </c>
      <c r="P113" s="48" t="str">
        <f t="shared" si="88"/>
        <v>51201.9230769231</v>
      </c>
      <c r="Q113" s="17" t="str">
        <f t="shared" si="89"/>
        <v>1+26.1687391591644i</v>
      </c>
      <c r="R113" s="17">
        <f t="shared" si="98"/>
        <v>26.187838955904404</v>
      </c>
      <c r="S113" s="17">
        <f t="shared" si="99"/>
        <v>1.5326013773974587</v>
      </c>
      <c r="T113" s="17" t="str">
        <f t="shared" si="90"/>
        <v>1+1.67996843984759E-09i</v>
      </c>
      <c r="U113" s="17">
        <f t="shared" si="100"/>
        <v>1</v>
      </c>
      <c r="V113" s="17">
        <f t="shared" si="101"/>
        <v>1.6799684398475899E-9</v>
      </c>
      <c r="W113" s="31" t="str">
        <f t="shared" si="91"/>
        <v>1-0.000907182957517699i</v>
      </c>
      <c r="X113" s="17">
        <f t="shared" si="102"/>
        <v>1.0000004114903744</v>
      </c>
      <c r="Y113" s="17">
        <f t="shared" si="103"/>
        <v>-9.0718270865306741E-4</v>
      </c>
      <c r="Z113" s="31" t="str">
        <f t="shared" si="92"/>
        <v>0.999996822687061+0.0553595748210997i</v>
      </c>
      <c r="AA113" s="17">
        <f t="shared" si="104"/>
        <v>1.0015279965675401</v>
      </c>
      <c r="AB113" s="17">
        <f t="shared" si="105"/>
        <v>5.5303300768511199E-2</v>
      </c>
      <c r="AC113" s="66" t="str">
        <f t="shared" si="106"/>
        <v>-35.1679703321059-1951.88045354202i</v>
      </c>
      <c r="AD113" s="64">
        <f t="shared" si="107"/>
        <v>65.810473919693052</v>
      </c>
      <c r="AE113" s="61">
        <f t="shared" si="108"/>
        <v>-91.032213972187307</v>
      </c>
      <c r="AF113" s="31" t="str">
        <f t="shared" si="93"/>
        <v>-1.33333333333333E-06</v>
      </c>
      <c r="AG113" s="31" t="str">
        <f t="shared" si="94"/>
        <v>0.000560549469429147i</v>
      </c>
      <c r="AH113" s="31">
        <f t="shared" si="109"/>
        <v>5.6054946942914695E-4</v>
      </c>
      <c r="AI113" s="31">
        <f t="shared" si="110"/>
        <v>1.5707963267948966</v>
      </c>
      <c r="AJ113" s="31" t="str">
        <f t="shared" si="95"/>
        <v>1+0.00181255336167372i</v>
      </c>
      <c r="AK113" s="31">
        <f t="shared" si="111"/>
        <v>1.0000016426734952</v>
      </c>
      <c r="AL113" s="31">
        <f t="shared" si="112"/>
        <v>1.8125513767204252E-3</v>
      </c>
      <c r="AM113" s="31" t="str">
        <f t="shared" si="96"/>
        <v>1+1.8143659150354i</v>
      </c>
      <c r="AN113" s="31">
        <f t="shared" si="113"/>
        <v>2.0716958448677363</v>
      </c>
      <c r="AO113" s="31">
        <f t="shared" si="114"/>
        <v>1.0670654587721851</v>
      </c>
      <c r="AP113" s="58" t="str">
        <f t="shared" si="115"/>
        <v>-0.00431135877842034+0.00238643305925559i</v>
      </c>
      <c r="AQ113" s="49">
        <f t="shared" si="116"/>
        <v>-46.146998552729187</v>
      </c>
      <c r="AR113" s="61">
        <f t="shared" si="117"/>
        <v>151.03449570780049</v>
      </c>
      <c r="AS113" s="58" t="str">
        <f t="shared" si="118"/>
        <v>4.80965377965802+8.331330920778i</v>
      </c>
      <c r="AT113" s="64">
        <f t="shared" si="119"/>
        <v>19.663475366963855</v>
      </c>
      <c r="AU113" s="61">
        <f t="shared" si="120"/>
        <v>60.002281735613188</v>
      </c>
    </row>
    <row r="114" spans="14:47" x14ac:dyDescent="0.3">
      <c r="N114" s="10">
        <v>96</v>
      </c>
      <c r="O114" s="50">
        <f t="shared" si="97"/>
        <v>91.201083935590972</v>
      </c>
      <c r="P114" s="48" t="str">
        <f t="shared" si="88"/>
        <v>51201.9230769231</v>
      </c>
      <c r="Q114" s="17" t="str">
        <f t="shared" si="89"/>
        <v>1+26.7782873983959i</v>
      </c>
      <c r="R114" s="17">
        <f t="shared" si="98"/>
        <v>26.796952737038751</v>
      </c>
      <c r="S114" s="17">
        <f t="shared" si="99"/>
        <v>1.5334699838752979</v>
      </c>
      <c r="T114" s="17" t="str">
        <f t="shared" si="90"/>
        <v>1+1.71909993174887E-09i</v>
      </c>
      <c r="U114" s="17">
        <f t="shared" si="100"/>
        <v>1</v>
      </c>
      <c r="V114" s="17">
        <f t="shared" si="101"/>
        <v>1.71909993174887E-9</v>
      </c>
      <c r="W114" s="31" t="str">
        <f t="shared" si="91"/>
        <v>1-0.00092831396314439i</v>
      </c>
      <c r="X114" s="17">
        <f t="shared" si="102"/>
        <v>1.0000004308833141</v>
      </c>
      <c r="Y114" s="17">
        <f t="shared" si="103"/>
        <v>-9.2831369648113909E-4</v>
      </c>
      <c r="Z114" s="31" t="str">
        <f t="shared" si="92"/>
        <v>0.999996672944916+0.0566490649700734i</v>
      </c>
      <c r="AA114" s="17">
        <f t="shared" si="104"/>
        <v>1.0015999513093463</v>
      </c>
      <c r="AB114" s="17">
        <f t="shared" si="105"/>
        <v>5.6588771437301712E-2</v>
      </c>
      <c r="AC114" s="66" t="str">
        <f t="shared" si="106"/>
        <v>-38.5149637681039-1907.2965594371i</v>
      </c>
      <c r="AD114" s="64">
        <f t="shared" si="107"/>
        <v>65.610135098361141</v>
      </c>
      <c r="AE114" s="61">
        <f t="shared" si="108"/>
        <v>-91.156844215612196</v>
      </c>
      <c r="AF114" s="31" t="str">
        <f t="shared" si="93"/>
        <v>-1.33333333333333E-06</v>
      </c>
      <c r="AG114" s="31" t="str">
        <f t="shared" si="94"/>
        <v>0.00057360634389354i</v>
      </c>
      <c r="AH114" s="31">
        <f t="shared" si="109"/>
        <v>5.7360634389354E-4</v>
      </c>
      <c r="AI114" s="31">
        <f t="shared" si="110"/>
        <v>1.5707963267948966</v>
      </c>
      <c r="AJ114" s="31" t="str">
        <f t="shared" si="95"/>
        <v>1+0.00185477315313564i</v>
      </c>
      <c r="AK114" s="31">
        <f t="shared" si="111"/>
        <v>1.0000017200902456</v>
      </c>
      <c r="AL114" s="31">
        <f t="shared" si="112"/>
        <v>1.854771026220062E-3</v>
      </c>
      <c r="AM114" s="31" t="str">
        <f t="shared" si="96"/>
        <v>1+1.85662792628878i</v>
      </c>
      <c r="AN114" s="31">
        <f t="shared" si="113"/>
        <v>2.1088070695716512</v>
      </c>
      <c r="AO114" s="31">
        <f t="shared" si="114"/>
        <v>1.0767391916533309</v>
      </c>
      <c r="AP114" s="58" t="str">
        <f t="shared" si="115"/>
        <v>-0.00431135811087875+0.00233247111553565i</v>
      </c>
      <c r="AQ114" s="49">
        <f t="shared" si="116"/>
        <v>-46.192782148152183</v>
      </c>
      <c r="AR114" s="61">
        <f t="shared" si="117"/>
        <v>151.58634076629824</v>
      </c>
      <c r="AS114" s="58" t="str">
        <f t="shared" si="118"/>
        <v>4.61476593507938+8.13320345087527i</v>
      </c>
      <c r="AT114" s="64">
        <f t="shared" si="119"/>
        <v>19.417352950208965</v>
      </c>
      <c r="AU114" s="61">
        <f t="shared" si="120"/>
        <v>60.429496550685997</v>
      </c>
    </row>
    <row r="115" spans="14:47" x14ac:dyDescent="0.3">
      <c r="N115" s="10">
        <v>97</v>
      </c>
      <c r="O115" s="50">
        <f t="shared" si="97"/>
        <v>93.325430079699174</v>
      </c>
      <c r="P115" s="48" t="str">
        <f t="shared" si="88"/>
        <v>51201.9230769231</v>
      </c>
      <c r="Q115" s="17" t="str">
        <f t="shared" si="89"/>
        <v>1+27.4020338400586i</v>
      </c>
      <c r="R115" s="17">
        <f t="shared" si="98"/>
        <v>27.420274589648383</v>
      </c>
      <c r="S115" s="17">
        <f t="shared" si="99"/>
        <v>1.5343188729093939</v>
      </c>
      <c r="T115" s="17" t="str">
        <f t="shared" si="90"/>
        <v>1+1.75914291318895E-09i</v>
      </c>
      <c r="U115" s="17">
        <f t="shared" si="100"/>
        <v>1</v>
      </c>
      <c r="V115" s="17">
        <f t="shared" si="101"/>
        <v>1.7591429131889499E-9</v>
      </c>
      <c r="W115" s="31" t="str">
        <f t="shared" si="91"/>
        <v>1-0.000949937173122031i</v>
      </c>
      <c r="X115" s="17">
        <f t="shared" si="102"/>
        <v>1.0000004511902147</v>
      </c>
      <c r="Y115" s="17">
        <f t="shared" si="103"/>
        <v>-9.4993688738721652E-4</v>
      </c>
      <c r="Z115" s="31" t="str">
        <f t="shared" si="92"/>
        <v>0.99999651614564+0.0579685912031334i</v>
      </c>
      <c r="AA115" s="17">
        <f t="shared" si="104"/>
        <v>1.0016752916337175</v>
      </c>
      <c r="AB115" s="17">
        <f t="shared" si="105"/>
        <v>5.7903991353135453E-2</v>
      </c>
      <c r="AC115" s="66" t="str">
        <f t="shared" si="106"/>
        <v>-41.7102786270978-1863.71273129783i</v>
      </c>
      <c r="AD115" s="64">
        <f t="shared" si="107"/>
        <v>65.409754161346541</v>
      </c>
      <c r="AE115" s="61">
        <f t="shared" si="108"/>
        <v>-91.282077440133904</v>
      </c>
      <c r="AF115" s="31" t="str">
        <f t="shared" si="93"/>
        <v>-1.33333333333333E-06</v>
      </c>
      <c r="AG115" s="31" t="str">
        <f t="shared" si="94"/>
        <v>0.000586967352034045i</v>
      </c>
      <c r="AH115" s="31">
        <f t="shared" si="109"/>
        <v>5.8696735203404501E-4</v>
      </c>
      <c r="AI115" s="31">
        <f t="shared" si="110"/>
        <v>1.5707963267948966</v>
      </c>
      <c r="AJ115" s="31" t="str">
        <f t="shared" si="95"/>
        <v>1+0.00189797636987418i</v>
      </c>
      <c r="AK115" s="31">
        <f t="shared" si="111"/>
        <v>1.0000018011555283</v>
      </c>
      <c r="AL115" s="31">
        <f t="shared" si="112"/>
        <v>1.8979740908432992E-3</v>
      </c>
      <c r="AM115" s="31" t="str">
        <f t="shared" si="96"/>
        <v>1+1.89987434624406i</v>
      </c>
      <c r="AN115" s="31">
        <f t="shared" si="113"/>
        <v>2.1469798628576591</v>
      </c>
      <c r="AO115" s="31">
        <f t="shared" si="114"/>
        <v>1.0862911395662058</v>
      </c>
      <c r="AP115" s="58" t="str">
        <f t="shared" si="115"/>
        <v>-0.0043113574118771+0.00227974587875833i</v>
      </c>
      <c r="AQ115" s="49">
        <f t="shared" si="116"/>
        <v>-46.236960407559678</v>
      </c>
      <c r="AR115" s="61">
        <f t="shared" si="117"/>
        <v>152.13115171456971</v>
      </c>
      <c r="AS115" s="58" t="str">
        <f t="shared" si="118"/>
        <v>4.42861933727606+7.94004286188863i</v>
      </c>
      <c r="AT115" s="64">
        <f t="shared" si="119"/>
        <v>19.172793753786863</v>
      </c>
      <c r="AU115" s="61">
        <f t="shared" si="120"/>
        <v>60.849074274435822</v>
      </c>
    </row>
    <row r="116" spans="14:47" x14ac:dyDescent="0.3">
      <c r="N116" s="10">
        <v>98</v>
      </c>
      <c r="O116" s="50">
        <f t="shared" si="97"/>
        <v>95.499258602143655</v>
      </c>
      <c r="P116" s="48" t="str">
        <f t="shared" si="88"/>
        <v>51201.9230769231</v>
      </c>
      <c r="Q116" s="17" t="str">
        <f t="shared" si="89"/>
        <v>1+28.040309202772i</v>
      </c>
      <c r="R116" s="17">
        <f t="shared" si="98"/>
        <v>28.058135009067513</v>
      </c>
      <c r="S116" s="17">
        <f t="shared" si="99"/>
        <v>1.5351484896953942</v>
      </c>
      <c r="T116" s="17" t="str">
        <f t="shared" si="90"/>
        <v>1+1.8001186154866E-09i</v>
      </c>
      <c r="U116" s="17">
        <f t="shared" si="100"/>
        <v>1</v>
      </c>
      <c r="V116" s="17">
        <f t="shared" si="101"/>
        <v>1.8001186154866001E-9</v>
      </c>
      <c r="W116" s="31" t="str">
        <f t="shared" si="91"/>
        <v>1-0.000972064052362763i</v>
      </c>
      <c r="X116" s="17">
        <f t="shared" si="102"/>
        <v>1.0000004724541494</v>
      </c>
      <c r="Y116" s="17">
        <f t="shared" si="103"/>
        <v>-9.7206374619240095E-4</v>
      </c>
      <c r="Z116" s="31" t="str">
        <f t="shared" si="92"/>
        <v>0.999996351956643+0.0593188531505541i</v>
      </c>
      <c r="AA116" s="17">
        <f t="shared" si="104"/>
        <v>1.0017541765651348</v>
      </c>
      <c r="AB116" s="17">
        <f t="shared" si="105"/>
        <v>5.9249639708971617E-2</v>
      </c>
      <c r="AC116" s="66" t="str">
        <f t="shared" si="106"/>
        <v>-44.7606376772319-1821.1066180769i</v>
      </c>
      <c r="AD116" s="64">
        <f t="shared" si="107"/>
        <v>65.20933031183624</v>
      </c>
      <c r="AE116" s="61">
        <f t="shared" si="108"/>
        <v>-91.407978725358731</v>
      </c>
      <c r="AF116" s="31" t="str">
        <f t="shared" si="93"/>
        <v>-1.33333333333333E-06</v>
      </c>
      <c r="AG116" s="31" t="str">
        <f t="shared" si="94"/>
        <v>0.000600639578034028i</v>
      </c>
      <c r="AH116" s="31">
        <f t="shared" si="109"/>
        <v>6.0063957803402801E-4</v>
      </c>
      <c r="AI116" s="31">
        <f t="shared" si="110"/>
        <v>1.5707963267948966</v>
      </c>
      <c r="AJ116" s="31" t="str">
        <f t="shared" si="95"/>
        <v>1+0.00194218591880672i</v>
      </c>
      <c r="AK116" s="31">
        <f t="shared" si="111"/>
        <v>1.0000018860412931</v>
      </c>
      <c r="AL116" s="31">
        <f t="shared" si="112"/>
        <v>1.9421834767813831E-3</v>
      </c>
      <c r="AM116" s="31" t="str">
        <f t="shared" si="96"/>
        <v>1+1.94412810472553i</v>
      </c>
      <c r="AN116" s="31">
        <f t="shared" si="113"/>
        <v>2.186237427084186</v>
      </c>
      <c r="AO116" s="31">
        <f t="shared" si="114"/>
        <v>1.0957193941209287</v>
      </c>
      <c r="AP116" s="58" t="str">
        <f t="shared" si="115"/>
        <v>-0.00431135667993279+0.00222822939329685i</v>
      </c>
      <c r="AQ116" s="49">
        <f t="shared" si="116"/>
        <v>-46.279574068647918</v>
      </c>
      <c r="AR116" s="61">
        <f t="shared" si="117"/>
        <v>152.6688178975013</v>
      </c>
      <c r="AS116" s="58" t="str">
        <f t="shared" si="118"/>
        <v>4.25082236897415+7.75170321418054i</v>
      </c>
      <c r="AT116" s="64">
        <f t="shared" si="119"/>
        <v>18.929756243188315</v>
      </c>
      <c r="AU116" s="61">
        <f t="shared" si="120"/>
        <v>61.260839172142589</v>
      </c>
    </row>
    <row r="117" spans="14:47" x14ac:dyDescent="0.3">
      <c r="N117" s="10">
        <v>99</v>
      </c>
      <c r="O117" s="50">
        <f t="shared" si="97"/>
        <v>97.723722095581124</v>
      </c>
      <c r="P117" s="48" t="str">
        <f t="shared" si="88"/>
        <v>51201.9230769231</v>
      </c>
      <c r="Q117" s="17" t="str">
        <f t="shared" si="89"/>
        <v>1+28.6934519085821i</v>
      </c>
      <c r="R117" s="17">
        <f t="shared" si="98"/>
        <v>28.710872199048811</v>
      </c>
      <c r="S117" s="17">
        <f t="shared" si="99"/>
        <v>1.5359592695365278</v>
      </c>
      <c r="T117" s="17" t="str">
        <f t="shared" si="90"/>
        <v>1+1.84204876450157E-09i</v>
      </c>
      <c r="U117" s="17">
        <f t="shared" si="100"/>
        <v>1</v>
      </c>
      <c r="V117" s="17">
        <f t="shared" si="101"/>
        <v>1.84204876450157E-9</v>
      </c>
      <c r="W117" s="31" t="str">
        <f t="shared" si="91"/>
        <v>1-0.000994706332830847i</v>
      </c>
      <c r="X117" s="17">
        <f t="shared" si="102"/>
        <v>1.0000004947202219</v>
      </c>
      <c r="Y117" s="17">
        <f t="shared" si="103"/>
        <v>-9.9470600476340206E-4</v>
      </c>
      <c r="Z117" s="31" t="str">
        <f t="shared" si="92"/>
        <v>0.999996180029656+0.0607005667390931i</v>
      </c>
      <c r="AA117" s="17">
        <f t="shared" si="104"/>
        <v>1.0018367725714361</v>
      </c>
      <c r="AB117" s="17">
        <f t="shared" si="105"/>
        <v>6.0626410541957033E-2</v>
      </c>
      <c r="AC117" s="66" t="str">
        <f t="shared" si="106"/>
        <v>-47.6724611622355-1779.45633758842i</v>
      </c>
      <c r="AD117" s="64">
        <f t="shared" si="107"/>
        <v>65.008862663503322</v>
      </c>
      <c r="AE117" s="61">
        <f t="shared" si="108"/>
        <v>-91.534613449909102</v>
      </c>
      <c r="AF117" s="31" t="str">
        <f t="shared" si="93"/>
        <v>-1.33333333333333E-06</v>
      </c>
      <c r="AG117" s="31" t="str">
        <f t="shared" si="94"/>
        <v>0.00061463027108869i</v>
      </c>
      <c r="AH117" s="31">
        <f t="shared" si="109"/>
        <v>6.1463027108869003E-4</v>
      </c>
      <c r="AI117" s="31">
        <f t="shared" si="110"/>
        <v>1.5707963267948966</v>
      </c>
      <c r="AJ117" s="31" t="str">
        <f t="shared" si="95"/>
        <v>1+0.00198742524042127i</v>
      </c>
      <c r="AK117" s="31">
        <f t="shared" si="111"/>
        <v>1.000001974927593</v>
      </c>
      <c r="AL117" s="31">
        <f t="shared" si="112"/>
        <v>1.9874226237442563E-3</v>
      </c>
      <c r="AM117" s="31" t="str">
        <f t="shared" si="96"/>
        <v>1+1.98941266566169i</v>
      </c>
      <c r="AN117" s="31">
        <f t="shared" si="113"/>
        <v>2.2266034119921652</v>
      </c>
      <c r="AO117" s="31">
        <f t="shared" si="114"/>
        <v>1.105022248662203</v>
      </c>
      <c r="AP117" s="58" t="str">
        <f t="shared" si="115"/>
        <v>-0.00431135591349323+0.00217789434441977i</v>
      </c>
      <c r="AQ117" s="49">
        <f t="shared" si="116"/>
        <v>-46.320663933867024</v>
      </c>
      <c r="AR117" s="61">
        <f t="shared" si="117"/>
        <v>153.19924018795066</v>
      </c>
      <c r="AS117" s="58" t="str">
        <f t="shared" si="118"/>
        <v>4.08100084111832+7.56804402031504i</v>
      </c>
      <c r="AT117" s="64">
        <f t="shared" si="119"/>
        <v>18.688198729636291</v>
      </c>
      <c r="AU117" s="61">
        <f t="shared" si="120"/>
        <v>61.664626738041562</v>
      </c>
    </row>
    <row r="118" spans="14:47" x14ac:dyDescent="0.3">
      <c r="N118" s="10">
        <v>100</v>
      </c>
      <c r="O118" s="50">
        <f t="shared" si="97"/>
        <v>100</v>
      </c>
      <c r="P118" s="48" t="str">
        <f t="shared" si="88"/>
        <v>51201.9230769231</v>
      </c>
      <c r="Q118" s="17" t="str">
        <f t="shared" si="89"/>
        <v>1+29.3618082623969i</v>
      </c>
      <c r="R118" s="17">
        <f t="shared" si="98"/>
        <v>29.378832251091243</v>
      </c>
      <c r="S118" s="17">
        <f t="shared" si="99"/>
        <v>1.5367516380527442</v>
      </c>
      <c r="T118" s="17" t="str">
        <f t="shared" si="90"/>
        <v>1+1.88495559215388E-09i</v>
      </c>
      <c r="U118" s="17">
        <f t="shared" si="100"/>
        <v>1</v>
      </c>
      <c r="V118" s="17">
        <f t="shared" si="101"/>
        <v>1.88495559215388E-9</v>
      </c>
      <c r="W118" s="31" t="str">
        <f t="shared" si="91"/>
        <v>1-0.00101787601976309i</v>
      </c>
      <c r="X118" s="17">
        <f t="shared" si="102"/>
        <v>1.0000005180356617</v>
      </c>
      <c r="Y118" s="17">
        <f t="shared" si="103"/>
        <v>-1.0178756682324994E-3</v>
      </c>
      <c r="Z118" s="31" t="str">
        <f t="shared" si="92"/>
        <v>0.999996+0.0621144645715842i</v>
      </c>
      <c r="AA118" s="17">
        <f t="shared" si="104"/>
        <v>1.0019232539097067</v>
      </c>
      <c r="AB118" s="17">
        <f t="shared" si="105"/>
        <v>6.2035013010287951E-2</v>
      </c>
      <c r="AC118" s="66" t="str">
        <f t="shared" si="106"/>
        <v>-50.4518799980584-1738.74046824651i</v>
      </c>
      <c r="AD118" s="64">
        <f t="shared" si="107"/>
        <v>64.808350238733908</v>
      </c>
      <c r="AE118" s="61">
        <f t="shared" si="108"/>
        <v>-91.662047319625557</v>
      </c>
      <c r="AF118" s="31" t="str">
        <f t="shared" si="93"/>
        <v>-1.33333333333333E-06</v>
      </c>
      <c r="AG118" s="31" t="str">
        <f t="shared" si="94"/>
        <v>0.000628946849248677i</v>
      </c>
      <c r="AH118" s="31">
        <f t="shared" si="109"/>
        <v>6.2894684924867704E-4</v>
      </c>
      <c r="AI118" s="31">
        <f t="shared" si="110"/>
        <v>1.5707963267948966</v>
      </c>
      <c r="AJ118" s="31" t="str">
        <f t="shared" si="95"/>
        <v>1+0.00203371832120498i</v>
      </c>
      <c r="AK118" s="31">
        <f t="shared" si="111"/>
        <v>1.0000020680029666</v>
      </c>
      <c r="AL118" s="31">
        <f t="shared" si="112"/>
        <v>2.0337155173853578E-3</v>
      </c>
      <c r="AM118" s="31" t="str">
        <f t="shared" si="96"/>
        <v>1+2.03575203952619i</v>
      </c>
      <c r="AN118" s="31">
        <f t="shared" si="113"/>
        <v>2.2681019303450718</v>
      </c>
      <c r="AO118" s="31">
        <f t="shared" si="114"/>
        <v>1.1141981939914964</v>
      </c>
      <c r="AP118" s="58" t="str">
        <f t="shared" si="115"/>
        <v>-0.00431135511093282+0.00212871404380833i</v>
      </c>
      <c r="AQ118" s="49">
        <f t="shared" si="116"/>
        <v>-46.360270782877336</v>
      </c>
      <c r="AR118" s="61">
        <f t="shared" si="117"/>
        <v>153.72233074093484</v>
      </c>
      <c r="AS118" s="58" t="str">
        <f t="shared" si="118"/>
        <v>3.91879722398002+7.38892997887192i</v>
      </c>
      <c r="AT118" s="64">
        <f t="shared" si="119"/>
        <v>18.448079455856572</v>
      </c>
      <c r="AU118" s="61">
        <f t="shared" si="120"/>
        <v>62.060283421309293</v>
      </c>
    </row>
    <row r="119" spans="14:47" x14ac:dyDescent="0.3">
      <c r="N119" s="10">
        <v>1</v>
      </c>
      <c r="O119" s="50">
        <f>10^(2+(N119/100))</f>
        <v>102.32929922807544</v>
      </c>
      <c r="P119" s="48" t="str">
        <f t="shared" si="88"/>
        <v>51201.9230769231</v>
      </c>
      <c r="Q119" s="17" t="str">
        <f t="shared" si="89"/>
        <v>1+30.0457326356019i</v>
      </c>
      <c r="R119" s="17">
        <f t="shared" si="98"/>
        <v>30.062369327950069</v>
      </c>
      <c r="S119" s="17">
        <f t="shared" si="99"/>
        <v>1.5375260113861493</v>
      </c>
      <c r="T119" s="17" t="str">
        <f t="shared" si="90"/>
        <v>1+1.92886184821148E-09i</v>
      </c>
      <c r="U119" s="17">
        <f t="shared" si="100"/>
        <v>1</v>
      </c>
      <c r="V119" s="17">
        <f t="shared" si="101"/>
        <v>1.9288618482114801E-9</v>
      </c>
      <c r="W119" s="31" t="str">
        <f t="shared" si="91"/>
        <v>1-0.0010415853980342i</v>
      </c>
      <c r="X119" s="17">
        <f t="shared" si="102"/>
        <v>1.0000005424499236</v>
      </c>
      <c r="Y119" s="17">
        <f t="shared" si="103"/>
        <v>-1.0415850213623967E-3</v>
      </c>
      <c r="Z119" s="31" t="str">
        <f t="shared" si="92"/>
        <v>0.999995811485808+0.0635612963153733i</v>
      </c>
      <c r="AA119" s="17">
        <f t="shared" si="104"/>
        <v>1.0020138029879879</v>
      </c>
      <c r="AB119" s="17">
        <f t="shared" si="105"/>
        <v>6.3476171671705786E-2</v>
      </c>
      <c r="AC119" s="66" t="str">
        <f t="shared" si="106"/>
        <v>-53.1047483938392-1698.93804083155i</v>
      </c>
      <c r="AD119" s="64">
        <f t="shared" si="107"/>
        <v>64.607791966673545</v>
      </c>
      <c r="AE119" s="61">
        <f t="shared" si="108"/>
        <v>-91.790346395658787</v>
      </c>
      <c r="AF119" s="31" t="str">
        <f t="shared" si="93"/>
        <v>-1.33333333333333E-06</v>
      </c>
      <c r="AG119" s="31" t="str">
        <f t="shared" si="94"/>
        <v>0.000643596903353231i</v>
      </c>
      <c r="AH119" s="31">
        <f t="shared" si="109"/>
        <v>6.4359690335323095E-4</v>
      </c>
      <c r="AI119" s="31">
        <f t="shared" si="110"/>
        <v>1.5707963267948966</v>
      </c>
      <c r="AJ119" s="31" t="str">
        <f t="shared" si="95"/>
        <v>1+0.00208108970636203i</v>
      </c>
      <c r="AK119" s="31">
        <f t="shared" si="111"/>
        <v>1.0000021654648383</v>
      </c>
      <c r="AL119" s="31">
        <f t="shared" si="112"/>
        <v>2.0810867020155275E-3</v>
      </c>
      <c r="AM119" s="31" t="str">
        <f t="shared" si="96"/>
        <v>1+2.0831707960684i</v>
      </c>
      <c r="AN119" s="31">
        <f t="shared" si="113"/>
        <v>2.3107575739554016</v>
      </c>
      <c r="AO119" s="31">
        <f t="shared" si="114"/>
        <v>1.1232459136008766</v>
      </c>
      <c r="AP119" s="58" t="str">
        <f t="shared" si="115"/>
        <v>-0.00431135427054919+0.00208066241540589i</v>
      </c>
      <c r="AQ119" s="49">
        <f t="shared" si="116"/>
        <v>-46.398435289646251</v>
      </c>
      <c r="AR119" s="61">
        <f t="shared" si="117"/>
        <v>154.23801271982023</v>
      </c>
      <c r="AS119" s="58" t="str">
        <f t="shared" si="118"/>
        <v>3.76386991143574+7.21423072367493i</v>
      </c>
      <c r="AT119" s="64">
        <f t="shared" si="119"/>
        <v>18.209356677027287</v>
      </c>
      <c r="AU119" s="61">
        <f t="shared" si="120"/>
        <v>62.447666324161453</v>
      </c>
    </row>
    <row r="120" spans="14:47" x14ac:dyDescent="0.3">
      <c r="N120" s="10">
        <v>2</v>
      </c>
      <c r="O120" s="50">
        <f t="shared" ref="O120:O183" si="121">10^(2+(N120/100))</f>
        <v>104.71285480508998</v>
      </c>
      <c r="P120" s="48" t="str">
        <f t="shared" si="88"/>
        <v>51201.9230769231</v>
      </c>
      <c r="Q120" s="17" t="str">
        <f t="shared" si="89"/>
        <v>1+30.7455876539526i</v>
      </c>
      <c r="R120" s="17">
        <f t="shared" si="98"/>
        <v>30.7618458514258</v>
      </c>
      <c r="S120" s="17">
        <f t="shared" si="99"/>
        <v>1.538282796402763</v>
      </c>
      <c r="T120" s="17" t="str">
        <f t="shared" si="90"/>
        <v>1+1.97379081235251E-09i</v>
      </c>
      <c r="U120" s="17">
        <f t="shared" si="100"/>
        <v>1</v>
      </c>
      <c r="V120" s="17">
        <f t="shared" si="101"/>
        <v>1.9737908123525101E-9</v>
      </c>
      <c r="W120" s="31" t="str">
        <f t="shared" si="91"/>
        <v>1-0.00106584703867036i</v>
      </c>
      <c r="X120" s="17">
        <f t="shared" si="102"/>
        <v>1.0000005680147936</v>
      </c>
      <c r="Y120" s="17">
        <f t="shared" si="103"/>
        <v>-1.0658466350592635E-3</v>
      </c>
      <c r="Z120" s="31" t="str">
        <f t="shared" si="92"/>
        <v>0.999995614087215+0.0650418290998021i</v>
      </c>
      <c r="AA120" s="17">
        <f t="shared" si="104"/>
        <v>1.0021086107435233</v>
      </c>
      <c r="AB120" s="17">
        <f t="shared" si="105"/>
        <v>6.4950626763331576E-2</v>
      </c>
      <c r="AC120" s="66" t="str">
        <f t="shared" si="106"/>
        <v>-55.6366559207631-1660.02853029428i</v>
      </c>
      <c r="AD120" s="64">
        <f t="shared" si="107"/>
        <v>64.40718668109001</v>
      </c>
      <c r="AE120" s="61">
        <f t="shared" si="108"/>
        <v>-91.919577122435982</v>
      </c>
      <c r="AF120" s="31" t="str">
        <f t="shared" si="93"/>
        <v>-1.33333333333333E-06</v>
      </c>
      <c r="AG120" s="31" t="str">
        <f t="shared" si="94"/>
        <v>0.000658588201054955i</v>
      </c>
      <c r="AH120" s="31">
        <f t="shared" si="109"/>
        <v>6.5858820105495501E-4</v>
      </c>
      <c r="AI120" s="31">
        <f t="shared" si="110"/>
        <v>1.5707963267948966</v>
      </c>
      <c r="AJ120" s="31" t="str">
        <f t="shared" si="95"/>
        <v>1+0.00212956451282788i</v>
      </c>
      <c r="AK120" s="31">
        <f t="shared" si="111"/>
        <v>1.0000022675199363</v>
      </c>
      <c r="AL120" s="31">
        <f t="shared" si="112"/>
        <v>2.1295612936129975E-3</v>
      </c>
      <c r="AM120" s="31" t="str">
        <f t="shared" si="96"/>
        <v>1+2.13169407734071i</v>
      </c>
      <c r="AN120" s="31">
        <f t="shared" si="113"/>
        <v>2.3545954300833634</v>
      </c>
      <c r="AO120" s="31">
        <f t="shared" si="114"/>
        <v>1.1321642784736898</v>
      </c>
      <c r="AP120" s="58" t="str">
        <f t="shared" si="115"/>
        <v>-0.00431135339055986+0.00203371398159204i</v>
      </c>
      <c r="AQ120" s="49">
        <f t="shared" si="116"/>
        <v>-46.435197944330739</v>
      </c>
      <c r="AR120" s="61">
        <f t="shared" si="117"/>
        <v>154.74621999767791</v>
      </c>
      <c r="AS120" s="58" t="str">
        <f t="shared" si="118"/>
        <v>3.61589251704456+7.04382058747526i</v>
      </c>
      <c r="AT120" s="64">
        <f t="shared" si="119"/>
        <v>17.971988736759279</v>
      </c>
      <c r="AU120" s="61">
        <f t="shared" si="120"/>
        <v>62.826642875241895</v>
      </c>
    </row>
    <row r="121" spans="14:47" x14ac:dyDescent="0.3">
      <c r="N121" s="10">
        <v>3</v>
      </c>
      <c r="O121" s="50">
        <f t="shared" si="121"/>
        <v>107.15193052376065</v>
      </c>
      <c r="P121" s="48" t="str">
        <f t="shared" si="88"/>
        <v>51201.9230769231</v>
      </c>
      <c r="Q121" s="17" t="str">
        <f t="shared" si="89"/>
        <v>1+31.4617443898434i</v>
      </c>
      <c r="R121" s="17">
        <f t="shared" si="98"/>
        <v>31.477632694531568</v>
      </c>
      <c r="S121" s="17">
        <f t="shared" si="99"/>
        <v>1.5390223908906069</v>
      </c>
      <c r="T121" s="17" t="str">
        <f t="shared" si="90"/>
        <v>1+2.01976630650847E-09i</v>
      </c>
      <c r="U121" s="17">
        <f t="shared" si="100"/>
        <v>1</v>
      </c>
      <c r="V121" s="17">
        <f t="shared" si="101"/>
        <v>2.0197663065084701E-9</v>
      </c>
      <c r="W121" s="31" t="str">
        <f t="shared" si="91"/>
        <v>1-0.00109067380551457i</v>
      </c>
      <c r="X121" s="17">
        <f t="shared" si="102"/>
        <v>1.0000005947844981</v>
      </c>
      <c r="Y121" s="17">
        <f t="shared" si="103"/>
        <v>-1.090673373037502E-3</v>
      </c>
      <c r="Z121" s="31" t="str">
        <f t="shared" si="92"/>
        <v>0.999995407385514+0.0665568479229499i</v>
      </c>
      <c r="AA121" s="17">
        <f t="shared" si="104"/>
        <v>1.0022078770382712</v>
      </c>
      <c r="AB121" s="17">
        <f t="shared" si="105"/>
        <v>6.645913448251678E-2</v>
      </c>
      <c r="AC121" s="66" t="str">
        <f t="shared" si="106"/>
        <v>-58.0529390514855-1621.99184760705i</v>
      </c>
      <c r="AD121" s="64">
        <f t="shared" si="107"/>
        <v>64.206533118050174</v>
      </c>
      <c r="AE121" s="61">
        <f t="shared" si="108"/>
        <v>-92.049806355483838</v>
      </c>
      <c r="AF121" s="31" t="str">
        <f t="shared" si="93"/>
        <v>-1.33333333333333E-06</v>
      </c>
      <c r="AG121" s="31" t="str">
        <f t="shared" si="94"/>
        <v>0.000673928690938324i</v>
      </c>
      <c r="AH121" s="31">
        <f t="shared" si="109"/>
        <v>6.7392869093832399E-4</v>
      </c>
      <c r="AI121" s="31">
        <f t="shared" si="110"/>
        <v>1.5707963267948966</v>
      </c>
      <c r="AJ121" s="31" t="str">
        <f t="shared" si="95"/>
        <v>1+0.00217916844258655i</v>
      </c>
      <c r="AK121" s="31">
        <f t="shared" si="111"/>
        <v>1.0000023743847317</v>
      </c>
      <c r="AL121" s="31">
        <f t="shared" si="112"/>
        <v>2.1791649931360976E-3</v>
      </c>
      <c r="AM121" s="31" t="str">
        <f t="shared" si="96"/>
        <v>1+2.18134761102914i</v>
      </c>
      <c r="AN121" s="31">
        <f t="shared" si="113"/>
        <v>2.3996410981941731</v>
      </c>
      <c r="AO121" s="31">
        <f t="shared" si="114"/>
        <v>1.1409523415062945</v>
      </c>
      <c r="AP121" s="58" t="str">
        <f t="shared" si="115"/>
        <v>-0.00431135246909831+0.00198784384967391i</v>
      </c>
      <c r="AQ121" s="49">
        <f t="shared" si="116"/>
        <v>-46.470598980048976</v>
      </c>
      <c r="AR121" s="61">
        <f t="shared" si="117"/>
        <v>155.24689683691037</v>
      </c>
      <c r="AS121" s="58" t="str">
        <f t="shared" si="118"/>
        <v>3.47455320060493+6.87757837918899i</v>
      </c>
      <c r="AT121" s="64">
        <f t="shared" si="119"/>
        <v>17.735934138001202</v>
      </c>
      <c r="AU121" s="61">
        <f t="shared" si="120"/>
        <v>63.197090481426521</v>
      </c>
    </row>
    <row r="122" spans="14:47" x14ac:dyDescent="0.3">
      <c r="N122" s="10">
        <v>4</v>
      </c>
      <c r="O122" s="50">
        <f t="shared" si="121"/>
        <v>109.64781961431861</v>
      </c>
      <c r="P122" s="48" t="str">
        <f t="shared" si="88"/>
        <v>51201.9230769231</v>
      </c>
      <c r="Q122" s="17" t="str">
        <f t="shared" si="89"/>
        <v>1+32.1945825590551i</v>
      </c>
      <c r="R122" s="17">
        <f t="shared" si="98"/>
        <v>32.210109378141127</v>
      </c>
      <c r="S122" s="17">
        <f t="shared" si="99"/>
        <v>1.5397451837541525</v>
      </c>
      <c r="T122" s="17" t="str">
        <f t="shared" si="90"/>
        <v>1+2.06681270749489E-09i</v>
      </c>
      <c r="U122" s="17">
        <f t="shared" si="100"/>
        <v>1</v>
      </c>
      <c r="V122" s="17">
        <f t="shared" si="101"/>
        <v>2.0668127074948898E-9</v>
      </c>
      <c r="W122" s="31" t="str">
        <f t="shared" si="91"/>
        <v>1-0.00111607886204724i</v>
      </c>
      <c r="X122" s="17">
        <f t="shared" si="102"/>
        <v>1.0000006228158194</v>
      </c>
      <c r="Y122" s="17">
        <f t="shared" si="103"/>
        <v>-1.1160783986397282E-3</v>
      </c>
      <c r="Z122" s="31" t="str">
        <f t="shared" si="92"/>
        <v>0.999995190942262+0.0681071560678505i</v>
      </c>
      <c r="AA122" s="17">
        <f t="shared" si="104"/>
        <v>1.0023118110724334</v>
      </c>
      <c r="AB122" s="17">
        <f t="shared" si="105"/>
        <v>6.8002467268359859E-2</v>
      </c>
      <c r="AC122" s="66" t="str">
        <f t="shared" si="106"/>
        <v>-60.3586921919437-1584.80833167039i</v>
      </c>
      <c r="AD122" s="64">
        <f t="shared" si="107"/>
        <v>64.005829913405762</v>
      </c>
      <c r="AE122" s="61">
        <f t="shared" si="108"/>
        <v>-92.181101389090003</v>
      </c>
      <c r="AF122" s="31" t="str">
        <f t="shared" si="93"/>
        <v>-1.33333333333333E-06</v>
      </c>
      <c r="AG122" s="31" t="str">
        <f t="shared" si="94"/>
        <v>0.000689626506734129i</v>
      </c>
      <c r="AH122" s="31">
        <f t="shared" si="109"/>
        <v>6.8962650673412898E-4</v>
      </c>
      <c r="AI122" s="31">
        <f t="shared" si="110"/>
        <v>1.5707963267948966</v>
      </c>
      <c r="AJ122" s="31" t="str">
        <f t="shared" si="95"/>
        <v>1+0.00222992779629818i</v>
      </c>
      <c r="AK122" s="31">
        <f t="shared" si="111"/>
        <v>1.0000024862858976</v>
      </c>
      <c r="AL122" s="31">
        <f t="shared" si="112"/>
        <v>2.2299241001459249E-3</v>
      </c>
      <c r="AM122" s="31" t="str">
        <f t="shared" si="96"/>
        <v>1+2.23215772409448i</v>
      </c>
      <c r="AN122" s="31">
        <f t="shared" si="113"/>
        <v>2.4459207070619948</v>
      </c>
      <c r="AO122" s="31">
        <f t="shared" si="114"/>
        <v>1.1496093316038785</v>
      </c>
      <c r="AP122" s="58" t="str">
        <f t="shared" si="115"/>
        <v>-0.00431135150421002+0.00194302769868781i</v>
      </c>
      <c r="AQ122" s="49">
        <f t="shared" si="116"/>
        <v>-46.504678304598698</v>
      </c>
      <c r="AR122" s="61">
        <f t="shared" si="117"/>
        <v>155.73999755018482</v>
      </c>
      <c r="AS122" s="58" t="str">
        <f t="shared" si="118"/>
        <v>3.33955402392067+6.71538717384619i</v>
      </c>
      <c r="AT122" s="64">
        <f t="shared" si="119"/>
        <v>17.501151608807067</v>
      </c>
      <c r="AU122" s="61">
        <f t="shared" si="120"/>
        <v>63.558896161094815</v>
      </c>
    </row>
    <row r="123" spans="14:47" x14ac:dyDescent="0.3">
      <c r="N123" s="10">
        <v>5</v>
      </c>
      <c r="O123" s="50">
        <f t="shared" si="121"/>
        <v>112.20184543019634</v>
      </c>
      <c r="P123" s="48" t="str">
        <f t="shared" si="88"/>
        <v>51201.9230769231</v>
      </c>
      <c r="Q123" s="17" t="str">
        <f t="shared" si="89"/>
        <v>1+32.9444907220852i</v>
      </c>
      <c r="R123" s="17">
        <f t="shared" si="98"/>
        <v>32.959664272221552</v>
      </c>
      <c r="S123" s="17">
        <f t="shared" si="99"/>
        <v>1.5404515552051488</v>
      </c>
      <c r="T123" s="17" t="str">
        <f t="shared" si="90"/>
        <v>1+2.11495495993634E-09i</v>
      </c>
      <c r="U123" s="17">
        <f t="shared" si="100"/>
        <v>1</v>
      </c>
      <c r="V123" s="17">
        <f t="shared" si="101"/>
        <v>2.11495495993634E-9</v>
      </c>
      <c r="W123" s="31" t="str">
        <f t="shared" si="91"/>
        <v>1-0.00114207567836562i</v>
      </c>
      <c r="X123" s="17">
        <f t="shared" si="102"/>
        <v>1.000000652168215</v>
      </c>
      <c r="Y123" s="17">
        <f t="shared" si="103"/>
        <v>-1.1420751818155424E-3</v>
      </c>
      <c r="Z123" s="31" t="str">
        <f t="shared" si="92"/>
        <v>0.999994964298353+0.069693575528403i</v>
      </c>
      <c r="AA123" s="17">
        <f t="shared" si="104"/>
        <v>1.0024206318168025</v>
      </c>
      <c r="AB123" s="17">
        <f t="shared" si="105"/>
        <v>6.9581414083498924E-2</v>
      </c>
      <c r="AC123" s="66" t="str">
        <f t="shared" si="106"/>
        <v>-62.5587782265417-1548.45874128259i</v>
      </c>
      <c r="AD123" s="64">
        <f t="shared" si="107"/>
        <v>63.805075600085104</v>
      </c>
      <c r="AE123" s="61">
        <f t="shared" si="108"/>
        <v>-92.31352998378226</v>
      </c>
      <c r="AF123" s="31" t="str">
        <f t="shared" si="93"/>
        <v>-1.33333333333333E-06</v>
      </c>
      <c r="AG123" s="31" t="str">
        <f t="shared" si="94"/>
        <v>0.00070568997163209i</v>
      </c>
      <c r="AH123" s="31">
        <f t="shared" si="109"/>
        <v>7.0568997163209001E-4</v>
      </c>
      <c r="AI123" s="31">
        <f t="shared" si="110"/>
        <v>1.5707963267948966</v>
      </c>
      <c r="AJ123" s="31" t="str">
        <f t="shared" si="95"/>
        <v>1+0.00228186948724399i</v>
      </c>
      <c r="AK123" s="31">
        <f t="shared" si="111"/>
        <v>1.0000026034607894</v>
      </c>
      <c r="AL123" s="31">
        <f t="shared" si="112"/>
        <v>2.2818655267460501E-3</v>
      </c>
      <c r="AM123" s="31" t="str">
        <f t="shared" si="96"/>
        <v>1+2.28415135673124i</v>
      </c>
      <c r="AN123" s="31">
        <f t="shared" si="113"/>
        <v>2.4934609322099202</v>
      </c>
      <c r="AO123" s="31">
        <f t="shared" si="114"/>
        <v>1.1581346475016874</v>
      </c>
      <c r="AP123" s="58" t="str">
        <f t="shared" si="115"/>
        <v>-0.00431135049384842+0.00189924176650369i</v>
      </c>
      <c r="AQ123" s="49">
        <f t="shared" si="116"/>
        <v>-46.537475437142071</v>
      </c>
      <c r="AR123" s="61">
        <f t="shared" si="117"/>
        <v>156.22548614561902</v>
      </c>
      <c r="AS123" s="58" t="str">
        <f t="shared" si="118"/>
        <v>3.21061033455318+6.55713411446331i</v>
      </c>
      <c r="AT123" s="64">
        <f t="shared" si="119"/>
        <v>17.26760016294304</v>
      </c>
      <c r="AU123" s="61">
        <f t="shared" si="120"/>
        <v>63.911956161836777</v>
      </c>
    </row>
    <row r="124" spans="14:47" x14ac:dyDescent="0.3">
      <c r="N124" s="10">
        <v>6</v>
      </c>
      <c r="O124" s="50">
        <f t="shared" si="121"/>
        <v>114.81536214968835</v>
      </c>
      <c r="P124" s="48" t="str">
        <f t="shared" si="88"/>
        <v>51201.9230769231</v>
      </c>
      <c r="Q124" s="17" t="str">
        <f t="shared" si="89"/>
        <v>1+33.7118664901681i</v>
      </c>
      <c r="R124" s="17">
        <f t="shared" si="98"/>
        <v>33.726694801757837</v>
      </c>
      <c r="S124" s="17">
        <f t="shared" si="99"/>
        <v>1.5411418769498639</v>
      </c>
      <c r="T124" s="17" t="str">
        <f t="shared" si="90"/>
        <v>1+2.16421858949228E-09i</v>
      </c>
      <c r="U124" s="17">
        <f t="shared" si="100"/>
        <v>1</v>
      </c>
      <c r="V124" s="17">
        <f t="shared" si="101"/>
        <v>2.1642185894922802E-9</v>
      </c>
      <c r="W124" s="31" t="str">
        <f t="shared" si="91"/>
        <v>1-0.00116867803832583i</v>
      </c>
      <c r="X124" s="17">
        <f t="shared" si="102"/>
        <v>1.0000006829039454</v>
      </c>
      <c r="Y124" s="17">
        <f t="shared" si="103"/>
        <v>-1.1686775062628553E-3</v>
      </c>
      <c r="Z124" s="31" t="str">
        <f t="shared" si="92"/>
        <v>0.999994726973046+0.0713169474452043i</v>
      </c>
      <c r="AA124" s="17">
        <f t="shared" si="104"/>
        <v>1.002534568464748</v>
      </c>
      <c r="AB124" s="17">
        <f t="shared" si="105"/>
        <v>7.1196780695762296E-2</v>
      </c>
      <c r="AC124" s="66" t="str">
        <f t="shared" si="106"/>
        <v>-64.6578385968805-1512.92424717907i</v>
      </c>
      <c r="AD124" s="64">
        <f t="shared" si="107"/>
        <v>63.60426860518595</v>
      </c>
      <c r="AE124" s="61">
        <f t="shared" si="108"/>
        <v>-92.44716039360307</v>
      </c>
      <c r="AF124" s="31" t="str">
        <f t="shared" si="93"/>
        <v>-1.33333333333333E-06</v>
      </c>
      <c r="AG124" s="31" t="str">
        <f t="shared" si="94"/>
        <v>0.000722127602693923i</v>
      </c>
      <c r="AH124" s="31">
        <f t="shared" si="109"/>
        <v>7.2212760269392301E-4</v>
      </c>
      <c r="AI124" s="31">
        <f t="shared" si="110"/>
        <v>1.5707963267948966</v>
      </c>
      <c r="AJ124" s="31" t="str">
        <f t="shared" si="95"/>
        <v>1+0.00233502105559606i</v>
      </c>
      <c r="AK124" s="31">
        <f t="shared" si="111"/>
        <v>1.0000027261579492</v>
      </c>
      <c r="AL124" s="31">
        <f t="shared" si="112"/>
        <v>2.3350168118466837E-3</v>
      </c>
      <c r="AM124" s="31" t="str">
        <f t="shared" si="96"/>
        <v>1+2.33735607665166i</v>
      </c>
      <c r="AN124" s="31">
        <f t="shared" si="113"/>
        <v>2.542289013676541</v>
      </c>
      <c r="AO124" s="31">
        <f t="shared" si="114"/>
        <v>1.1665278513609414</v>
      </c>
      <c r="AP124" s="58" t="str">
        <f t="shared" si="115"/>
        <v>-0.00431134943587046+0.00185646283722624i</v>
      </c>
      <c r="AQ124" s="49">
        <f t="shared" si="116"/>
        <v>-46.569029449839789</v>
      </c>
      <c r="AR124" s="61">
        <f t="shared" si="117"/>
        <v>156.70333595903529</v>
      </c>
      <c r="AS124" s="58" t="str">
        <f t="shared" si="118"/>
        <v>3.08745017638569+6.40271022509974i</v>
      </c>
      <c r="AT124" s="64">
        <f t="shared" si="119"/>
        <v>17.035239155346162</v>
      </c>
      <c r="AU124" s="61">
        <f t="shared" si="120"/>
        <v>64.25617556543223</v>
      </c>
    </row>
    <row r="125" spans="14:47" x14ac:dyDescent="0.3">
      <c r="N125" s="10">
        <v>7</v>
      </c>
      <c r="O125" s="50">
        <f t="shared" si="121"/>
        <v>117.48975549395293</v>
      </c>
      <c r="P125" s="48" t="str">
        <f t="shared" si="88"/>
        <v>51201.9230769231</v>
      </c>
      <c r="Q125" s="17" t="str">
        <f t="shared" si="89"/>
        <v>1+34.4971167360934i</v>
      </c>
      <c r="R125" s="17">
        <f t="shared" si="98"/>
        <v>34.511607657477441</v>
      </c>
      <c r="S125" s="17">
        <f t="shared" si="99"/>
        <v>1.541816512372769</v>
      </c>
      <c r="T125" s="17" t="str">
        <f t="shared" si="90"/>
        <v>1+2.21462971639118E-09i</v>
      </c>
      <c r="U125" s="17">
        <f t="shared" si="100"/>
        <v>1</v>
      </c>
      <c r="V125" s="17">
        <f t="shared" si="101"/>
        <v>2.21462971639118E-9</v>
      </c>
      <c r="W125" s="31" t="str">
        <f t="shared" si="91"/>
        <v>1-0.00119590004685124i</v>
      </c>
      <c r="X125" s="17">
        <f t="shared" si="102"/>
        <v>1.0000007150882053</v>
      </c>
      <c r="Y125" s="17">
        <f t="shared" si="103"/>
        <v>-1.1958994767355133E-3</v>
      </c>
      <c r="Z125" s="31" t="str">
        <f t="shared" si="92"/>
        <v>0.999994478462942+0.0729781325515323i</v>
      </c>
      <c r="AA125" s="17">
        <f t="shared" si="104"/>
        <v>1.0026538609046893</v>
      </c>
      <c r="AB125" s="17">
        <f t="shared" si="105"/>
        <v>7.2849389959214694E-2</v>
      </c>
      <c r="AC125" s="66" t="str">
        <f t="shared" si="106"/>
        <v>-66.6603029334335-1478.18642414788i</v>
      </c>
      <c r="AD125" s="64">
        <f t="shared" si="107"/>
        <v>63.403407246865655</v>
      </c>
      <c r="AE125" s="61">
        <f t="shared" si="108"/>
        <v>-92.582061393155371</v>
      </c>
      <c r="AF125" s="31" t="str">
        <f t="shared" si="93"/>
        <v>-1.33333333333333E-06</v>
      </c>
      <c r="AG125" s="31" t="str">
        <f t="shared" si="94"/>
        <v>0.000738948115369191i</v>
      </c>
      <c r="AH125" s="31">
        <f t="shared" si="109"/>
        <v>7.3894811536919099E-4</v>
      </c>
      <c r="AI125" s="31">
        <f t="shared" si="110"/>
        <v>1.5707963267948966</v>
      </c>
      <c r="AJ125" s="31" t="str">
        <f t="shared" si="95"/>
        <v>1+0.00238941068301945i</v>
      </c>
      <c r="AK125" s="31">
        <f t="shared" si="111"/>
        <v>1.0000028546376316</v>
      </c>
      <c r="AL125" s="31">
        <f t="shared" si="112"/>
        <v>2.3894061357607678E-3</v>
      </c>
      <c r="AM125" s="31" t="str">
        <f t="shared" si="96"/>
        <v>1+2.39180009370248i</v>
      </c>
      <c r="AN125" s="31">
        <f t="shared" si="113"/>
        <v>2.5924327741014213</v>
      </c>
      <c r="AO125" s="31">
        <f t="shared" si="114"/>
        <v>1.1747886621864809</v>
      </c>
      <c r="AP125" s="58" t="str">
        <f t="shared" si="115"/>
        <v>-0.00431134832803208+0.00181466822888537i</v>
      </c>
      <c r="AQ125" s="49">
        <f t="shared" si="116"/>
        <v>-46.599378914384182</v>
      </c>
      <c r="AR125" s="61">
        <f t="shared" si="117"/>
        <v>157.17352927598384</v>
      </c>
      <c r="AS125" s="58" t="str">
        <f t="shared" si="118"/>
        <v>2.969813725869+6.25201023440851i</v>
      </c>
      <c r="AT125" s="64">
        <f t="shared" si="119"/>
        <v>16.804028332481469</v>
      </c>
      <c r="AU125" s="61">
        <f t="shared" si="120"/>
        <v>64.591467882828482</v>
      </c>
    </row>
    <row r="126" spans="14:47" x14ac:dyDescent="0.3">
      <c r="N126" s="10">
        <v>8</v>
      </c>
      <c r="O126" s="50">
        <f t="shared" si="121"/>
        <v>120.22644346174135</v>
      </c>
      <c r="P126" s="48" t="str">
        <f t="shared" si="88"/>
        <v>51201.9230769231</v>
      </c>
      <c r="Q126" s="17" t="str">
        <f t="shared" si="89"/>
        <v>1+35.3006578099356i</v>
      </c>
      <c r="R126" s="17">
        <f t="shared" si="98"/>
        <v>35.314819011488183</v>
      </c>
      <c r="S126" s="17">
        <f t="shared" si="99"/>
        <v>1.5424758167166988</v>
      </c>
      <c r="T126" s="17" t="str">
        <f t="shared" si="90"/>
        <v>1+2.26621506927982E-09i</v>
      </c>
      <c r="U126" s="17">
        <f t="shared" si="100"/>
        <v>1</v>
      </c>
      <c r="V126" s="17">
        <f t="shared" si="101"/>
        <v>2.26621506927982E-9</v>
      </c>
      <c r="W126" s="31" t="str">
        <f t="shared" si="91"/>
        <v>1-0.0012237561374111i</v>
      </c>
      <c r="X126" s="17">
        <f t="shared" si="102"/>
        <v>1.0000007487892615</v>
      </c>
      <c r="Y126" s="17">
        <f t="shared" si="103"/>
        <v>-1.2237555265211173E-3</v>
      </c>
      <c r="Z126" s="31" t="str">
        <f t="shared" si="92"/>
        <v>0.999994218240917+0.0746780116297191i</v>
      </c>
      <c r="AA126" s="17">
        <f t="shared" si="104"/>
        <v>1.0027787602139524</v>
      </c>
      <c r="AB126" s="17">
        <f t="shared" si="105"/>
        <v>7.4540082094102095E-2</v>
      </c>
      <c r="AC126" s="66" t="str">
        <f t="shared" si="106"/>
        <v>-68.5703982588008-1444.22724322679i</v>
      </c>
      <c r="AD126" s="64">
        <f t="shared" si="107"/>
        <v>63.202489731023384</v>
      </c>
      <c r="AE126" s="61">
        <f t="shared" si="108"/>
        <v>-92.718302304393191</v>
      </c>
      <c r="AF126" s="31" t="str">
        <f t="shared" si="93"/>
        <v>-1.33333333333333E-06</v>
      </c>
      <c r="AG126" s="31" t="str">
        <f t="shared" si="94"/>
        <v>0.000756160428116364i</v>
      </c>
      <c r="AH126" s="31">
        <f t="shared" si="109"/>
        <v>7.5616042811636405E-4</v>
      </c>
      <c r="AI126" s="31">
        <f t="shared" si="110"/>
        <v>1.5707963267948966</v>
      </c>
      <c r="AJ126" s="31" t="str">
        <f t="shared" si="95"/>
        <v>1+0.00244506720761458i</v>
      </c>
      <c r="AK126" s="31">
        <f t="shared" si="111"/>
        <v>1.0000029891723572</v>
      </c>
      <c r="AL126" s="31">
        <f t="shared" si="112"/>
        <v>2.4450623351399028E-3</v>
      </c>
      <c r="AM126" s="31" t="str">
        <f t="shared" si="96"/>
        <v>1+2.4475122748222i</v>
      </c>
      <c r="AN126" s="31">
        <f t="shared" si="113"/>
        <v>2.6439206371230846</v>
      </c>
      <c r="AO126" s="31">
        <f t="shared" si="114"/>
        <v>1.1829169491106344</v>
      </c>
      <c r="AP126" s="58" t="str">
        <f t="shared" si="115"/>
        <v>-0.0043113471679835+0.00177383578140985i</v>
      </c>
      <c r="AQ126" s="49">
        <f t="shared" si="116"/>
        <v>-46.628561853351471</v>
      </c>
      <c r="AR126" s="61">
        <f t="shared" si="117"/>
        <v>157.63605694608108</v>
      </c>
      <c r="AS126" s="58" t="str">
        <f t="shared" si="118"/>
        <v>2.85745275286317+6.10493240903345i</v>
      </c>
      <c r="AT126" s="64">
        <f t="shared" si="119"/>
        <v>16.57392787767191</v>
      </c>
      <c r="AU126" s="61">
        <f t="shared" si="120"/>
        <v>64.917754641687878</v>
      </c>
    </row>
    <row r="127" spans="14:47" x14ac:dyDescent="0.3">
      <c r="N127" s="10">
        <v>9</v>
      </c>
      <c r="O127" s="50">
        <f t="shared" si="121"/>
        <v>123.02687708123821</v>
      </c>
      <c r="P127" s="48" t="str">
        <f t="shared" si="88"/>
        <v>51201.9230769231</v>
      </c>
      <c r="Q127" s="17" t="str">
        <f t="shared" si="89"/>
        <v>1+36.1229157598079i</v>
      </c>
      <c r="R127" s="17">
        <f t="shared" si="98"/>
        <v>36.136754737942063</v>
      </c>
      <c r="S127" s="17">
        <f t="shared" si="99"/>
        <v>1.543120137259528</v>
      </c>
      <c r="T127" s="17" t="str">
        <f t="shared" si="90"/>
        <v>1+2.31900199939508E-09i</v>
      </c>
      <c r="U127" s="17">
        <f t="shared" si="100"/>
        <v>1</v>
      </c>
      <c r="V127" s="17">
        <f t="shared" si="101"/>
        <v>2.3190019993950801E-9</v>
      </c>
      <c r="W127" s="31" t="str">
        <f t="shared" si="91"/>
        <v>1-0.00125226107967334i</v>
      </c>
      <c r="X127" s="17">
        <f t="shared" si="102"/>
        <v>1.0000007840785985</v>
      </c>
      <c r="Y127" s="17">
        <f t="shared" si="103"/>
        <v>-1.2522604250929576E-3</v>
      </c>
      <c r="Z127" s="31" t="str">
        <f t="shared" si="92"/>
        <v>0.999993945755006+0.0764174859781522i</v>
      </c>
      <c r="AA127" s="17">
        <f t="shared" si="104"/>
        <v>1.0029095291749337</v>
      </c>
      <c r="AB127" s="17">
        <f t="shared" si="105"/>
        <v>7.6269714965147617E-2</v>
      </c>
      <c r="AC127" s="66" t="str">
        <f t="shared" si="106"/>
        <v>-70.3921577804294-1411.02906398698i</v>
      </c>
      <c r="AD127" s="64">
        <f t="shared" si="107"/>
        <v>63.001514147769299</v>
      </c>
      <c r="AE127" s="61">
        <f t="shared" si="108"/>
        <v>-92.855953023128023</v>
      </c>
      <c r="AF127" s="31" t="str">
        <f t="shared" si="93"/>
        <v>-1.33333333333333E-06</v>
      </c>
      <c r="AG127" s="31" t="str">
        <f t="shared" si="94"/>
        <v>0.00077377366713149i</v>
      </c>
      <c r="AH127" s="31">
        <f t="shared" si="109"/>
        <v>7.7377366713148998E-4</v>
      </c>
      <c r="AI127" s="31">
        <f t="shared" si="110"/>
        <v>1.5707963267948966</v>
      </c>
      <c r="AJ127" s="31" t="str">
        <f t="shared" si="95"/>
        <v>1+0.00250202013920747i</v>
      </c>
      <c r="AK127" s="31">
        <f t="shared" si="111"/>
        <v>1.0000031300474899</v>
      </c>
      <c r="AL127" s="31">
        <f t="shared" si="112"/>
        <v>2.5020149182576716E-3</v>
      </c>
      <c r="AM127" s="31" t="str">
        <f t="shared" si="96"/>
        <v>1+2.50452215934668i</v>
      </c>
      <c r="AN127" s="31">
        <f t="shared" si="113"/>
        <v>2.6967816460845611</v>
      </c>
      <c r="AO127" s="31">
        <f t="shared" si="114"/>
        <v>1.1909127245851077</v>
      </c>
      <c r="AP127" s="58" t="str">
        <f t="shared" si="115"/>
        <v>-0.00431134595326416+0.00173394384487772i</v>
      </c>
      <c r="AQ127" s="49">
        <f t="shared" si="116"/>
        <v>-46.656615696267274</v>
      </c>
      <c r="AR127" s="61">
        <f t="shared" si="117"/>
        <v>158.09091799205748</v>
      </c>
      <c r="AS127" s="58" t="str">
        <f t="shared" si="118"/>
        <v>2.75013010503198+5.96137839624734i</v>
      </c>
      <c r="AT127" s="64">
        <f t="shared" si="119"/>
        <v>16.344898451502022</v>
      </c>
      <c r="AU127" s="61">
        <f t="shared" si="120"/>
        <v>65.234964968929447</v>
      </c>
    </row>
    <row r="128" spans="14:47" x14ac:dyDescent="0.3">
      <c r="N128" s="10">
        <v>10</v>
      </c>
      <c r="O128" s="50">
        <f t="shared" si="121"/>
        <v>125.89254117941677</v>
      </c>
      <c r="P128" s="48" t="str">
        <f t="shared" si="88"/>
        <v>51201.9230769231</v>
      </c>
      <c r="Q128" s="17" t="str">
        <f t="shared" si="89"/>
        <v>1+36.9643265577594i</v>
      </c>
      <c r="R128" s="17">
        <f t="shared" si="98"/>
        <v>36.977850638844288</v>
      </c>
      <c r="S128" s="17">
        <f t="shared" si="99"/>
        <v>1.5437498134874001</v>
      </c>
      <c r="T128" s="17" t="str">
        <f t="shared" si="90"/>
        <v>1+2.37301849506604E-09i</v>
      </c>
      <c r="U128" s="17">
        <f t="shared" si="100"/>
        <v>1</v>
      </c>
      <c r="V128" s="17">
        <f t="shared" si="101"/>
        <v>2.3730184950660402E-9</v>
      </c>
      <c r="W128" s="31" t="str">
        <f t="shared" si="91"/>
        <v>1-0.00128142998733566i</v>
      </c>
      <c r="X128" s="17">
        <f t="shared" si="102"/>
        <v>1.0000008210310691</v>
      </c>
      <c r="Y128" s="17">
        <f t="shared" si="103"/>
        <v>-1.2814292859401747E-3</v>
      </c>
      <c r="Z128" s="31" t="str">
        <f t="shared" si="92"/>
        <v>0.99999366042723+0.0781974778891558i</v>
      </c>
      <c r="AA128" s="17">
        <f t="shared" si="104"/>
        <v>1.0030464428145265</v>
      </c>
      <c r="AB128" s="17">
        <f t="shared" si="105"/>
        <v>7.8039164357614044E-2</v>
      </c>
      <c r="AC128" s="66" t="str">
        <f t="shared" si="106"/>
        <v>-72.1294292899999-1378.57462690787i</v>
      </c>
      <c r="AD128" s="64">
        <f t="shared" si="107"/>
        <v>62.800478467675617</v>
      </c>
      <c r="AE128" s="61">
        <f t="shared" si="108"/>
        <v>-92.995084045219969</v>
      </c>
      <c r="AF128" s="31" t="str">
        <f t="shared" si="93"/>
        <v>-1.33333333333333E-06</v>
      </c>
      <c r="AG128" s="31" t="str">
        <f t="shared" si="94"/>
        <v>0.000791797171187035i</v>
      </c>
      <c r="AH128" s="31">
        <f t="shared" si="109"/>
        <v>7.9179717118703504E-4</v>
      </c>
      <c r="AI128" s="31">
        <f t="shared" si="110"/>
        <v>1.5707963267948966</v>
      </c>
      <c r="AJ128" s="31" t="str">
        <f t="shared" si="95"/>
        <v>1+0.00256029967499632i</v>
      </c>
      <c r="AK128" s="31">
        <f t="shared" si="111"/>
        <v>1.0000032775618417</v>
      </c>
      <c r="AL128" s="31">
        <f t="shared" si="112"/>
        <v>2.5602940806488095E-3</v>
      </c>
      <c r="AM128" s="31" t="str">
        <f t="shared" si="96"/>
        <v>1+2.56285997467132i</v>
      </c>
      <c r="AN128" s="31">
        <f t="shared" si="113"/>
        <v>2.7510454830431792</v>
      </c>
      <c r="AO128" s="31">
        <f t="shared" si="114"/>
        <v>1.1987761375199182</v>
      </c>
      <c r="AP128" s="58" t="str">
        <f t="shared" si="115"/>
        <v>-0.00431134468129762+0.00169497126803705i</v>
      </c>
      <c r="AQ128" s="49">
        <f t="shared" si="116"/>
        <v>-46.683577240256398</v>
      </c>
      <c r="AR128" s="61">
        <f t="shared" si="117"/>
        <v>158.53811921575218</v>
      </c>
      <c r="AS128" s="58" t="str">
        <f t="shared" si="118"/>
        <v>2.64761921478821+5.82125307526464i</v>
      </c>
      <c r="AT128" s="64">
        <f t="shared" si="119"/>
        <v>16.116901227419223</v>
      </c>
      <c r="AU128" s="61">
        <f t="shared" si="120"/>
        <v>65.543035170532221</v>
      </c>
    </row>
    <row r="129" spans="14:47" x14ac:dyDescent="0.3">
      <c r="N129" s="10">
        <v>11</v>
      </c>
      <c r="O129" s="50">
        <f t="shared" si="121"/>
        <v>128.82495516931343</v>
      </c>
      <c r="P129" s="48" t="str">
        <f t="shared" si="88"/>
        <v>51201.9230769231</v>
      </c>
      <c r="Q129" s="17" t="str">
        <f t="shared" si="89"/>
        <v>1+37.8253363309326i</v>
      </c>
      <c r="R129" s="17">
        <f t="shared" si="98"/>
        <v>37.838552675124475</v>
      </c>
      <c r="S129" s="17">
        <f t="shared" si="99"/>
        <v>1.5443651772645492</v>
      </c>
      <c r="T129" s="17" t="str">
        <f t="shared" si="90"/>
        <v>1+2.4282931965537E-09i</v>
      </c>
      <c r="U129" s="17">
        <f t="shared" si="100"/>
        <v>1</v>
      </c>
      <c r="V129" s="17">
        <f t="shared" si="101"/>
        <v>2.4282931965536999E-9</v>
      </c>
      <c r="W129" s="31" t="str">
        <f t="shared" si="91"/>
        <v>1-0.001311278326139i</v>
      </c>
      <c r="X129" s="17">
        <f t="shared" si="102"/>
        <v>1.0000008597250547</v>
      </c>
      <c r="Y129" s="17">
        <f t="shared" si="103"/>
        <v>-1.3112775745802319E-3</v>
      </c>
      <c r="Z129" s="31" t="str">
        <f t="shared" si="92"/>
        <v>0.99999336165237+0.0800189311380024i</v>
      </c>
      <c r="AA129" s="17">
        <f t="shared" si="104"/>
        <v>1.0031897889678085</v>
      </c>
      <c r="AB129" s="17">
        <f t="shared" si="105"/>
        <v>7.9849324250490766E-2</v>
      </c>
      <c r="AC129" s="66" t="str">
        <f t="shared" si="106"/>
        <v>-73.7858831859742-1346.84704584715i</v>
      </c>
      <c r="AD129" s="64">
        <f t="shared" si="107"/>
        <v>62.599380537804535</v>
      </c>
      <c r="AE129" s="61">
        <f t="shared" si="108"/>
        <v>-93.135766492419293</v>
      </c>
      <c r="AF129" s="31" t="str">
        <f t="shared" si="93"/>
        <v>-1.33333333333333E-06</v>
      </c>
      <c r="AG129" s="31" t="str">
        <f t="shared" si="94"/>
        <v>0.000810240496583417i</v>
      </c>
      <c r="AH129" s="31">
        <f t="shared" si="109"/>
        <v>8.1024049658341701E-4</v>
      </c>
      <c r="AI129" s="31">
        <f t="shared" si="110"/>
        <v>1.5707963267948966</v>
      </c>
      <c r="AJ129" s="31" t="str">
        <f t="shared" si="95"/>
        <v>1+0.00261993671556243i</v>
      </c>
      <c r="AK129" s="31">
        <f t="shared" si="111"/>
        <v>1.0000034320283073</v>
      </c>
      <c r="AL129" s="31">
        <f t="shared" si="112"/>
        <v>2.6199307211121833E-3</v>
      </c>
      <c r="AM129" s="31" t="str">
        <f t="shared" si="96"/>
        <v>1+2.62255665227799i</v>
      </c>
      <c r="AN129" s="31">
        <f t="shared" si="113"/>
        <v>2.8067424880824992</v>
      </c>
      <c r="AO129" s="31">
        <f t="shared" si="114"/>
        <v>1.206507466405458</v>
      </c>
      <c r="AP129" s="58" t="str">
        <f t="shared" si="115"/>
        <v>-0.00431134334938594+0.00165689738709125i</v>
      </c>
      <c r="AQ129" s="49">
        <f t="shared" si="116"/>
        <v>-46.709482615129076</v>
      </c>
      <c r="AR129" s="61">
        <f t="shared" si="117"/>
        <v>158.97767480311836</v>
      </c>
      <c r="AS129" s="58" t="str">
        <f t="shared" si="118"/>
        <v>2.54970362782813+5.68446441669815i</v>
      </c>
      <c r="AT129" s="64">
        <f t="shared" si="119"/>
        <v>15.889897922675459</v>
      </c>
      <c r="AU129" s="61">
        <f t="shared" si="120"/>
        <v>65.841908310699068</v>
      </c>
    </row>
    <row r="130" spans="14:47" x14ac:dyDescent="0.3">
      <c r="N130" s="10">
        <v>12</v>
      </c>
      <c r="O130" s="50">
        <f t="shared" si="121"/>
        <v>131.82567385564084</v>
      </c>
      <c r="P130" s="48" t="str">
        <f t="shared" si="88"/>
        <v>51201.9230769231</v>
      </c>
      <c r="Q130" s="17" t="str">
        <f t="shared" si="89"/>
        <v>1+38.706401598106i</v>
      </c>
      <c r="R130" s="17">
        <f t="shared" si="98"/>
        <v>38.719317203094668</v>
      </c>
      <c r="S130" s="17">
        <f t="shared" si="99"/>
        <v>1.5449665529997565</v>
      </c>
      <c r="T130" s="17" t="str">
        <f t="shared" si="90"/>
        <v>1+2.48485541123644E-09i</v>
      </c>
      <c r="U130" s="17">
        <f t="shared" si="100"/>
        <v>1</v>
      </c>
      <c r="V130" s="17">
        <f t="shared" si="101"/>
        <v>2.4848554112364399E-9</v>
      </c>
      <c r="W130" s="31" t="str">
        <f t="shared" si="91"/>
        <v>1-0.00134182192206767i</v>
      </c>
      <c r="X130" s="17">
        <f t="shared" si="102"/>
        <v>1.00000090024263</v>
      </c>
      <c r="Y130" s="17">
        <f t="shared" si="103"/>
        <v>-1.34182111675798E-3</v>
      </c>
      <c r="Z130" s="31" t="str">
        <f t="shared" si="92"/>
        <v>0.999993048796685+0.0818828114833142i</v>
      </c>
      <c r="AA130" s="17">
        <f t="shared" si="104"/>
        <v>1.0033398688670263</v>
      </c>
      <c r="AB130" s="17">
        <f t="shared" si="105"/>
        <v>8.1701107086114E-2</v>
      </c>
      <c r="AC130" s="66" t="str">
        <f t="shared" si="106"/>
        <v>-75.3650201351416-1315.82980060945i</v>
      </c>
      <c r="AD130" s="64">
        <f t="shared" si="107"/>
        <v>62.398218077506499</v>
      </c>
      <c r="AE130" s="61">
        <f t="shared" si="108"/>
        <v>-93.278072137821624</v>
      </c>
      <c r="AF130" s="31" t="str">
        <f t="shared" si="93"/>
        <v>-1.33333333333333E-06</v>
      </c>
      <c r="AG130" s="31" t="str">
        <f t="shared" si="94"/>
        <v>0.00082911342221589i</v>
      </c>
      <c r="AH130" s="31">
        <f t="shared" si="109"/>
        <v>8.2911342221588999E-4</v>
      </c>
      <c r="AI130" s="31">
        <f t="shared" si="110"/>
        <v>1.5707963267948966</v>
      </c>
      <c r="AJ130" s="31" t="str">
        <f t="shared" si="95"/>
        <v>1+0.00268096288125409i</v>
      </c>
      <c r="AK130" s="31">
        <f t="shared" si="111"/>
        <v>1.0000035937745277</v>
      </c>
      <c r="AL130" s="31">
        <f t="shared" si="112"/>
        <v>2.6809564580861736E-3</v>
      </c>
      <c r="AM130" s="31" t="str">
        <f t="shared" si="96"/>
        <v>1+2.68364384413535i</v>
      </c>
      <c r="AN130" s="31">
        <f t="shared" si="113"/>
        <v>2.8639036789259449</v>
      </c>
      <c r="AO130" s="31">
        <f t="shared" si="114"/>
        <v>1.2141071124508931</v>
      </c>
      <c r="AP130" s="58" t="str">
        <f t="shared" si="115"/>
        <v>-0.0043113419547041+0.00161970201474273i</v>
      </c>
      <c r="AQ130" s="49">
        <f t="shared" si="116"/>
        <v>-46.734367252738089</v>
      </c>
      <c r="AR130" s="61">
        <f t="shared" si="117"/>
        <v>159.40960593014472</v>
      </c>
      <c r="AS130" s="58" t="str">
        <f t="shared" si="118"/>
        <v>2.45617655233141+5.55092334966344i</v>
      </c>
      <c r="AT130" s="64">
        <f t="shared" si="119"/>
        <v>15.663850824768419</v>
      </c>
      <c r="AU130" s="61">
        <f t="shared" si="120"/>
        <v>66.131533792323069</v>
      </c>
    </row>
    <row r="131" spans="14:47" x14ac:dyDescent="0.3">
      <c r="N131" s="10">
        <v>13</v>
      </c>
      <c r="O131" s="50">
        <f t="shared" si="121"/>
        <v>134.89628825916537</v>
      </c>
      <c r="P131" s="48" t="str">
        <f t="shared" si="88"/>
        <v>51201.9230769231</v>
      </c>
      <c r="Q131" s="17" t="str">
        <f t="shared" si="89"/>
        <v>1+39.6079895117464i</v>
      </c>
      <c r="R131" s="17">
        <f t="shared" si="98"/>
        <v>39.620611216418816</v>
      </c>
      <c r="S131" s="17">
        <f t="shared" si="99"/>
        <v>1.545554257809487</v>
      </c>
      <c r="T131" s="17" t="str">
        <f t="shared" si="90"/>
        <v>1+2.54273512914915E-09i</v>
      </c>
      <c r="U131" s="17">
        <f t="shared" si="100"/>
        <v>1</v>
      </c>
      <c r="V131" s="17">
        <f t="shared" si="101"/>
        <v>2.5427351291491499E-9</v>
      </c>
      <c r="W131" s="31" t="str">
        <f t="shared" si="91"/>
        <v>1-0.00137307696974054i</v>
      </c>
      <c r="X131" s="17">
        <f t="shared" si="102"/>
        <v>1.000000942669738</v>
      </c>
      <c r="Y131" s="17">
        <f t="shared" si="103"/>
        <v>-1.3730761068357045E-3</v>
      </c>
      <c r="Z131" s="31" t="str">
        <f t="shared" si="92"/>
        <v>0.999992721196566+0.0837901071791214i</v>
      </c>
      <c r="AA131" s="17">
        <f t="shared" si="104"/>
        <v>1.0034969977569448</v>
      </c>
      <c r="AB131" s="17">
        <f t="shared" si="105"/>
        <v>8.3595444035475711E-2</v>
      </c>
      <c r="AC131" s="66" t="str">
        <f t="shared" si="106"/>
        <v>-76.8701783883654-1285.5067296169i</v>
      </c>
      <c r="AD131" s="64">
        <f t="shared" si="107"/>
        <v>62.196988673983469</v>
      </c>
      <c r="AE131" s="61">
        <f t="shared" si="108"/>
        <v>-93.422073430896745</v>
      </c>
      <c r="AF131" s="31" t="str">
        <f t="shared" si="93"/>
        <v>-1.33333333333333E-06</v>
      </c>
      <c r="AG131" s="31" t="str">
        <f t="shared" si="94"/>
        <v>0.000848425954759433i</v>
      </c>
      <c r="AH131" s="31">
        <f t="shared" si="109"/>
        <v>8.4842595475943295E-4</v>
      </c>
      <c r="AI131" s="31">
        <f t="shared" si="110"/>
        <v>1.5707963267948966</v>
      </c>
      <c r="AJ131" s="31" t="str">
        <f t="shared" si="95"/>
        <v>1+0.00274341052895213i</v>
      </c>
      <c r="AK131" s="31">
        <f t="shared" si="111"/>
        <v>1.0000037631435845</v>
      </c>
      <c r="AL131" s="31">
        <f t="shared" si="112"/>
        <v>2.7434036464051054E-3</v>
      </c>
      <c r="AM131" s="31" t="str">
        <f t="shared" si="96"/>
        <v>1+2.74615393948108i</v>
      </c>
      <c r="AN131" s="31">
        <f t="shared" si="113"/>
        <v>2.9225607708527557</v>
      </c>
      <c r="AO131" s="31">
        <f t="shared" si="114"/>
        <v>1.2215755927691225</v>
      </c>
      <c r="AP131" s="58" t="str">
        <f t="shared" si="115"/>
        <v>-0.00431134049429387+0.00158336542948918i</v>
      </c>
      <c r="AQ131" s="49">
        <f t="shared" si="116"/>
        <v>-46.758265860429766</v>
      </c>
      <c r="AR131" s="61">
        <f t="shared" si="117"/>
        <v>159.8339403714227</v>
      </c>
      <c r="AS131" s="58" t="str">
        <f t="shared" si="118"/>
        <v>2.36684042794045+5.42054363606582i</v>
      </c>
      <c r="AT131" s="64">
        <f t="shared" si="119"/>
        <v>15.43872281355371</v>
      </c>
      <c r="AU131" s="61">
        <f t="shared" si="120"/>
        <v>66.41186694052594</v>
      </c>
    </row>
    <row r="132" spans="14:47" x14ac:dyDescent="0.3">
      <c r="N132" s="10">
        <v>14</v>
      </c>
      <c r="O132" s="50">
        <f t="shared" si="121"/>
        <v>138.0384264602886</v>
      </c>
      <c r="P132" s="48" t="str">
        <f t="shared" si="88"/>
        <v>51201.9230769231</v>
      </c>
      <c r="Q132" s="17" t="str">
        <f t="shared" si="89"/>
        <v>1+40.5305781056997i</v>
      </c>
      <c r="R132" s="17">
        <f t="shared" si="98"/>
        <v>40.542912593722519</v>
      </c>
      <c r="S132" s="17">
        <f t="shared" si="99"/>
        <v>1.546128601677748</v>
      </c>
      <c r="T132" s="17" t="str">
        <f t="shared" si="90"/>
        <v>1+2.60196303888443E-09i</v>
      </c>
      <c r="U132" s="17">
        <f t="shared" si="100"/>
        <v>1</v>
      </c>
      <c r="V132" s="17">
        <f t="shared" si="101"/>
        <v>2.6019630388844302E-9</v>
      </c>
      <c r="W132" s="31" t="str">
        <f t="shared" si="91"/>
        <v>1-0.00140506004099759i</v>
      </c>
      <c r="X132" s="17">
        <f t="shared" si="102"/>
        <v>1.0000009870963722</v>
      </c>
      <c r="Y132" s="17">
        <f t="shared" si="103"/>
        <v>-1.4050591163784494E-3</v>
      </c>
      <c r="Z132" s="31" t="str">
        <f t="shared" si="92"/>
        <v>0.999992378157128+0.0857418294988483i</v>
      </c>
      <c r="AA132" s="17">
        <f t="shared" si="104"/>
        <v>1.0036615055376779</v>
      </c>
      <c r="AB132" s="17">
        <f t="shared" si="105"/>
        <v>8.5533285258413652E-2</v>
      </c>
      <c r="AC132" s="66" t="str">
        <f t="shared" si="106"/>
        <v>-78.3045407651127-1255.86202268424i</v>
      </c>
      <c r="AD132" s="64">
        <f t="shared" si="107"/>
        <v>61.995689777610338</v>
      </c>
      <c r="AE132" s="61">
        <f t="shared" si="108"/>
        <v>-93.567843522047539</v>
      </c>
      <c r="AF132" s="31" t="str">
        <f t="shared" si="93"/>
        <v>-1.33333333333333E-06</v>
      </c>
      <c r="AG132" s="31" t="str">
        <f t="shared" si="94"/>
        <v>0.000868188333974437i</v>
      </c>
      <c r="AH132" s="31">
        <f t="shared" si="109"/>
        <v>8.6818833397443696E-4</v>
      </c>
      <c r="AI132" s="31">
        <f t="shared" si="110"/>
        <v>1.5707963267948966</v>
      </c>
      <c r="AJ132" s="31" t="str">
        <f t="shared" si="95"/>
        <v>1+0.00280731276922595i</v>
      </c>
      <c r="AK132" s="31">
        <f t="shared" si="111"/>
        <v>1.0000039404947283</v>
      </c>
      <c r="AL132" s="31">
        <f t="shared" si="112"/>
        <v>2.8073053944455135E-3</v>
      </c>
      <c r="AM132" s="31" t="str">
        <f t="shared" si="96"/>
        <v>1+2.81012008199518i</v>
      </c>
      <c r="AN132" s="31">
        <f t="shared" si="113"/>
        <v>2.9827461969186375</v>
      </c>
      <c r="AO132" s="31">
        <f t="shared" si="114"/>
        <v>1.2289135336356793</v>
      </c>
      <c r="AP132" s="58" t="str">
        <f t="shared" si="115"/>
        <v>-0.0043113389650577+0.00154786836516693i</v>
      </c>
      <c r="AQ132" s="49">
        <f t="shared" si="116"/>
        <v>-46.781212398399049</v>
      </c>
      <c r="AR132" s="61">
        <f t="shared" si="117"/>
        <v>160.25071211292672</v>
      </c>
      <c r="AS132" s="58" t="str">
        <f t="shared" si="118"/>
        <v>2.28150651366907+5.2932417516355i</v>
      </c>
      <c r="AT132" s="64">
        <f t="shared" si="119"/>
        <v>15.214477379211296</v>
      </c>
      <c r="AU132" s="61">
        <f t="shared" si="120"/>
        <v>66.682868590879181</v>
      </c>
    </row>
    <row r="133" spans="14:47" x14ac:dyDescent="0.3">
      <c r="N133" s="10">
        <v>15</v>
      </c>
      <c r="O133" s="50">
        <f t="shared" si="121"/>
        <v>141.25375446227542</v>
      </c>
      <c r="P133" s="48" t="str">
        <f t="shared" si="88"/>
        <v>51201.9230769231</v>
      </c>
      <c r="Q133" s="17" t="str">
        <f t="shared" si="89"/>
        <v>1+41.4746565486503i</v>
      </c>
      <c r="R133" s="17">
        <f t="shared" si="98"/>
        <v>41.486710351972974</v>
      </c>
      <c r="S133" s="17">
        <f t="shared" si="99"/>
        <v>1.5466898876127184</v>
      </c>
      <c r="T133" s="17" t="str">
        <f t="shared" si="90"/>
        <v>1+2.66257054386397E-09i</v>
      </c>
      <c r="U133" s="17">
        <f t="shared" si="100"/>
        <v>1</v>
      </c>
      <c r="V133" s="17">
        <f t="shared" si="101"/>
        <v>2.6625705438639701E-9</v>
      </c>
      <c r="W133" s="31" t="str">
        <f t="shared" si="91"/>
        <v>1-0.00143778809368654i</v>
      </c>
      <c r="X133" s="17">
        <f t="shared" si="102"/>
        <v>1.0000010336167671</v>
      </c>
      <c r="Y133" s="17">
        <f t="shared" si="103"/>
        <v>-1.4377871029393361E-3</v>
      </c>
      <c r="Z133" s="31" t="str">
        <f t="shared" si="92"/>
        <v>0.99999201895074+0.0877390132715026i</v>
      </c>
      <c r="AA133" s="17">
        <f t="shared" si="104"/>
        <v>1.0038337374361521</v>
      </c>
      <c r="AB133" s="17">
        <f t="shared" si="105"/>
        <v>8.7515600157810625E-2</v>
      </c>
      <c r="AC133" s="66" t="str">
        <f t="shared" si="106"/>
        <v>-79.6711413207593-1226.88021390104i</v>
      </c>
      <c r="AD133" s="64">
        <f t="shared" si="107"/>
        <v>61.794318697008919</v>
      </c>
      <c r="AE133" s="61">
        <f t="shared" si="108"/>
        <v>-93.715456286652085</v>
      </c>
      <c r="AF133" s="31" t="str">
        <f t="shared" si="93"/>
        <v>-1.33333333333333E-06</v>
      </c>
      <c r="AG133" s="31" t="str">
        <f t="shared" si="94"/>
        <v>0.000888411038135943i</v>
      </c>
      <c r="AH133" s="31">
        <f t="shared" si="109"/>
        <v>8.8841103813594295E-4</v>
      </c>
      <c r="AI133" s="31">
        <f t="shared" si="110"/>
        <v>1.5707963267948966</v>
      </c>
      <c r="AJ133" s="31" t="str">
        <f t="shared" si="95"/>
        <v>1+0.00287270348388919i</v>
      </c>
      <c r="AK133" s="31">
        <f t="shared" si="111"/>
        <v>1.0000041262041404</v>
      </c>
      <c r="AL133" s="31">
        <f t="shared" si="112"/>
        <v>2.8726955816713415E-3</v>
      </c>
      <c r="AM133" s="31" t="str">
        <f t="shared" si="96"/>
        <v>1+2.87557618737308i</v>
      </c>
      <c r="AN133" s="31">
        <f t="shared" si="113"/>
        <v>3.0444931284841323</v>
      </c>
      <c r="AO133" s="31">
        <f t="shared" si="114"/>
        <v>1.2361216638460377</v>
      </c>
      <c r="AP133" s="58" t="str">
        <f t="shared" si="115"/>
        <v>-0.00431133736375199+0.0015131920007356i</v>
      </c>
      <c r="AQ133" s="49">
        <f t="shared" si="116"/>
        <v>-46.803240060753183</v>
      </c>
      <c r="AR133" s="61">
        <f t="shared" si="117"/>
        <v>160.6599609704113</v>
      </c>
      <c r="AS133" s="58" t="str">
        <f t="shared" si="118"/>
        <v>2.19999449392479+5.16893677330354i</v>
      </c>
      <c r="AT133" s="64">
        <f t="shared" si="119"/>
        <v>14.991078636255729</v>
      </c>
      <c r="AU133" s="61">
        <f t="shared" si="120"/>
        <v>66.94450468375922</v>
      </c>
    </row>
    <row r="134" spans="14:47" x14ac:dyDescent="0.3">
      <c r="N134" s="10">
        <v>16</v>
      </c>
      <c r="O134" s="50">
        <f t="shared" si="121"/>
        <v>144.54397707459285</v>
      </c>
      <c r="P134" s="48" t="str">
        <f t="shared" si="88"/>
        <v>51201.9230769231</v>
      </c>
      <c r="Q134" s="17" t="str">
        <f t="shared" si="89"/>
        <v>1+42.4407254034849i</v>
      </c>
      <c r="R134" s="17">
        <f t="shared" si="98"/>
        <v>42.452504905765075</v>
      </c>
      <c r="S134" s="17">
        <f t="shared" si="99"/>
        <v>1.5472384118001909</v>
      </c>
      <c r="T134" s="17" t="str">
        <f t="shared" si="90"/>
        <v>1+2.72458977898916E-09i</v>
      </c>
      <c r="U134" s="17">
        <f t="shared" si="100"/>
        <v>1</v>
      </c>
      <c r="V134" s="17">
        <f t="shared" si="101"/>
        <v>2.7245897789891599E-9</v>
      </c>
      <c r="W134" s="31" t="str">
        <f t="shared" si="91"/>
        <v>1-0.00147127848065414i</v>
      </c>
      <c r="X134" s="17">
        <f t="shared" si="102"/>
        <v>1.0000010823295982</v>
      </c>
      <c r="Y134" s="17">
        <f t="shared" si="103"/>
        <v>-1.4712774190494466E-3</v>
      </c>
      <c r="Z134" s="31" t="str">
        <f t="shared" si="92"/>
        <v>0.999991642815477+0.0897827174303568i</v>
      </c>
      <c r="AA134" s="17">
        <f t="shared" si="104"/>
        <v>1.004014054707391</v>
      </c>
      <c r="AB134" s="17">
        <f t="shared" si="105"/>
        <v>8.9543377626871465E-2</v>
      </c>
      <c r="AC134" s="66" t="str">
        <f t="shared" si="106"/>
        <v>-80.9728717100899-1198.5461746231i</v>
      </c>
      <c r="AD134" s="64">
        <f t="shared" si="107"/>
        <v>61.592872593867739</v>
      </c>
      <c r="AE134" s="61">
        <f t="shared" si="108"/>
        <v>-93.864986348538238</v>
      </c>
      <c r="AF134" s="31" t="str">
        <f t="shared" si="93"/>
        <v>-1.33333333333333E-06</v>
      </c>
      <c r="AG134" s="31" t="str">
        <f t="shared" si="94"/>
        <v>0.000909104789589381i</v>
      </c>
      <c r="AH134" s="31">
        <f t="shared" si="109"/>
        <v>9.0910478958938095E-4</v>
      </c>
      <c r="AI134" s="31">
        <f t="shared" si="110"/>
        <v>1.5707963267948966</v>
      </c>
      <c r="AJ134" s="31" t="str">
        <f t="shared" si="95"/>
        <v>1+0.00293961734396432i</v>
      </c>
      <c r="AK134" s="31">
        <f t="shared" si="111"/>
        <v>1.0000043206657305</v>
      </c>
      <c r="AL134" s="31">
        <f t="shared" si="112"/>
        <v>2.9396088765873169E-3</v>
      </c>
      <c r="AM134" s="31" t="str">
        <f t="shared" si="96"/>
        <v>1+2.94255696130829i</v>
      </c>
      <c r="AN134" s="31">
        <f t="shared" si="113"/>
        <v>3.1078354960557157</v>
      </c>
      <c r="AO134" s="31">
        <f t="shared" si="114"/>
        <v>1.2432008081931154</v>
      </c>
      <c r="AP134" s="58" t="str">
        <f t="shared" si="115"/>
        <v>-0.00431133568698038+0.00147931795029881i</v>
      </c>
      <c r="AQ134" s="49">
        <f t="shared" si="116"/>
        <v>-46.824381260080763</v>
      </c>
      <c r="AR134" s="61">
        <f t="shared" si="117"/>
        <v>161.06173221467085</v>
      </c>
      <c r="AS134" s="58" t="str">
        <f t="shared" si="118"/>
        <v>2.12213210186292+5.04755027253841i</v>
      </c>
      <c r="AT134" s="64">
        <f t="shared" si="119"/>
        <v>14.768491333786976</v>
      </c>
      <c r="AU134" s="61">
        <f t="shared" si="120"/>
        <v>67.196745866132616</v>
      </c>
    </row>
    <row r="135" spans="14:47" x14ac:dyDescent="0.3">
      <c r="N135" s="10">
        <v>17</v>
      </c>
      <c r="O135" s="50">
        <f t="shared" si="121"/>
        <v>147.91083881682084</v>
      </c>
      <c r="P135" s="48" t="str">
        <f t="shared" si="88"/>
        <v>51201.9230769231</v>
      </c>
      <c r="Q135" s="17" t="str">
        <f t="shared" si="89"/>
        <v>1+43.4292968926979i</v>
      </c>
      <c r="R135" s="17">
        <f t="shared" si="98"/>
        <v>43.440808332650754</v>
      </c>
      <c r="S135" s="17">
        <f t="shared" si="99"/>
        <v>1.5477744637538795</v>
      </c>
      <c r="T135" s="17" t="str">
        <f t="shared" si="90"/>
        <v>1+2.78805362767937E-09i</v>
      </c>
      <c r="U135" s="17">
        <f t="shared" si="100"/>
        <v>1</v>
      </c>
      <c r="V135" s="17">
        <f t="shared" si="101"/>
        <v>2.78805362767937E-9</v>
      </c>
      <c r="W135" s="31" t="str">
        <f t="shared" si="91"/>
        <v>1-0.00150554895894686i</v>
      </c>
      <c r="X135" s="17">
        <f t="shared" si="102"/>
        <v>1.0000011333381917</v>
      </c>
      <c r="Y135" s="17">
        <f t="shared" si="103"/>
        <v>-1.5055478214170061E-3</v>
      </c>
      <c r="Z135" s="31" t="str">
        <f t="shared" si="92"/>
        <v>0.999991248953504+0.0918740255744072i</v>
      </c>
      <c r="AA135" s="17">
        <f t="shared" si="104"/>
        <v>1.0042028353668573</v>
      </c>
      <c r="AB135" s="17">
        <f t="shared" si="105"/>
        <v>9.1617626288463858E-2</v>
      </c>
      <c r="AC135" s="66" t="str">
        <f t="shared" si="106"/>
        <v>-82.2124872598692-1170.84510657475i</v>
      </c>
      <c r="AD135" s="64">
        <f t="shared" si="107"/>
        <v>61.391348477500344</v>
      </c>
      <c r="AE135" s="61">
        <f t="shared" si="108"/>
        <v>-94.016509102835926</v>
      </c>
      <c r="AF135" s="31" t="str">
        <f t="shared" si="93"/>
        <v>-1.33333333333333E-06</v>
      </c>
      <c r="AG135" s="31" t="str">
        <f t="shared" si="94"/>
        <v>0.000930280560435683i</v>
      </c>
      <c r="AH135" s="31">
        <f t="shared" si="109"/>
        <v>9.3028056043568301E-4</v>
      </c>
      <c r="AI135" s="31">
        <f t="shared" si="110"/>
        <v>1.5707963267948966</v>
      </c>
      <c r="AJ135" s="31" t="str">
        <f t="shared" si="95"/>
        <v>1+0.00300808982806565i</v>
      </c>
      <c r="AK135" s="31">
        <f t="shared" si="111"/>
        <v>1.0000045242919722</v>
      </c>
      <c r="AL135" s="31">
        <f t="shared" si="112"/>
        <v>3.0080807551099435E-3</v>
      </c>
      <c r="AM135" s="31" t="str">
        <f t="shared" si="96"/>
        <v>1+3.01109791789372i</v>
      </c>
      <c r="AN135" s="31">
        <f t="shared" si="113"/>
        <v>3.1728080104449896</v>
      </c>
      <c r="AO135" s="31">
        <f t="shared" si="114"/>
        <v>1.2501518810840122</v>
      </c>
      <c r="AP135" s="58" t="str">
        <f t="shared" si="115"/>
        <v>-0.00431133393118632+0.00144622825335565i</v>
      </c>
      <c r="AQ135" s="49">
        <f t="shared" si="116"/>
        <v>-46.844667615321811</v>
      </c>
      <c r="AR135" s="61">
        <f t="shared" si="117"/>
        <v>161.45607620475229</v>
      </c>
      <c r="AS135" s="58" t="str">
        <f t="shared" si="118"/>
        <v>2.04775475932231+4.92900621428532i</v>
      </c>
      <c r="AT135" s="64">
        <f t="shared" si="119"/>
        <v>14.546680862178537</v>
      </c>
      <c r="AU135" s="61">
        <f t="shared" si="120"/>
        <v>67.439567101916353</v>
      </c>
    </row>
    <row r="136" spans="14:47" x14ac:dyDescent="0.3">
      <c r="N136" s="10">
        <v>18</v>
      </c>
      <c r="O136" s="50">
        <f t="shared" si="121"/>
        <v>151.3561248436209</v>
      </c>
      <c r="P136" s="48" t="str">
        <f t="shared" si="88"/>
        <v>51201.9230769231</v>
      </c>
      <c r="Q136" s="17" t="str">
        <f t="shared" si="89"/>
        <v>1+44.4408951699781i</v>
      </c>
      <c r="R136" s="17">
        <f t="shared" si="98"/>
        <v>44.452144644651092</v>
      </c>
      <c r="S136" s="17">
        <f t="shared" si="99"/>
        <v>1.5482983264626362</v>
      </c>
      <c r="T136" s="17" t="str">
        <f t="shared" si="90"/>
        <v>1+2.85299573930724E-09i</v>
      </c>
      <c r="U136" s="17">
        <f t="shared" si="100"/>
        <v>1</v>
      </c>
      <c r="V136" s="17">
        <f t="shared" si="101"/>
        <v>2.85299573930724E-9</v>
      </c>
      <c r="W136" s="31" t="str">
        <f t="shared" si="91"/>
        <v>1-0.00154061769922591i</v>
      </c>
      <c r="X136" s="17">
        <f t="shared" si="102"/>
        <v>1.0000011867507435</v>
      </c>
      <c r="Y136" s="17">
        <f t="shared" si="103"/>
        <v>-1.5406164803407894E-3</v>
      </c>
      <c r="Z136" s="31" t="str">
        <f t="shared" si="92"/>
        <v>0.999990836529389+0.0940140465429137i</v>
      </c>
      <c r="AA136" s="17">
        <f t="shared" si="104"/>
        <v>1.0044004749551447</v>
      </c>
      <c r="AB136" s="17">
        <f t="shared" si="105"/>
        <v>9.3739374725444718E-2</v>
      </c>
      <c r="AC136" s="66" t="str">
        <f t="shared" si="106"/>
        <v>-83.3926127628241-1143.76253506371i</v>
      </c>
      <c r="AD136" s="64">
        <f t="shared" si="107"/>
        <v>61.189743199135606</v>
      </c>
      <c r="AE136" s="61">
        <f t="shared" si="108"/>
        <v>-94.170100738148022</v>
      </c>
      <c r="AF136" s="31" t="str">
        <f t="shared" si="93"/>
        <v>-1.33333333333333E-06</v>
      </c>
      <c r="AG136" s="31" t="str">
        <f t="shared" si="94"/>
        <v>0.000951949578348847i</v>
      </c>
      <c r="AH136" s="31">
        <f t="shared" si="109"/>
        <v>9.5194957834884701E-4</v>
      </c>
      <c r="AI136" s="31">
        <f t="shared" si="110"/>
        <v>1.5707963267948966</v>
      </c>
      <c r="AJ136" s="31" t="str">
        <f t="shared" si="95"/>
        <v>1+0.0030781572412106i</v>
      </c>
      <c r="AK136" s="31">
        <f t="shared" si="111"/>
        <v>1.0000047375147789</v>
      </c>
      <c r="AL136" s="31">
        <f t="shared" si="112"/>
        <v>3.0781475193658921E-3</v>
      </c>
      <c r="AM136" s="31" t="str">
        <f t="shared" si="96"/>
        <v>1+3.08123539845181i</v>
      </c>
      <c r="AN136" s="31">
        <f t="shared" si="113"/>
        <v>3.2394461842531799</v>
      </c>
      <c r="AO136" s="31">
        <f t="shared" si="114"/>
        <v>1.2569758803125679</v>
      </c>
      <c r="AP136" s="58" t="str">
        <f t="shared" si="115"/>
        <v>-0.00431133209264579+0.00141390536527756i</v>
      </c>
      <c r="AQ136" s="49">
        <f t="shared" si="116"/>
        <v>-46.864129942730663</v>
      </c>
      <c r="AR136" s="61">
        <f t="shared" si="117"/>
        <v>161.84304803007305</v>
      </c>
      <c r="AS136" s="58" t="str">
        <f t="shared" si="118"/>
        <v>1.97670523262399+4.81323086117621i</v>
      </c>
      <c r="AT136" s="64">
        <f t="shared" si="119"/>
        <v>14.325613256404949</v>
      </c>
      <c r="AU136" s="61">
        <f t="shared" si="120"/>
        <v>67.672947291925027</v>
      </c>
    </row>
    <row r="137" spans="14:47" x14ac:dyDescent="0.3">
      <c r="N137" s="10">
        <v>19</v>
      </c>
      <c r="O137" s="50">
        <f t="shared" si="121"/>
        <v>154.8816618912482</v>
      </c>
      <c r="P137" s="48" t="str">
        <f t="shared" si="88"/>
        <v>51201.9230769231</v>
      </c>
      <c r="Q137" s="17" t="str">
        <f t="shared" si="89"/>
        <v>1+45.4760565981222i</v>
      </c>
      <c r="R137" s="17">
        <f t="shared" si="98"/>
        <v>45.487050066096984</v>
      </c>
      <c r="S137" s="17">
        <f t="shared" si="99"/>
        <v>1.5488102765346254</v>
      </c>
      <c r="T137" s="17" t="str">
        <f t="shared" si="90"/>
        <v>1+2.91945054703994E-09i</v>
      </c>
      <c r="U137" s="17">
        <f t="shared" si="100"/>
        <v>1</v>
      </c>
      <c r="V137" s="17">
        <f t="shared" si="101"/>
        <v>2.91945054703994E-9</v>
      </c>
      <c r="W137" s="31" t="str">
        <f t="shared" si="91"/>
        <v>1-0.00157650329540157i</v>
      </c>
      <c r="X137" s="17">
        <f t="shared" si="102"/>
        <v>1.000001242680548</v>
      </c>
      <c r="Y137" s="17">
        <f t="shared" si="103"/>
        <v>-1.5765019893427201E-3</v>
      </c>
      <c r="Z137" s="31" t="str">
        <f t="shared" si="92"/>
        <v>0.999990404668324+0.0962039150033202i</v>
      </c>
      <c r="AA137" s="17">
        <f t="shared" si="104"/>
        <v>1.0046073873363088</v>
      </c>
      <c r="AB137" s="17">
        <f t="shared" si="105"/>
        <v>9.5909671700805388E-2</v>
      </c>
      <c r="AC137" s="66" t="str">
        <f t="shared" si="106"/>
        <v>-84.515748004894-1117.2843023098i</v>
      </c>
      <c r="AD137" s="64">
        <f t="shared" si="107"/>
        <v>60.98805344593324</v>
      </c>
      <c r="AE137" s="61">
        <f t="shared" si="108"/>
        <v>-94.325838257976528</v>
      </c>
      <c r="AF137" s="31" t="str">
        <f t="shared" si="93"/>
        <v>-1.33333333333333E-06</v>
      </c>
      <c r="AG137" s="31" t="str">
        <f t="shared" si="94"/>
        <v>0.000974123332528994i</v>
      </c>
      <c r="AH137" s="31">
        <f t="shared" si="109"/>
        <v>9.7412333252899395E-4</v>
      </c>
      <c r="AI137" s="31">
        <f t="shared" si="110"/>
        <v>1.5707963267948966</v>
      </c>
      <c r="AJ137" s="31" t="str">
        <f t="shared" si="95"/>
        <v>1+0.00314985673406906i</v>
      </c>
      <c r="AK137" s="31">
        <f t="shared" si="111"/>
        <v>1.0000049607864179</v>
      </c>
      <c r="AL137" s="31">
        <f t="shared" si="112"/>
        <v>3.149846316927564E-3</v>
      </c>
      <c r="AM137" s="31" t="str">
        <f t="shared" si="96"/>
        <v>1+3.15300659080314i</v>
      </c>
      <c r="AN137" s="31">
        <f t="shared" si="113"/>
        <v>3.307786353688527</v>
      </c>
      <c r="AO137" s="31">
        <f t="shared" si="114"/>
        <v>1.2636738810018273</v>
      </c>
      <c r="AP137" s="58" t="str">
        <f t="shared" si="115"/>
        <v>-0.00431133016745919+0.00138233214800581i</v>
      </c>
      <c r="AQ137" s="49">
        <f t="shared" si="116"/>
        <v>-46.882798249726783</v>
      </c>
      <c r="AR137" s="61">
        <f t="shared" si="117"/>
        <v>162.22270716224696</v>
      </c>
      <c r="AS137" s="58" t="str">
        <f t="shared" si="118"/>
        <v>1.90883330354396+4.70015268269691i</v>
      </c>
      <c r="AT137" s="64">
        <f t="shared" si="119"/>
        <v>14.105255196206459</v>
      </c>
      <c r="AU137" s="61">
        <f t="shared" si="120"/>
        <v>67.896868904270406</v>
      </c>
    </row>
    <row r="138" spans="14:47" x14ac:dyDescent="0.3">
      <c r="N138" s="10">
        <v>20</v>
      </c>
      <c r="O138" s="50">
        <f t="shared" si="121"/>
        <v>158.48931924611153</v>
      </c>
      <c r="P138" s="48" t="str">
        <f t="shared" si="88"/>
        <v>51201.9230769231</v>
      </c>
      <c r="Q138" s="17" t="str">
        <f t="shared" si="89"/>
        <v>1+46.5353300334214i</v>
      </c>
      <c r="R138" s="17">
        <f t="shared" si="98"/>
        <v>46.546073317944362</v>
      </c>
      <c r="S138" s="17">
        <f t="shared" si="99"/>
        <v>1.5493105843385093</v>
      </c>
      <c r="T138" s="17" t="str">
        <f t="shared" si="90"/>
        <v>1+2.98745328609619E-09i</v>
      </c>
      <c r="U138" s="17">
        <f t="shared" si="100"/>
        <v>1</v>
      </c>
      <c r="V138" s="17">
        <f t="shared" si="101"/>
        <v>2.9874532860961902E-9</v>
      </c>
      <c r="W138" s="31" t="str">
        <f t="shared" si="91"/>
        <v>1-0.00161322477449194i</v>
      </c>
      <c r="X138" s="17">
        <f t="shared" si="102"/>
        <v>1.0000013012462399</v>
      </c>
      <c r="Y138" s="17">
        <f t="shared" si="103"/>
        <v>-1.6132233750247669E-3</v>
      </c>
      <c r="Z138" s="31" t="str">
        <f t="shared" si="92"/>
        <v>0.999989952454274+0.098444792052871i</v>
      </c>
      <c r="AA138" s="17">
        <f t="shared" si="104"/>
        <v>1.0048240055312343</v>
      </c>
      <c r="AB138" s="17">
        <f t="shared" si="105"/>
        <v>9.8129586366389188E-2</v>
      </c>
      <c r="AC138" s="66" t="str">
        <f t="shared" si="106"/>
        <v>-85.5842730370907-1091.39656088859i</v>
      </c>
      <c r="AD138" s="64">
        <f t="shared" si="107"/>
        <v>60.786275734716988</v>
      </c>
      <c r="AE138" s="61">
        <f t="shared" si="108"/>
        <v>-94.483799501334886</v>
      </c>
      <c r="AF138" s="31" t="str">
        <f t="shared" si="93"/>
        <v>-1.33333333333333E-06</v>
      </c>
      <c r="AG138" s="31" t="str">
        <f t="shared" si="94"/>
        <v>0.000996813579794095i</v>
      </c>
      <c r="AH138" s="31">
        <f t="shared" si="109"/>
        <v>9.9681357979409494E-4</v>
      </c>
      <c r="AI138" s="31">
        <f t="shared" si="110"/>
        <v>1.5707963267948966</v>
      </c>
      <c r="AJ138" s="31" t="str">
        <f t="shared" si="95"/>
        <v>1+0.00322322632266122i</v>
      </c>
      <c r="AK138" s="31">
        <f t="shared" si="111"/>
        <v>1.0000051945804718</v>
      </c>
      <c r="AL138" s="31">
        <f t="shared" si="112"/>
        <v>3.2232151604961335E-3</v>
      </c>
      <c r="AM138" s="31" t="str">
        <f t="shared" si="96"/>
        <v>1+3.22644954898388i</v>
      </c>
      <c r="AN138" s="31">
        <f t="shared" si="113"/>
        <v>3.3778657007255748</v>
      </c>
      <c r="AO138" s="31">
        <f t="shared" si="114"/>
        <v>1.2702470297282866</v>
      </c>
      <c r="AP138" s="58" t="str">
        <f t="shared" si="115"/>
        <v>-0.00431132815154318+0.00135149186096454i</v>
      </c>
      <c r="AQ138" s="49">
        <f t="shared" si="116"/>
        <v>-46.900701731427709</v>
      </c>
      <c r="AR138" s="61">
        <f t="shared" si="117"/>
        <v>162.5951171173007</v>
      </c>
      <c r="AS138" s="58" t="str">
        <f t="shared" si="118"/>
        <v>1.84399545479979+4.58970226902019i</v>
      </c>
      <c r="AT138" s="64">
        <f t="shared" si="119"/>
        <v>13.885574003289276</v>
      </c>
      <c r="AU138" s="61">
        <f t="shared" si="120"/>
        <v>68.11131761596576</v>
      </c>
    </row>
    <row r="139" spans="14:47" x14ac:dyDescent="0.3">
      <c r="N139" s="10">
        <v>21</v>
      </c>
      <c r="O139" s="50">
        <f t="shared" si="121"/>
        <v>162.18100973589304</v>
      </c>
      <c r="P139" s="48" t="str">
        <f t="shared" si="88"/>
        <v>51201.9230769231</v>
      </c>
      <c r="Q139" s="17" t="str">
        <f t="shared" si="89"/>
        <v>1+47.6192771166721i</v>
      </c>
      <c r="R139" s="17">
        <f t="shared" si="98"/>
        <v>47.629775908715033</v>
      </c>
      <c r="S139" s="17">
        <f t="shared" si="99"/>
        <v>1.5497995141416854</v>
      </c>
      <c r="T139" s="17" t="str">
        <f t="shared" si="90"/>
        <v>1+3.05704001242833E-09i</v>
      </c>
      <c r="U139" s="17">
        <f t="shared" si="100"/>
        <v>1</v>
      </c>
      <c r="V139" s="17">
        <f t="shared" si="101"/>
        <v>3.05704001242833E-9</v>
      </c>
      <c r="W139" s="31" t="str">
        <f t="shared" si="91"/>
        <v>1-0.0016508016067113i</v>
      </c>
      <c r="X139" s="17">
        <f t="shared" si="102"/>
        <v>1.0000013625720441</v>
      </c>
      <c r="Y139" s="17">
        <f t="shared" si="103"/>
        <v>-1.6508001071553172E-3</v>
      </c>
      <c r="Z139" s="31" t="str">
        <f t="shared" si="92"/>
        <v>0.999989478928032+0.100737865834239i</v>
      </c>
      <c r="AA139" s="17">
        <f t="shared" si="104"/>
        <v>1.0050507825874244</v>
      </c>
      <c r="AB139" s="17">
        <f t="shared" si="105"/>
        <v>0.10040020845884197</v>
      </c>
      <c r="AC139" s="66" t="str">
        <f t="shared" si="106"/>
        <v>-86.600453202878-1066.08576729091i</v>
      </c>
      <c r="AD139" s="64">
        <f t="shared" si="107"/>
        <v>60.584406405418669</v>
      </c>
      <c r="AE139" s="61">
        <f t="shared" si="108"/>
        <v>-94.644063162473671</v>
      </c>
      <c r="AF139" s="31" t="str">
        <f t="shared" si="93"/>
        <v>-1.33333333333333E-06</v>
      </c>
      <c r="AG139" s="31" t="str">
        <f t="shared" si="94"/>
        <v>0.00102003235081359i</v>
      </c>
      <c r="AH139" s="31">
        <f t="shared" si="109"/>
        <v>1.0200323508135899E-3</v>
      </c>
      <c r="AI139" s="31">
        <f t="shared" si="110"/>
        <v>1.5707963267948966</v>
      </c>
      <c r="AJ139" s="31" t="str">
        <f t="shared" si="95"/>
        <v>1+0.00329830490851408i</v>
      </c>
      <c r="AK139" s="31">
        <f t="shared" si="111"/>
        <v>1.0000054393928413</v>
      </c>
      <c r="AL139" s="31">
        <f t="shared" si="112"/>
        <v>3.2982929480422155E-3</v>
      </c>
      <c r="AM139" s="31" t="str">
        <f t="shared" si="96"/>
        <v>1+3.3016032134226i</v>
      </c>
      <c r="AN139" s="31">
        <f t="shared" si="113"/>
        <v>3.4497222756161752</v>
      </c>
      <c r="AO139" s="31">
        <f t="shared" si="114"/>
        <v>1.2766965388376452</v>
      </c>
      <c r="AP139" s="58" t="str">
        <f t="shared" si="115"/>
        <v>-0.00431132604062199+0.00132136815218446i</v>
      </c>
      <c r="AQ139" s="49">
        <f t="shared" si="116"/>
        <v>-46.917868769663954</v>
      </c>
      <c r="AR139" s="61">
        <f t="shared" si="117"/>
        <v>162.96034512883645</v>
      </c>
      <c r="AS139" s="58" t="str">
        <f t="shared" si="118"/>
        <v>1.78205456941858+4.48181224923075i</v>
      </c>
      <c r="AT139" s="64">
        <f t="shared" si="119"/>
        <v>13.666537635754711</v>
      </c>
      <c r="AU139" s="61">
        <f t="shared" si="120"/>
        <v>68.316281966362723</v>
      </c>
    </row>
    <row r="140" spans="14:47" x14ac:dyDescent="0.3">
      <c r="N140" s="10">
        <v>22</v>
      </c>
      <c r="O140" s="50">
        <f t="shared" si="121"/>
        <v>165.95869074375622</v>
      </c>
      <c r="P140" s="48" t="str">
        <f t="shared" si="88"/>
        <v>51201.9230769231</v>
      </c>
      <c r="Q140" s="17" t="str">
        <f t="shared" si="89"/>
        <v>1+48.728472570966i</v>
      </c>
      <c r="R140" s="17">
        <f t="shared" si="98"/>
        <v>48.738732432218484</v>
      </c>
      <c r="S140" s="17">
        <f t="shared" si="99"/>
        <v>1.5502773242456325</v>
      </c>
      <c r="T140" s="17" t="str">
        <f t="shared" si="90"/>
        <v>1+3.12824762183979E-09i</v>
      </c>
      <c r="U140" s="17">
        <f t="shared" si="100"/>
        <v>1</v>
      </c>
      <c r="V140" s="17">
        <f t="shared" si="101"/>
        <v>3.1282476218397899E-9</v>
      </c>
      <c r="W140" s="31" t="str">
        <f t="shared" si="91"/>
        <v>1-0.00168925371579349i</v>
      </c>
      <c r="X140" s="17">
        <f t="shared" si="102"/>
        <v>1.0000014267880402</v>
      </c>
      <c r="Y140" s="17">
        <f t="shared" si="103"/>
        <v>-1.6892521089904289E-3</v>
      </c>
      <c r="Z140" s="31" t="str">
        <f t="shared" si="92"/>
        <v>0.999988983085187+0.103084352165495i</v>
      </c>
      <c r="AA140" s="17">
        <f t="shared" si="104"/>
        <v>1.005288192486675</v>
      </c>
      <c r="AB140" s="17">
        <f t="shared" si="105"/>
        <v>0.10272264848136495</v>
      </c>
      <c r="AC140" s="66" t="str">
        <f t="shared" si="106"/>
        <v>-87.5664439315133-1041.33867559877i</v>
      </c>
      <c r="AD140" s="64">
        <f t="shared" si="107"/>
        <v>60.382441614224248</v>
      </c>
      <c r="AE140" s="61">
        <f t="shared" si="108"/>
        <v>-94.806708809640483</v>
      </c>
      <c r="AF140" s="31" t="str">
        <f t="shared" si="93"/>
        <v>-1.33333333333333E-06</v>
      </c>
      <c r="AG140" s="31" t="str">
        <f t="shared" si="94"/>
        <v>0.00104379195648721i</v>
      </c>
      <c r="AH140" s="31">
        <f t="shared" si="109"/>
        <v>1.04379195648721E-3</v>
      </c>
      <c r="AI140" s="31">
        <f t="shared" si="110"/>
        <v>1.5707963267948966</v>
      </c>
      <c r="AJ140" s="31" t="str">
        <f t="shared" si="95"/>
        <v>1+0.00337513229928768i</v>
      </c>
      <c r="AK140" s="31">
        <f t="shared" si="111"/>
        <v>1.0000056957427981</v>
      </c>
      <c r="AL140" s="31">
        <f t="shared" si="112"/>
        <v>3.3751194834151198E-3</v>
      </c>
      <c r="AM140" s="31" t="str">
        <f t="shared" si="96"/>
        <v>1+3.37850743158697i</v>
      </c>
      <c r="AN140" s="31">
        <f t="shared" si="113"/>
        <v>3.52339501976267</v>
      </c>
      <c r="AO140" s="31">
        <f t="shared" si="114"/>
        <v>1.2830236809597864</v>
      </c>
      <c r="AP140" s="58" t="str">
        <f t="shared" si="115"/>
        <v>-0.00431132383021838+0.00129194504963261i</v>
      </c>
      <c r="AQ140" s="49">
        <f t="shared" si="116"/>
        <v>-46.934326934278836</v>
      </c>
      <c r="AR140" s="61">
        <f t="shared" si="117"/>
        <v>163.31846183258307</v>
      </c>
      <c r="AS140" s="58" t="str">
        <f t="shared" si="118"/>
        <v>1.72287964338022+4.37641721368577i</v>
      </c>
      <c r="AT140" s="64">
        <f t="shared" si="119"/>
        <v>13.448114679945398</v>
      </c>
      <c r="AU140" s="61">
        <f t="shared" si="120"/>
        <v>68.511753022942628</v>
      </c>
    </row>
    <row r="141" spans="14:47" x14ac:dyDescent="0.3">
      <c r="N141" s="10">
        <v>23</v>
      </c>
      <c r="O141" s="50">
        <f t="shared" si="121"/>
        <v>169.82436524617444</v>
      </c>
      <c r="P141" s="48" t="str">
        <f t="shared" si="88"/>
        <v>51201.9230769231</v>
      </c>
      <c r="Q141" s="17" t="str">
        <f t="shared" si="89"/>
        <v>1+49.8635045064143i</v>
      </c>
      <c r="R141" s="17">
        <f t="shared" si="98"/>
        <v>49.873530872209152</v>
      </c>
      <c r="S141" s="17">
        <f t="shared" si="99"/>
        <v>1.55074426711841</v>
      </c>
      <c r="T141" s="17" t="str">
        <f t="shared" si="90"/>
        <v>1+3.20111386954758E-09i</v>
      </c>
      <c r="U141" s="17">
        <f t="shared" si="100"/>
        <v>1</v>
      </c>
      <c r="V141" s="17">
        <f t="shared" si="101"/>
        <v>3.2011138695475802E-9</v>
      </c>
      <c r="W141" s="31" t="str">
        <f t="shared" si="91"/>
        <v>1-0.00172860148955569i</v>
      </c>
      <c r="X141" s="17">
        <f t="shared" si="102"/>
        <v>1.0000014940304387</v>
      </c>
      <c r="Y141" s="17">
        <f t="shared" si="103"/>
        <v>-1.7285997678353293E-3</v>
      </c>
      <c r="Z141" s="31" t="str">
        <f t="shared" si="92"/>
        <v>0.999988463873988+0.105485495184753i</v>
      </c>
      <c r="AA141" s="17">
        <f t="shared" si="104"/>
        <v>1.0055367310921222</v>
      </c>
      <c r="AB141" s="17">
        <f t="shared" si="105"/>
        <v>0.1050980378697397</v>
      </c>
      <c r="AC141" s="66" t="str">
        <f t="shared" si="106"/>
        <v>-88.4842953073956-1017.14233127863i</v>
      </c>
      <c r="AD141" s="64">
        <f t="shared" si="107"/>
        <v>60.180377326417741</v>
      </c>
      <c r="AE141" s="61">
        <f t="shared" si="108"/>
        <v>-94.971816902789001</v>
      </c>
      <c r="AF141" s="31" t="str">
        <f t="shared" si="93"/>
        <v>-1.33333333333333E-06</v>
      </c>
      <c r="AG141" s="31" t="str">
        <f t="shared" si="94"/>
        <v>0.00106810499447238i</v>
      </c>
      <c r="AH141" s="31">
        <f t="shared" si="109"/>
        <v>1.0681049944723799E-3</v>
      </c>
      <c r="AI141" s="31">
        <f t="shared" si="110"/>
        <v>1.5707963267948966</v>
      </c>
      <c r="AJ141" s="31" t="str">
        <f t="shared" si="95"/>
        <v>1+0.0034537492298815i</v>
      </c>
      <c r="AK141" s="31">
        <f t="shared" si="111"/>
        <v>1.0000059641740857</v>
      </c>
      <c r="AL141" s="31">
        <f t="shared" si="112"/>
        <v>3.4537354974310615E-3</v>
      </c>
      <c r="AM141" s="31" t="str">
        <f t="shared" si="96"/>
        <v>1+3.45720297911139i</v>
      </c>
      <c r="AN141" s="31">
        <f t="shared" si="113"/>
        <v>3.5989237889647887</v>
      </c>
      <c r="AO141" s="31">
        <f t="shared" si="114"/>
        <v>1.2892297837289151</v>
      </c>
      <c r="AP141" s="58" t="str">
        <f t="shared" si="115"/>
        <v>-0.00431132151564407+0.00126320695274361i</v>
      </c>
      <c r="AQ141" s="49">
        <f t="shared" si="116"/>
        <v>-46.950102986522573</v>
      </c>
      <c r="AR141" s="61">
        <f t="shared" si="117"/>
        <v>163.66954096267338</v>
      </c>
      <c r="AS141" s="58" t="str">
        <f t="shared" si="118"/>
        <v>1.66634551095639+4.27345364027301i</v>
      </c>
      <c r="AT141" s="64">
        <f t="shared" si="119"/>
        <v>13.230274339895177</v>
      </c>
      <c r="AU141" s="61">
        <f t="shared" si="120"/>
        <v>68.697724059884379</v>
      </c>
    </row>
    <row r="142" spans="14:47" x14ac:dyDescent="0.3">
      <c r="N142" s="10">
        <v>24</v>
      </c>
      <c r="O142" s="50">
        <f t="shared" si="121"/>
        <v>173.78008287493768</v>
      </c>
      <c r="P142" s="48" t="str">
        <f t="shared" si="88"/>
        <v>51201.9230769231</v>
      </c>
      <c r="Q142" s="17" t="str">
        <f t="shared" si="89"/>
        <v>1+51.0249747319737i</v>
      </c>
      <c r="R142" s="17">
        <f t="shared" si="98"/>
        <v>51.03477291414702</v>
      </c>
      <c r="S142" s="17">
        <f t="shared" si="99"/>
        <v>1.551200589524361</v>
      </c>
      <c r="T142" s="17" t="str">
        <f t="shared" si="90"/>
        <v>1+3.27567739020078E-09i</v>
      </c>
      <c r="U142" s="17">
        <f t="shared" si="100"/>
        <v>1</v>
      </c>
      <c r="V142" s="17">
        <f t="shared" si="101"/>
        <v>3.2756773902007801E-9</v>
      </c>
      <c r="W142" s="31" t="str">
        <f t="shared" si="91"/>
        <v>1-0.00176886579070842i</v>
      </c>
      <c r="X142" s="17">
        <f t="shared" si="102"/>
        <v>1.0000015644418689</v>
      </c>
      <c r="Y142" s="17">
        <f t="shared" si="103"/>
        <v>-1.7688639458519713E-3</v>
      </c>
      <c r="Z142" s="31" t="str">
        <f t="shared" si="92"/>
        <v>0.999987920193118+0.107942568009823i</v>
      </c>
      <c r="AA142" s="17">
        <f t="shared" si="104"/>
        <v>1.0057969171362144</v>
      </c>
      <c r="AB142" s="17">
        <f t="shared" si="105"/>
        <v>0.10752752914097559</v>
      </c>
      <c r="AC142" s="66" t="str">
        <f t="shared" si="106"/>
        <v>-89.3559564250213-993.48406509197i</v>
      </c>
      <c r="AD142" s="64">
        <f t="shared" si="107"/>
        <v>59.978209308911879</v>
      </c>
      <c r="AE142" s="61">
        <f t="shared" si="108"/>
        <v>-95.139468810146639</v>
      </c>
      <c r="AF142" s="31" t="str">
        <f t="shared" si="93"/>
        <v>-1.33333333333333E-06</v>
      </c>
      <c r="AG142" s="31" t="str">
        <f t="shared" si="94"/>
        <v>0.00109298435586366i</v>
      </c>
      <c r="AH142" s="31">
        <f t="shared" si="109"/>
        <v>1.0929843558636599E-3</v>
      </c>
      <c r="AI142" s="31">
        <f t="shared" si="110"/>
        <v>1.5707963267948966</v>
      </c>
      <c r="AJ142" s="31" t="str">
        <f t="shared" si="95"/>
        <v>1+0.00353419738403281i</v>
      </c>
      <c r="AK142" s="31">
        <f t="shared" si="111"/>
        <v>1.0000062452560732</v>
      </c>
      <c r="AL142" s="31">
        <f t="shared" si="112"/>
        <v>3.5341826694520202E-3</v>
      </c>
      <c r="AM142" s="31" t="str">
        <f t="shared" si="96"/>
        <v>1+3.53773158141684i</v>
      </c>
      <c r="AN142" s="31">
        <f t="shared" si="113"/>
        <v>3.6763493770524716</v>
      </c>
      <c r="AO142" s="31">
        <f t="shared" si="114"/>
        <v>1.2953162247130834</v>
      </c>
      <c r="AP142" s="58" t="str">
        <f t="shared" si="115"/>
        <v>-0.00431131909198992+0.0012351386241478i</v>
      </c>
      <c r="AQ142" s="49">
        <f t="shared" si="116"/>
        <v>-46.965222884355398</v>
      </c>
      <c r="AR142" s="61">
        <f t="shared" si="117"/>
        <v>164.01365905989113</v>
      </c>
      <c r="AS142" s="58" t="str">
        <f t="shared" si="118"/>
        <v>1.61233258218867+4.17285982434056i</v>
      </c>
      <c r="AT142" s="64">
        <f t="shared" si="119"/>
        <v>13.012986424556487</v>
      </c>
      <c r="AU142" s="61">
        <f t="shared" si="120"/>
        <v>68.874190249744544</v>
      </c>
    </row>
    <row r="143" spans="14:47" x14ac:dyDescent="0.3">
      <c r="N143" s="10">
        <v>25</v>
      </c>
      <c r="O143" s="50">
        <f t="shared" si="121"/>
        <v>177.82794100389242</v>
      </c>
      <c r="P143" s="48" t="str">
        <f t="shared" si="88"/>
        <v>51201.9230769231</v>
      </c>
      <c r="Q143" s="17" t="str">
        <f t="shared" si="89"/>
        <v>1+52.2134990745314i</v>
      </c>
      <c r="R143" s="17">
        <f t="shared" si="98"/>
        <v>52.223074264218596</v>
      </c>
      <c r="S143" s="17">
        <f t="shared" si="99"/>
        <v>1.5516465326510691</v>
      </c>
      <c r="T143" s="17" t="str">
        <f t="shared" si="90"/>
        <v>1+3.35197771836498E-09i</v>
      </c>
      <c r="U143" s="17">
        <f t="shared" si="100"/>
        <v>1</v>
      </c>
      <c r="V143" s="17">
        <f t="shared" si="101"/>
        <v>3.3519777183649799E-9</v>
      </c>
      <c r="W143" s="31" t="str">
        <f t="shared" si="91"/>
        <v>1-0.00181006796791709i</v>
      </c>
      <c r="X143" s="17">
        <f t="shared" si="102"/>
        <v>1.0000016381716825</v>
      </c>
      <c r="Y143" s="17">
        <f t="shared" si="103"/>
        <v>-1.8100659911179646E-3</v>
      </c>
      <c r="Z143" s="31" t="str">
        <f t="shared" si="92"/>
        <v>0.999987350889359+0.110456873413241i</v>
      </c>
      <c r="AA143" s="17">
        <f t="shared" si="104"/>
        <v>1.0060692932511888</v>
      </c>
      <c r="AB143" s="17">
        <f t="shared" si="105"/>
        <v>0.11001229602285209</v>
      </c>
      <c r="AC143" s="66" t="str">
        <f t="shared" si="106"/>
        <v>-90.1832795388213-970.35148712377i</v>
      </c>
      <c r="AD143" s="64">
        <f t="shared" si="107"/>
        <v>59.775933122460707</v>
      </c>
      <c r="AE143" s="61">
        <f t="shared" si="108"/>
        <v>-95.309746823544657</v>
      </c>
      <c r="AF143" s="31" t="str">
        <f t="shared" si="93"/>
        <v>-1.33333333333333E-06</v>
      </c>
      <c r="AG143" s="31" t="str">
        <f t="shared" si="94"/>
        <v>0.00111844323202778i</v>
      </c>
      <c r="AH143" s="31">
        <f t="shared" si="109"/>
        <v>1.11844323202778E-3</v>
      </c>
      <c r="AI143" s="31">
        <f t="shared" si="110"/>
        <v>1.5707963267948966</v>
      </c>
      <c r="AJ143" s="31" t="str">
        <f t="shared" si="95"/>
        <v>1+0.00361651941641776i</v>
      </c>
      <c r="AK143" s="31">
        <f t="shared" si="111"/>
        <v>1.0000065395849616</v>
      </c>
      <c r="AL143" s="31">
        <f t="shared" si="112"/>
        <v>3.6165036494659438E-3</v>
      </c>
      <c r="AM143" s="31" t="str">
        <f t="shared" si="96"/>
        <v>1+3.62013593583418i</v>
      </c>
      <c r="AN143" s="31">
        <f t="shared" si="113"/>
        <v>3.7557135399172834</v>
      </c>
      <c r="AO143" s="31">
        <f t="shared" si="114"/>
        <v>1.3012844265557895</v>
      </c>
      <c r="AP143" s="58" t="str">
        <f t="shared" si="115"/>
        <v>-0.00431131655411539+0.00120772518159192i</v>
      </c>
      <c r="AQ143" s="49">
        <f t="shared" si="116"/>
        <v>-46.979711789482806</v>
      </c>
      <c r="AR143" s="61">
        <f t="shared" si="117"/>
        <v>164.35089519204027</v>
      </c>
      <c r="AS143" s="58" t="str">
        <f t="shared" si="118"/>
        <v>1.56072659197468+4.07457581208962i</v>
      </c>
      <c r="AT143" s="64">
        <f t="shared" si="119"/>
        <v>12.796221332977902</v>
      </c>
      <c r="AU143" s="61">
        <f t="shared" si="120"/>
        <v>69.041148368495627</v>
      </c>
    </row>
    <row r="144" spans="14:47" x14ac:dyDescent="0.3">
      <c r="N144" s="10">
        <v>26</v>
      </c>
      <c r="O144" s="50">
        <f t="shared" si="121"/>
        <v>181.9700858609983</v>
      </c>
      <c r="P144" s="48" t="str">
        <f t="shared" si="88"/>
        <v>51201.9230769231</v>
      </c>
      <c r="Q144" s="17" t="str">
        <f t="shared" si="89"/>
        <v>1+53.4297077054253i</v>
      </c>
      <c r="R144" s="17">
        <f t="shared" si="98"/>
        <v>53.43906497579448</v>
      </c>
      <c r="S144" s="17">
        <f t="shared" si="99"/>
        <v>1.5520823322336146</v>
      </c>
      <c r="T144" s="17" t="str">
        <f t="shared" si="90"/>
        <v>1+3.43005530948409E-09i</v>
      </c>
      <c r="U144" s="17">
        <f t="shared" si="100"/>
        <v>1</v>
      </c>
      <c r="V144" s="17">
        <f t="shared" si="101"/>
        <v>3.43005530948409E-9</v>
      </c>
      <c r="W144" s="31" t="str">
        <f t="shared" si="91"/>
        <v>1-0.00185222986712141i</v>
      </c>
      <c r="X144" s="17">
        <f t="shared" si="102"/>
        <v>1.000001715376269</v>
      </c>
      <c r="Y144" s="17">
        <f t="shared" si="103"/>
        <v>-1.8522277489431808E-3</v>
      </c>
      <c r="Z144" s="31" t="str">
        <f t="shared" si="92"/>
        <v>0.999986754755141+0.113029744513011i</v>
      </c>
      <c r="AA144" s="17">
        <f t="shared" si="104"/>
        <v>1.0063544270436708</v>
      </c>
      <c r="AB144" s="17">
        <f t="shared" si="105"/>
        <v>0.11255353356246847</v>
      </c>
      <c r="AC144" s="66" t="str">
        <f t="shared" si="106"/>
        <v>-90.9680240167281-947.732480929007i</v>
      </c>
      <c r="AD144" s="64">
        <f t="shared" si="107"/>
        <v>59.573544113546603</v>
      </c>
      <c r="AE144" s="61">
        <f t="shared" si="108"/>
        <v>-95.482734172405046</v>
      </c>
      <c r="AF144" s="31" t="str">
        <f t="shared" si="93"/>
        <v>-1.33333333333333E-06</v>
      </c>
      <c r="AG144" s="31" t="str">
        <f t="shared" si="94"/>
        <v>0.00114449512159786i</v>
      </c>
      <c r="AH144" s="31">
        <f t="shared" si="109"/>
        <v>1.14449512159786E-3</v>
      </c>
      <c r="AI144" s="31">
        <f t="shared" si="110"/>
        <v>1.5707963267948966</v>
      </c>
      <c r="AJ144" s="31" t="str">
        <f t="shared" si="95"/>
        <v>1+0.00370075897526754i</v>
      </c>
      <c r="AK144" s="31">
        <f t="shared" si="111"/>
        <v>1.0000068477850503</v>
      </c>
      <c r="AL144" s="31">
        <f t="shared" si="112"/>
        <v>3.7007420806805325E-3</v>
      </c>
      <c r="AM144" s="31" t="str">
        <f t="shared" si="96"/>
        <v>1+3.70445973424282i</v>
      </c>
      <c r="AN144" s="31">
        <f t="shared" si="113"/>
        <v>3.8370590199560888</v>
      </c>
      <c r="AO144" s="31">
        <f t="shared" si="114"/>
        <v>1.3071358523309777</v>
      </c>
      <c r="AP144" s="58" t="str">
        <f t="shared" si="115"/>
        <v>-0.0043113138966377+0.00118095209004813i</v>
      </c>
      <c r="AQ144" s="49">
        <f t="shared" si="116"/>
        <v>-46.993594075952004</v>
      </c>
      <c r="AR144" s="61">
        <f t="shared" si="117"/>
        <v>164.68133068651125</v>
      </c>
      <c r="AS144" s="58" t="str">
        <f t="shared" si="118"/>
        <v>1.5114183602526+3.97854333723405i</v>
      </c>
      <c r="AT144" s="64">
        <f t="shared" si="119"/>
        <v>12.579950037594603</v>
      </c>
      <c r="AU144" s="61">
        <f t="shared" si="120"/>
        <v>69.198596514106256</v>
      </c>
    </row>
    <row r="145" spans="14:47" x14ac:dyDescent="0.3">
      <c r="N145" s="10">
        <v>27</v>
      </c>
      <c r="O145" s="50">
        <f t="shared" si="121"/>
        <v>186.20871366628685</v>
      </c>
      <c r="P145" s="48" t="str">
        <f t="shared" si="88"/>
        <v>51201.9230769231</v>
      </c>
      <c r="Q145" s="17" t="str">
        <f t="shared" si="89"/>
        <v>1+54.6742454745707i</v>
      </c>
      <c r="R145" s="17">
        <f t="shared" si="98"/>
        <v>54.683389783494718</v>
      </c>
      <c r="S145" s="17">
        <f t="shared" si="99"/>
        <v>1.5525082186761845</v>
      </c>
      <c r="T145" s="17" t="str">
        <f t="shared" si="90"/>
        <v>1+3.50995156133046E-09i</v>
      </c>
      <c r="U145" s="17">
        <f t="shared" si="100"/>
        <v>1</v>
      </c>
      <c r="V145" s="17">
        <f t="shared" si="101"/>
        <v>3.5099515613304598E-9</v>
      </c>
      <c r="W145" s="31" t="str">
        <f t="shared" si="91"/>
        <v>1-0.00189537384311845i</v>
      </c>
      <c r="X145" s="17">
        <f t="shared" si="102"/>
        <v>1.0000017962193894</v>
      </c>
      <c r="Y145" s="17">
        <f t="shared" si="103"/>
        <v>-1.8953715734498057E-3</v>
      </c>
      <c r="Z145" s="31" t="str">
        <f t="shared" si="92"/>
        <v>0.999986130525982+0.115662545479448i</v>
      </c>
      <c r="AA145" s="17">
        <f t="shared" si="104"/>
        <v>1.0066529122150851</v>
      </c>
      <c r="AB145" s="17">
        <f t="shared" si="105"/>
        <v>0.11515245821183369</v>
      </c>
      <c r="AC145" s="66" t="str">
        <f t="shared" si="106"/>
        <v>-91.7118601060195-925.615197797102i</v>
      </c>
      <c r="AD145" s="64">
        <f t="shared" si="107"/>
        <v>59.371037405933322</v>
      </c>
      <c r="AE145" s="61">
        <f t="shared" si="108"/>
        <v>-95.658515036275844</v>
      </c>
      <c r="AF145" s="31" t="str">
        <f t="shared" si="93"/>
        <v>-1.33333333333333E-06</v>
      </c>
      <c r="AG145" s="31" t="str">
        <f t="shared" si="94"/>
        <v>0.0011711538376306i</v>
      </c>
      <c r="AH145" s="31">
        <f t="shared" si="109"/>
        <v>1.1711538376305999E-3</v>
      </c>
      <c r="AI145" s="31">
        <f t="shared" si="110"/>
        <v>1.5707963267948966</v>
      </c>
      <c r="AJ145" s="31" t="str">
        <f t="shared" si="95"/>
        <v>1+0.00378696072551138i</v>
      </c>
      <c r="AK145" s="31">
        <f t="shared" si="111"/>
        <v>1.0000071705100602</v>
      </c>
      <c r="AL145" s="31">
        <f t="shared" si="112"/>
        <v>3.7869426226422582E-3</v>
      </c>
      <c r="AM145" s="31" t="str">
        <f t="shared" si="96"/>
        <v>1+3.7907476862369i</v>
      </c>
      <c r="AN145" s="31">
        <f t="shared" si="113"/>
        <v>3.9204295709412271</v>
      </c>
      <c r="AO145" s="31">
        <f t="shared" si="114"/>
        <v>1.312872001111512</v>
      </c>
      <c r="AP145" s="58" t="str">
        <f t="shared" si="115"/>
        <v>-0.00431131111392046+0.00115480515400701i</v>
      </c>
      <c r="AQ145" s="49">
        <f t="shared" si="116"/>
        <v>-47.006893340147762</v>
      </c>
      <c r="AR145" s="61">
        <f t="shared" si="117"/>
        <v>165.00504887504877</v>
      </c>
      <c r="AS145" s="58" t="str">
        <f t="shared" si="118"/>
        <v>1.46430356279671+3.88470576074233i</v>
      </c>
      <c r="AT145" s="64">
        <f t="shared" si="119"/>
        <v>12.36414406578556</v>
      </c>
      <c r="AU145" s="61">
        <f t="shared" si="120"/>
        <v>69.346533838772956</v>
      </c>
    </row>
    <row r="146" spans="14:47" x14ac:dyDescent="0.3">
      <c r="N146" s="10">
        <v>28</v>
      </c>
      <c r="O146" s="50">
        <f t="shared" si="121"/>
        <v>190.54607179632498</v>
      </c>
      <c r="P146" s="48" t="str">
        <f t="shared" si="88"/>
        <v>51201.9230769231</v>
      </c>
      <c r="Q146" s="17" t="str">
        <f t="shared" si="89"/>
        <v>1+55.9477722523663i</v>
      </c>
      <c r="R146" s="17">
        <f t="shared" si="98"/>
        <v>55.95670844503497</v>
      </c>
      <c r="S146" s="17">
        <f t="shared" si="99"/>
        <v>1.5529244171710777</v>
      </c>
      <c r="T146" s="17" t="str">
        <f t="shared" si="90"/>
        <v>1+3.59170883595438E-09i</v>
      </c>
      <c r="U146" s="17">
        <f t="shared" si="100"/>
        <v>1</v>
      </c>
      <c r="V146" s="17">
        <f t="shared" si="101"/>
        <v>3.59170883595438E-9</v>
      </c>
      <c r="W146" s="31" t="str">
        <f t="shared" si="91"/>
        <v>1-0.00193952277141536i</v>
      </c>
      <c r="X146" s="17">
        <f t="shared" si="102"/>
        <v>1.0000018808725215</v>
      </c>
      <c r="Y146" s="17">
        <f t="shared" si="103"/>
        <v>-1.939520339421838E-3</v>
      </c>
      <c r="Z146" s="31" t="str">
        <f t="shared" si="92"/>
        <v>0.999985476877809+0.118356672258474i</v>
      </c>
      <c r="AA146" s="17">
        <f t="shared" si="104"/>
        <v>1.0069653697295846</v>
      </c>
      <c r="AB146" s="17">
        <f t="shared" si="105"/>
        <v>0.11781030788835897</v>
      </c>
      <c r="AC146" s="66" t="str">
        <f t="shared" si="106"/>
        <v>-92.4163725196271-903.988051134508i</v>
      </c>
      <c r="AD146" s="64">
        <f t="shared" si="107"/>
        <v>59.168407891879902</v>
      </c>
      <c r="AE146" s="61">
        <f t="shared" si="108"/>
        <v>-95.837174555794604</v>
      </c>
      <c r="AF146" s="31" t="str">
        <f t="shared" si="93"/>
        <v>-1.33333333333333E-06</v>
      </c>
      <c r="AG146" s="31" t="str">
        <f t="shared" si="94"/>
        <v>0.00119843351493011i</v>
      </c>
      <c r="AH146" s="31">
        <f t="shared" si="109"/>
        <v>1.1984335149301101E-3</v>
      </c>
      <c r="AI146" s="31">
        <f t="shared" si="110"/>
        <v>1.5707963267948966</v>
      </c>
      <c r="AJ146" s="31" t="str">
        <f t="shared" si="95"/>
        <v>1+0.00387517037245827i</v>
      </c>
      <c r="AK146" s="31">
        <f t="shared" si="111"/>
        <v>1.0000075084445195</v>
      </c>
      <c r="AL146" s="31">
        <f t="shared" si="112"/>
        <v>3.8751509748923916E-3</v>
      </c>
      <c r="AM146" s="31" t="str">
        <f t="shared" si="96"/>
        <v>1+3.87904554283073i</v>
      </c>
      <c r="AN146" s="31">
        <f t="shared" si="113"/>
        <v>4.0058699833313307</v>
      </c>
      <c r="AO146" s="31">
        <f t="shared" si="114"/>
        <v>1.3184944037500377</v>
      </c>
      <c r="AP146" s="58" t="str">
        <f t="shared" si="115"/>
        <v>-0.00431130820006166+0.00112927050995066i</v>
      </c>
      <c r="AQ146" s="49">
        <f t="shared" si="116"/>
        <v>-47.01963241203363</v>
      </c>
      <c r="AR146" s="61">
        <f t="shared" si="117"/>
        <v>165.3221348506577</v>
      </c>
      <c r="AS146" s="58" t="str">
        <f t="shared" si="118"/>
        <v>1.41928251215779+3.79300801349093i</v>
      </c>
      <c r="AT146" s="64">
        <f t="shared" si="119"/>
        <v>12.148775479846268</v>
      </c>
      <c r="AU146" s="61">
        <f t="shared" si="120"/>
        <v>69.4849602948631</v>
      </c>
    </row>
    <row r="147" spans="14:47" x14ac:dyDescent="0.3">
      <c r="N147" s="10">
        <v>29</v>
      </c>
      <c r="O147" s="50">
        <f t="shared" si="121"/>
        <v>194.98445997580458</v>
      </c>
      <c r="P147" s="48" t="str">
        <f t="shared" ref="P147:P210" si="122">COMPLEX(Adc,0)</f>
        <v>51201.9230769231</v>
      </c>
      <c r="Q147" s="17" t="str">
        <f t="shared" ref="Q147:Q210" si="123">IMSUM(COMPLEX(1,0),IMDIV(COMPLEX(0,2*PI()*O147),COMPLEX(wp_lf,0)))</f>
        <v>1+57.2509632795658i</v>
      </c>
      <c r="R147" s="17">
        <f t="shared" si="98"/>
        <v>57.259696091039388</v>
      </c>
      <c r="S147" s="17">
        <f t="shared" si="99"/>
        <v>1.5533311478151588</v>
      </c>
      <c r="T147" s="17" t="str">
        <f t="shared" ref="T147:T210" si="124">IMSUM(COMPLEX(1,0),IMDIV(COMPLEX(0,2*PI()*O147),COMPLEX(wz_esr,0)))</f>
        <v>1+3.67537048214496E-09i</v>
      </c>
      <c r="U147" s="17">
        <f t="shared" si="100"/>
        <v>1</v>
      </c>
      <c r="V147" s="17">
        <f t="shared" si="101"/>
        <v>3.6753704821449599E-9</v>
      </c>
      <c r="W147" s="31" t="str">
        <f t="shared" ref="W147:W210" si="125">IMSUB(COMPLEX(1,0),IMDIV(COMPLEX(0,2*PI()*O147),COMPLEX(wz_rhp,0)))</f>
        <v>1-0.00198470006035828i</v>
      </c>
      <c r="X147" s="17">
        <f t="shared" si="102"/>
        <v>1.0000019695152254</v>
      </c>
      <c r="Y147" s="17">
        <f t="shared" si="103"/>
        <v>-1.984697454430548E-3</v>
      </c>
      <c r="Z147" s="31" t="str">
        <f t="shared" ref="Z147:Z210" si="126">IMSUM(COMPLEX(1,0),IMDIV(COMPLEX(0,2*PI()*O147),COMPLEX(Q*(wsl/2),0)),IMDIV(IMPOWER(COMPLEX(0,2*PI()*O147),2),IMPOWER(COMPLEX(wsl/2,0),2)))</f>
        <v>0.999984792424147+0.121113553311766i</v>
      </c>
      <c r="AA147" s="17">
        <f t="shared" si="104"/>
        <v>1.0072924490312465</v>
      </c>
      <c r="AB147" s="17">
        <f t="shared" si="105"/>
        <v>0.12052834200801783</v>
      </c>
      <c r="AC147" s="66" t="str">
        <f t="shared" si="106"/>
        <v>-93.0830638508019-882.839710965203i</v>
      </c>
      <c r="AD147" s="64">
        <f t="shared" si="107"/>
        <v>58.965650223007714</v>
      </c>
      <c r="AE147" s="61">
        <f t="shared" si="108"/>
        <v>-96.018798841955203</v>
      </c>
      <c r="AF147" s="31" t="str">
        <f t="shared" ref="AF147:AF210" si="127">COMPLEX(Adc_ea,0)</f>
        <v>-1.33333333333333E-06</v>
      </c>
      <c r="AG147" s="31" t="str">
        <f t="shared" ref="AG147:AG210" si="128">COMPLEX(0,2*PI()*O147*wp0_ea)</f>
        <v>0.00122634861754237i</v>
      </c>
      <c r="AH147" s="31">
        <f t="shared" si="109"/>
        <v>1.22634861754237E-3</v>
      </c>
      <c r="AI147" s="31">
        <f t="shared" si="110"/>
        <v>1.5707963267948966</v>
      </c>
      <c r="AJ147" s="31" t="str">
        <f t="shared" ref="AJ147:AJ210" si="129">IMSUM(COMPLEX(1,0),IMDIV(COMPLEX(0,2*PI()*O147),COMPLEX(wp1_ea,0)))</f>
        <v>1+0.00396543468603052i</v>
      </c>
      <c r="AK147" s="31">
        <f t="shared" si="111"/>
        <v>1.0000078623052167</v>
      </c>
      <c r="AL147" s="31">
        <f t="shared" si="112"/>
        <v>3.965413901173033E-3</v>
      </c>
      <c r="AM147" s="31" t="str">
        <f t="shared" ref="AM147:AM210" si="130">IMSUM(COMPLEX(1,0),IMDIV(COMPLEX(0,2*PI()*O147),COMPLEX(wz_ea,0)))</f>
        <v>1+3.96940012071656i</v>
      </c>
      <c r="AN147" s="31">
        <f t="shared" si="113"/>
        <v>4.0934261100384655</v>
      </c>
      <c r="AO147" s="31">
        <f t="shared" si="114"/>
        <v>1.3240046188702315</v>
      </c>
      <c r="AP147" s="58" t="str">
        <f t="shared" si="115"/>
        <v>-0.00431130514888112+0.00110433461900176i</v>
      </c>
      <c r="AQ147" s="49">
        <f t="shared" si="116"/>
        <v>-47.031833367492865</v>
      </c>
      <c r="AR147" s="61">
        <f t="shared" si="117"/>
        <v>165.63267523653164</v>
      </c>
      <c r="AS147" s="58" t="str">
        <f t="shared" si="118"/>
        <v>1.37625994830197+3.70339654166781i</v>
      </c>
      <c r="AT147" s="64">
        <f t="shared" si="119"/>
        <v>11.933816855514852</v>
      </c>
      <c r="AU147" s="61">
        <f t="shared" si="120"/>
        <v>69.613876394576508</v>
      </c>
    </row>
    <row r="148" spans="14:47" x14ac:dyDescent="0.3">
      <c r="N148" s="10">
        <v>30</v>
      </c>
      <c r="O148" s="50">
        <f t="shared" si="121"/>
        <v>199.52623149688802</v>
      </c>
      <c r="P148" s="48" t="str">
        <f t="shared" si="122"/>
        <v>51201.9230769231</v>
      </c>
      <c r="Q148" s="17" t="str">
        <f t="shared" si="123"/>
        <v>1+58.5845095253025i</v>
      </c>
      <c r="R148" s="17">
        <f t="shared" ref="R148:R211" si="131">IMABS(Q148)</f>
        <v>58.593043583007862</v>
      </c>
      <c r="S148" s="17">
        <f t="shared" ref="S148:S211" si="132">IMARGUMENT(Q148)</f>
        <v>1.5537286257238077</v>
      </c>
      <c r="T148" s="17" t="str">
        <f t="shared" si="124"/>
        <v>1+3.76098085841448E-09i</v>
      </c>
      <c r="U148" s="17">
        <f t="shared" ref="U148:U211" si="133">IMABS(T148)</f>
        <v>1</v>
      </c>
      <c r="V148" s="17">
        <f t="shared" ref="V148:V211" si="134">IMARGUMENT(T148)</f>
        <v>3.7609808584144801E-9</v>
      </c>
      <c r="W148" s="31" t="str">
        <f t="shared" si="125"/>
        <v>1-0.00203092966354382i</v>
      </c>
      <c r="X148" s="17">
        <f t="shared" ref="X148:X211" si="135">IMABS(W148)</f>
        <v>1.0000020623355226</v>
      </c>
      <c r="Y148" s="17">
        <f t="shared" ref="Y148:Y211" si="136">IMARGUMENT(W148)</f>
        <v>-2.0309268712422586E-3</v>
      </c>
      <c r="Z148" s="31" t="str">
        <f t="shared" si="126"/>
        <v>0.999984075713178+0.123934650374152i</v>
      </c>
      <c r="AA148" s="17">
        <f t="shared" ref="AA148:AA211" si="137">IMABS(Z148)</f>
        <v>1.0076348293123369</v>
      </c>
      <c r="AB148" s="17">
        <f t="shared" ref="AB148:AB211" si="138">IMARGUMENT(Z148)</f>
        <v>0.12330784148878485</v>
      </c>
      <c r="AC148" s="66" t="str">
        <f t="shared" ref="AC148:AC211" si="139">(IMDIV(IMPRODUCT(P148,T148,W148),IMPRODUCT(Q148,Z148)))</f>
        <v>-93.7133578237384-862.159098548939i</v>
      </c>
      <c r="AD148" s="64">
        <f t="shared" ref="AD148:AD211" si="140">20*LOG(IMABS(AC148))</f>
        <v>58.762758800814211</v>
      </c>
      <c r="AE148" s="61">
        <f t="shared" ref="AE148:AE211" si="141">(180/PI())*IMARGUMENT(AC148)</f>
        <v>-96.203474983544751</v>
      </c>
      <c r="AF148" s="31" t="str">
        <f t="shared" si="127"/>
        <v>-1.33333333333333E-06</v>
      </c>
      <c r="AG148" s="31" t="str">
        <f t="shared" si="128"/>
        <v>0.0012549139464243i</v>
      </c>
      <c r="AH148" s="31">
        <f t="shared" ref="AH148:AH211" si="142">IMABS(AG148)</f>
        <v>1.2549139464242999E-3</v>
      </c>
      <c r="AI148" s="31">
        <f t="shared" ref="AI148:AI211" si="143">IMARGUMENT(AG148)</f>
        <v>1.5707963267948966</v>
      </c>
      <c r="AJ148" s="31" t="str">
        <f t="shared" si="129"/>
        <v>1+0.00405780152556207i</v>
      </c>
      <c r="AK148" s="31">
        <f t="shared" ref="AK148:AK211" si="144">IMABS(AJ148)</f>
        <v>1.0000082328427207</v>
      </c>
      <c r="AL148" s="31">
        <f t="shared" ref="AL148:AL211" si="145">IMARGUMENT(AJ148)</f>
        <v>4.0577792541959187E-3</v>
      </c>
      <c r="AM148" s="31" t="str">
        <f t="shared" si="130"/>
        <v>1+4.06185932708764i</v>
      </c>
      <c r="AN148" s="31">
        <f t="shared" ref="AN148:AN211" si="146">IMABS(AM148)</f>
        <v>4.1831448926673396</v>
      </c>
      <c r="AO148" s="31">
        <f t="shared" ref="AO148:AO211" si="147">IMARGUMENT(AM148)</f>
        <v>1.329404229065547</v>
      </c>
      <c r="AP148" s="58" t="str">
        <f t="shared" ref="AP148:AP211" si="148">IMPRODUCT(AF148,IMDIV(AM148,IMPRODUCT(AG148,AJ148)))</f>
        <v>-0.00431130195390752+0.00107998425974473i</v>
      </c>
      <c r="AQ148" s="49">
        <f t="shared" ref="AQ148:AQ211" si="149">20*LOG(IMABS(AP148))</f>
        <v>-47.043517541631388</v>
      </c>
      <c r="AR148" s="61">
        <f t="shared" ref="AR148:AR211" si="150">(180/PI())*IMARGUMENT(AP148)</f>
        <v>165.93675796683755</v>
      </c>
      <c r="AS148" s="58" t="str">
        <f t="shared" ref="AS148:AS211" si="151">IMPRODUCT(AC148,AP148)</f>
        <v>1.33514483852128+3.61581925477572i</v>
      </c>
      <c r="AT148" s="64">
        <f t="shared" ref="AT148:AT211" si="152">20*LOG(IMABS(AS148))</f>
        <v>11.719241259182811</v>
      </c>
      <c r="AU148" s="61">
        <f t="shared" ref="AU148:AU211" si="153">(180/PI())*IMARGUMENT(AS148)</f>
        <v>69.733282983292739</v>
      </c>
    </row>
    <row r="149" spans="14:47" x14ac:dyDescent="0.3">
      <c r="N149" s="10">
        <v>31</v>
      </c>
      <c r="O149" s="50">
        <f t="shared" si="121"/>
        <v>204.17379446695315</v>
      </c>
      <c r="P149" s="48" t="str">
        <f t="shared" si="122"/>
        <v>51201.9230769231</v>
      </c>
      <c r="Q149" s="17" t="str">
        <f t="shared" si="123"/>
        <v>1+59.949118053447i</v>
      </c>
      <c r="R149" s="17">
        <f t="shared" si="131"/>
        <v>59.957457879617657</v>
      </c>
      <c r="S149" s="17">
        <f t="shared" si="132"/>
        <v>1.554117061142408</v>
      </c>
      <c r="T149" s="17" t="str">
        <f t="shared" si="124"/>
        <v>1+3.84858535651758E-09i</v>
      </c>
      <c r="U149" s="17">
        <f t="shared" si="133"/>
        <v>1</v>
      </c>
      <c r="V149" s="17">
        <f t="shared" si="134"/>
        <v>3.8485853565175798E-9</v>
      </c>
      <c r="W149" s="31" t="str">
        <f t="shared" si="125"/>
        <v>1-0.00207823609251949i</v>
      </c>
      <c r="X149" s="17">
        <f t="shared" si="135"/>
        <v>1.0000021595302964</v>
      </c>
      <c r="Y149" s="17">
        <f t="shared" si="136"/>
        <v>-2.0782331005148101E-3</v>
      </c>
      <c r="Z149" s="31" t="str">
        <f t="shared" si="126"/>
        <v>0.999983325224661+0.126821459228634i</v>
      </c>
      <c r="AA149" s="17">
        <f t="shared" si="137"/>
        <v>1.0079932208344708</v>
      </c>
      <c r="AB149" s="17">
        <f t="shared" si="138"/>
        <v>0.12615010872179286</v>
      </c>
      <c r="AC149" s="66" t="str">
        <f t="shared" si="139"/>
        <v>-94.3086023874616-841.935381117158i</v>
      </c>
      <c r="AD149" s="64">
        <f t="shared" si="140"/>
        <v>58.559727766828715</v>
      </c>
      <c r="AE149" s="61">
        <f t="shared" si="141"/>
        <v>-96.391291052606277</v>
      </c>
      <c r="AF149" s="31" t="str">
        <f t="shared" si="127"/>
        <v>-1.33333333333333E-06</v>
      </c>
      <c r="AG149" s="31" t="str">
        <f t="shared" si="128"/>
        <v>0.00128414464729137i</v>
      </c>
      <c r="AH149" s="31">
        <f t="shared" si="142"/>
        <v>1.2841446472913699E-3</v>
      </c>
      <c r="AI149" s="31">
        <f t="shared" si="143"/>
        <v>1.5707963267948966</v>
      </c>
      <c r="AJ149" s="31" t="str">
        <f t="shared" si="129"/>
        <v>1+0.00415231986517381i</v>
      </c>
      <c r="AK149" s="31">
        <f t="shared" si="144"/>
        <v>1.0000086208429719</v>
      </c>
      <c r="AL149" s="31">
        <f t="shared" si="145"/>
        <v>4.1522960009861363E-3</v>
      </c>
      <c r="AM149" s="31" t="str">
        <f t="shared" si="130"/>
        <v>1+4.15647218503899i</v>
      </c>
      <c r="AN149" s="31">
        <f t="shared" si="146"/>
        <v>4.275074388242011</v>
      </c>
      <c r="AO149" s="31">
        <f t="shared" si="147"/>
        <v>1.3346948373017526</v>
      </c>
      <c r="AP149" s="58" t="str">
        <f t="shared" si="148"/>
        <v>-0.00431129860836452+0.00105620652121519i</v>
      </c>
      <c r="AQ149" s="49">
        <f t="shared" si="149"/>
        <v>-47.054705542914952</v>
      </c>
      <c r="AR149" s="61">
        <f t="shared" si="150"/>
        <v>166.23447207914492</v>
      </c>
      <c r="AS149" s="58" t="str">
        <f t="shared" si="151"/>
        <v>1.2958501862076+3.53022547609493i</v>
      </c>
      <c r="AT149" s="64">
        <f t="shared" si="152"/>
        <v>11.505022223913755</v>
      </c>
      <c r="AU149" s="61">
        <f t="shared" si="153"/>
        <v>69.843181026538716</v>
      </c>
    </row>
    <row r="150" spans="14:47" x14ac:dyDescent="0.3">
      <c r="N150" s="10">
        <v>32</v>
      </c>
      <c r="O150" s="50">
        <f t="shared" si="121"/>
        <v>208.92961308540396</v>
      </c>
      <c r="P150" s="48" t="str">
        <f t="shared" si="122"/>
        <v>51201.9230769231</v>
      </c>
      <c r="Q150" s="17" t="str">
        <f t="shared" si="123"/>
        <v>1+61.3455123975043i</v>
      </c>
      <c r="R150" s="17">
        <f t="shared" si="131"/>
        <v>61.353662411565566</v>
      </c>
      <c r="S150" s="17">
        <f t="shared" si="132"/>
        <v>1.5544966595554279</v>
      </c>
      <c r="T150" s="17" t="str">
        <f t="shared" si="124"/>
        <v>1+3.93823042551879E-09i</v>
      </c>
      <c r="U150" s="17">
        <f t="shared" si="133"/>
        <v>1</v>
      </c>
      <c r="V150" s="17">
        <f t="shared" si="134"/>
        <v>3.93823042551879E-9</v>
      </c>
      <c r="W150" s="31" t="str">
        <f t="shared" si="125"/>
        <v>1-0.00212664442978015i</v>
      </c>
      <c r="X150" s="17">
        <f t="shared" si="135"/>
        <v>1.0000022613057085</v>
      </c>
      <c r="Y150" s="17">
        <f t="shared" si="136"/>
        <v>-2.1266412237897652E-3</v>
      </c>
      <c r="Z150" s="31" t="str">
        <f t="shared" si="126"/>
        <v>0.99998253936671+0.129775510499482i</v>
      </c>
      <c r="AA150" s="17">
        <f t="shared" si="137"/>
        <v>1.008368366304544</v>
      </c>
      <c r="AB150" s="17">
        <f t="shared" si="138"/>
        <v>0.12905646750754934</v>
      </c>
      <c r="AC150" s="66" t="str">
        <f t="shared" si="139"/>
        <v>-94.8700726600482-822.15796672613i</v>
      </c>
      <c r="AD150" s="64">
        <f t="shared" si="140"/>
        <v>58.356550992403029</v>
      </c>
      <c r="AE150" s="61">
        <f t="shared" si="141"/>
        <v>-96.582336107778318</v>
      </c>
      <c r="AF150" s="31" t="str">
        <f t="shared" si="127"/>
        <v>-1.33333333333333E-06</v>
      </c>
      <c r="AG150" s="31" t="str">
        <f t="shared" si="128"/>
        <v>0.0013140562186481i</v>
      </c>
      <c r="AH150" s="31">
        <f t="shared" si="142"/>
        <v>1.3140562186480999E-3</v>
      </c>
      <c r="AI150" s="31">
        <f t="shared" si="143"/>
        <v>1.5707963267948966</v>
      </c>
      <c r="AJ150" s="31" t="str">
        <f t="shared" si="129"/>
        <v>1+0.00424903981974055i</v>
      </c>
      <c r="AK150" s="31">
        <f t="shared" si="144"/>
        <v>1.0000090271289503</v>
      </c>
      <c r="AL150" s="31">
        <f t="shared" si="145"/>
        <v>4.2490142488152208E-3</v>
      </c>
      <c r="AM150" s="31" t="str">
        <f t="shared" si="130"/>
        <v>1+4.25328885956029i</v>
      </c>
      <c r="AN150" s="31">
        <f t="shared" si="146"/>
        <v>4.3692637964375267</v>
      </c>
      <c r="AO150" s="31">
        <f t="shared" si="147"/>
        <v>1.3398780635190264</v>
      </c>
      <c r="AP150" s="58" t="str">
        <f t="shared" si="148"/>
        <v>-0.00431129510515654+0.00103298879605402i</v>
      </c>
      <c r="AQ150" s="49">
        <f t="shared" si="149"/>
        <v>-47.065417268018891</v>
      </c>
      <c r="AR150" s="61">
        <f t="shared" si="150"/>
        <v>166.52590751825386</v>
      </c>
      <c r="AS150" s="58" t="str">
        <f t="shared" si="151"/>
        <v>1.25829284809976+3.44656589547316i</v>
      </c>
      <c r="AT150" s="64">
        <f t="shared" si="152"/>
        <v>11.291133724384146</v>
      </c>
      <c r="AU150" s="61">
        <f t="shared" si="153"/>
        <v>69.943571410475499</v>
      </c>
    </row>
    <row r="151" spans="14:47" x14ac:dyDescent="0.3">
      <c r="N151" s="10">
        <v>33</v>
      </c>
      <c r="O151" s="50">
        <f t="shared" si="121"/>
        <v>213.79620895022339</v>
      </c>
      <c r="P151" s="48" t="str">
        <f t="shared" si="122"/>
        <v>51201.9230769231</v>
      </c>
      <c r="Q151" s="17" t="str">
        <f t="shared" si="123"/>
        <v>1+62.7744329442381i</v>
      </c>
      <c r="R151" s="17">
        <f t="shared" si="131"/>
        <v>62.782397465138637</v>
      </c>
      <c r="S151" s="17">
        <f t="shared" si="132"/>
        <v>1.5548676217931336</v>
      </c>
      <c r="T151" s="17" t="str">
        <f t="shared" si="124"/>
        <v>1+4.02996359642022E-09i</v>
      </c>
      <c r="U151" s="17">
        <f t="shared" si="133"/>
        <v>1</v>
      </c>
      <c r="V151" s="17">
        <f t="shared" si="134"/>
        <v>4.0299635964202199E-9</v>
      </c>
      <c r="W151" s="31" t="str">
        <f t="shared" si="125"/>
        <v>1-0.00217618034206692i</v>
      </c>
      <c r="X151" s="17">
        <f t="shared" si="135"/>
        <v>1.0000023678776373</v>
      </c>
      <c r="Y151" s="17">
        <f t="shared" si="136"/>
        <v>-2.17617690678677E-3</v>
      </c>
      <c r="Z151" s="31" t="str">
        <f t="shared" si="126"/>
        <v>0.999981716472415+0.132798370463777i</v>
      </c>
      <c r="AA151" s="17">
        <f t="shared" si="137"/>
        <v>1.0087610423073208</v>
      </c>
      <c r="AB151" s="17">
        <f t="shared" si="138"/>
        <v>0.13202826295432035</v>
      </c>
      <c r="AC151" s="66" t="str">
        <f t="shared" si="139"/>
        <v>-95.3989737299867-802.816499227206i</v>
      </c>
      <c r="AD151" s="64">
        <f t="shared" si="140"/>
        <v>58.153222068133843</v>
      </c>
      <c r="AE151" s="61">
        <f t="shared" si="141"/>
        <v>-96.776700195348852</v>
      </c>
      <c r="AF151" s="31" t="str">
        <f t="shared" si="127"/>
        <v>-1.33333333333333E-06</v>
      </c>
      <c r="AG151" s="31" t="str">
        <f t="shared" si="128"/>
        <v>0.00134466452000555i</v>
      </c>
      <c r="AH151" s="31">
        <f t="shared" si="142"/>
        <v>1.3446645200055501E-3</v>
      </c>
      <c r="AI151" s="31">
        <f t="shared" si="143"/>
        <v>1.5707963267948966</v>
      </c>
      <c r="AJ151" s="31" t="str">
        <f t="shared" si="129"/>
        <v>1+0.00434801267146237i</v>
      </c>
      <c r="AK151" s="31">
        <f t="shared" si="144"/>
        <v>1.0000094525624201</v>
      </c>
      <c r="AL151" s="31">
        <f t="shared" si="145"/>
        <v>4.3479852717362147E-3</v>
      </c>
      <c r="AM151" s="31" t="str">
        <f t="shared" si="130"/>
        <v>1+4.35236068413384i</v>
      </c>
      <c r="AN151" s="31">
        <f t="shared" si="146"/>
        <v>4.4657634873327074</v>
      </c>
      <c r="AO151" s="31">
        <f t="shared" si="147"/>
        <v>1.3449555414287118</v>
      </c>
      <c r="AP151" s="58" t="str">
        <f t="shared" si="148"/>
        <v>-0.0043112914368535+0.00101031877382236i</v>
      </c>
      <c r="AQ151" s="49">
        <f t="shared" si="149"/>
        <v>-47.075671917279578</v>
      </c>
      <c r="AR151" s="61">
        <f t="shared" si="150"/>
        <v>166.81115495114216</v>
      </c>
      <c r="AS151" s="58" t="str">
        <f t="shared" si="151"/>
        <v>1.22239335963029+3.36479252432017i</v>
      </c>
      <c r="AT151" s="64">
        <f t="shared" si="152"/>
        <v>11.07755015085427</v>
      </c>
      <c r="AU151" s="61">
        <f t="shared" si="153"/>
        <v>70.034454755793405</v>
      </c>
    </row>
    <row r="152" spans="14:47" x14ac:dyDescent="0.3">
      <c r="N152" s="10">
        <v>34</v>
      </c>
      <c r="O152" s="50">
        <f t="shared" si="121"/>
        <v>218.77616239495524</v>
      </c>
      <c r="P152" s="48" t="str">
        <f t="shared" si="122"/>
        <v>51201.9230769231</v>
      </c>
      <c r="Q152" s="17" t="str">
        <f t="shared" si="123"/>
        <v>1+64.236637326237i</v>
      </c>
      <c r="R152" s="17">
        <f t="shared" si="131"/>
        <v>64.244420574727769</v>
      </c>
      <c r="S152" s="17">
        <f t="shared" si="132"/>
        <v>1.5552301441359861</v>
      </c>
      <c r="T152" s="17" t="str">
        <f t="shared" si="124"/>
        <v>1+4.12383350736336E-09i</v>
      </c>
      <c r="U152" s="17">
        <f t="shared" si="133"/>
        <v>1</v>
      </c>
      <c r="V152" s="17">
        <f t="shared" si="134"/>
        <v>4.1238335073633601E-9</v>
      </c>
      <c r="W152" s="31" t="str">
        <f t="shared" si="125"/>
        <v>1-0.00222687009397621i</v>
      </c>
      <c r="X152" s="17">
        <f t="shared" si="135"/>
        <v>1.0000024794721338</v>
      </c>
      <c r="Y152" s="17">
        <f t="shared" si="136"/>
        <v>-2.2268664130077032E-3</v>
      </c>
      <c r="Z152" s="31" t="str">
        <f t="shared" si="126"/>
        <v>0.999980854796307+0.135891641881886i</v>
      </c>
      <c r="AA152" s="17">
        <f t="shared" si="137"/>
        <v>1.0091720607966255</v>
      </c>
      <c r="AB152" s="17">
        <f t="shared" si="138"/>
        <v>0.13506686133571766</v>
      </c>
      <c r="AC152" s="66" t="str">
        <f t="shared" si="139"/>
        <v>-95.8964433212863-783.900853353654i</v>
      </c>
      <c r="AD152" s="64">
        <f t="shared" si="140"/>
        <v>57.949734292910676</v>
      </c>
      <c r="AE152" s="61">
        <f t="shared" si="141"/>
        <v>-96.974474347856557</v>
      </c>
      <c r="AF152" s="31" t="str">
        <f t="shared" si="127"/>
        <v>-1.33333333333333E-06</v>
      </c>
      <c r="AG152" s="31" t="str">
        <f t="shared" si="128"/>
        <v>0.00137598578029024i</v>
      </c>
      <c r="AH152" s="31">
        <f t="shared" si="142"/>
        <v>1.3759857802902399E-3</v>
      </c>
      <c r="AI152" s="31">
        <f t="shared" si="143"/>
        <v>1.5707963267948966</v>
      </c>
      <c r="AJ152" s="31" t="str">
        <f t="shared" si="129"/>
        <v>1+0.00444929089705537i</v>
      </c>
      <c r="AK152" s="31">
        <f t="shared" si="144"/>
        <v>1.0000098980457577</v>
      </c>
      <c r="AL152" s="31">
        <f t="shared" si="145"/>
        <v>4.4492615377355309E-3</v>
      </c>
      <c r="AM152" s="31" t="str">
        <f t="shared" si="130"/>
        <v>1+4.45374018795243i</v>
      </c>
      <c r="AN152" s="31">
        <f t="shared" si="146"/>
        <v>4.5646250297020625</v>
      </c>
      <c r="AO152" s="31">
        <f t="shared" si="147"/>
        <v>1.3499289154994729</v>
      </c>
      <c r="AP152" s="58" t="str">
        <f t="shared" si="148"/>
        <v>-0.00431128759567539+0.000988184434473975i</v>
      </c>
      <c r="AQ152" s="49">
        <f t="shared" si="149"/>
        <v>-47.085488010641711</v>
      </c>
      <c r="AR152" s="61">
        <f t="shared" si="150"/>
        <v>167.09030559273</v>
      </c>
      <c r="AS152" s="58" t="str">
        <f t="shared" si="151"/>
        <v>1.1880757680154+3.28485865269145i</v>
      </c>
      <c r="AT152" s="64">
        <f t="shared" si="152"/>
        <v>10.864246282268965</v>
      </c>
      <c r="AU152" s="61">
        <f t="shared" si="153"/>
        <v>70.115831244873377</v>
      </c>
    </row>
    <row r="153" spans="14:47" x14ac:dyDescent="0.3">
      <c r="N153" s="10">
        <v>35</v>
      </c>
      <c r="O153" s="50">
        <f t="shared" si="121"/>
        <v>223.87211385683412</v>
      </c>
      <c r="P153" s="48" t="str">
        <f t="shared" si="122"/>
        <v>51201.9230769231</v>
      </c>
      <c r="Q153" s="17" t="str">
        <f t="shared" si="123"/>
        <v>1+65.7329008236188i</v>
      </c>
      <c r="R153" s="17">
        <f t="shared" si="131"/>
        <v>65.740506924480783</v>
      </c>
      <c r="S153" s="17">
        <f t="shared" si="132"/>
        <v>1.5555844184167624</v>
      </c>
      <c r="T153" s="17" t="str">
        <f t="shared" si="124"/>
        <v>1+4.2198899294175E-09i</v>
      </c>
      <c r="U153" s="17">
        <f t="shared" si="133"/>
        <v>1</v>
      </c>
      <c r="V153" s="17">
        <f t="shared" si="134"/>
        <v>4.2198899294175001E-9</v>
      </c>
      <c r="W153" s="31" t="str">
        <f t="shared" si="125"/>
        <v>1-0.00227874056188545i</v>
      </c>
      <c r="X153" s="17">
        <f t="shared" si="135"/>
        <v>1.0000025963259038</v>
      </c>
      <c r="Y153" s="17">
        <f t="shared" si="136"/>
        <v>-2.2787366176571858E-3</v>
      </c>
      <c r="Z153" s="31" t="str">
        <f t="shared" si="126"/>
        <v>0.999979952510655+0.13905696484726i</v>
      </c>
      <c r="AA153" s="17">
        <f t="shared" si="137"/>
        <v>1.009602270647082</v>
      </c>
      <c r="AB153" s="17">
        <f t="shared" si="138"/>
        <v>0.13817364990425415</v>
      </c>
      <c r="AC153" s="66" t="str">
        <f t="shared" si="139"/>
        <v>-96.3635543286959-765.401129923914i</v>
      </c>
      <c r="AD153" s="64">
        <f t="shared" si="140"/>
        <v>57.746080662587957</v>
      </c>
      <c r="AE153" s="61">
        <f t="shared" si="141"/>
        <v>-97.17575058005697</v>
      </c>
      <c r="AF153" s="31" t="str">
        <f t="shared" si="127"/>
        <v>-1.33333333333333E-06</v>
      </c>
      <c r="AG153" s="31" t="str">
        <f t="shared" si="128"/>
        <v>0.00140803660644897i</v>
      </c>
      <c r="AH153" s="31">
        <f t="shared" si="142"/>
        <v>1.4080366064489699E-3</v>
      </c>
      <c r="AI153" s="31">
        <f t="shared" si="143"/>
        <v>1.5707963267948966</v>
      </c>
      <c r="AJ153" s="31" t="str">
        <f t="shared" si="129"/>
        <v>1+0.00455292819557532i</v>
      </c>
      <c r="AK153" s="31">
        <f t="shared" si="144"/>
        <v>1.0000103645238654</v>
      </c>
      <c r="AL153" s="31">
        <f t="shared" si="145"/>
        <v>4.552896736514934E-3</v>
      </c>
      <c r="AM153" s="31" t="str">
        <f t="shared" si="130"/>
        <v>1+4.5574811237709i</v>
      </c>
      <c r="AN153" s="31">
        <f t="shared" si="146"/>
        <v>4.6659012198639687</v>
      </c>
      <c r="AO153" s="31">
        <f t="shared" si="147"/>
        <v>1.3547998381271396</v>
      </c>
      <c r="AP153" s="58" t="str">
        <f t="shared" si="148"/>
        <v>-0.00431128357347547+0.000966574041981618i</v>
      </c>
      <c r="AQ153" s="49">
        <f t="shared" si="149"/>
        <v>-47.094883404007234</v>
      </c>
      <c r="AR153" s="61">
        <f t="shared" si="150"/>
        <v>167.36345104213103</v>
      </c>
      <c r="AS153" s="58" t="str">
        <f t="shared" si="151"/>
        <v>1.15526747274687+3.20671880835333i</v>
      </c>
      <c r="AT153" s="64">
        <f t="shared" si="152"/>
        <v>10.651197258580716</v>
      </c>
      <c r="AU153" s="61">
        <f t="shared" si="153"/>
        <v>70.187700462074091</v>
      </c>
    </row>
    <row r="154" spans="14:47" x14ac:dyDescent="0.3">
      <c r="N154" s="10">
        <v>36</v>
      </c>
      <c r="O154" s="50">
        <f t="shared" si="121"/>
        <v>229.08676527677744</v>
      </c>
      <c r="P154" s="48" t="str">
        <f t="shared" si="122"/>
        <v>51201.9230769231</v>
      </c>
      <c r="Q154" s="17" t="str">
        <f t="shared" si="123"/>
        <v>1+67.2640167750948i</v>
      </c>
      <c r="R154" s="17">
        <f t="shared" si="131"/>
        <v>67.27144975931644</v>
      </c>
      <c r="S154" s="17">
        <f t="shared" si="132"/>
        <v>1.5559306321204511</v>
      </c>
      <c r="T154" s="17" t="str">
        <f t="shared" si="124"/>
        <v>1+4.31818379296905E-09i</v>
      </c>
      <c r="U154" s="17">
        <f t="shared" si="133"/>
        <v>1</v>
      </c>
      <c r="V154" s="17">
        <f t="shared" si="134"/>
        <v>4.31818379296905E-9</v>
      </c>
      <c r="W154" s="31" t="str">
        <f t="shared" si="125"/>
        <v>1-0.00233181924820329i</v>
      </c>
      <c r="X154" s="17">
        <f t="shared" si="135"/>
        <v>1.0000027186868075</v>
      </c>
      <c r="Y154" s="17">
        <f t="shared" si="136"/>
        <v>-2.3318150218871814E-3</v>
      </c>
      <c r="Z154" s="31" t="str">
        <f t="shared" si="126"/>
        <v>0.99997900770159+0.142296017656033i</v>
      </c>
      <c r="AA154" s="17">
        <f t="shared" si="137"/>
        <v>1.0100525592683889</v>
      </c>
      <c r="AB154" s="17">
        <f t="shared" si="138"/>
        <v>0.14135003665753099</v>
      </c>
      <c r="AC154" s="66" t="str">
        <f t="shared" si="139"/>
        <v>-96.8013172292369-747.307651160755i</v>
      </c>
      <c r="AD154" s="64">
        <f t="shared" si="140"/>
        <v>57.542253858277135</v>
      </c>
      <c r="AE154" s="61">
        <f t="shared" si="141"/>
        <v>-97.380621882065782</v>
      </c>
      <c r="AF154" s="31" t="str">
        <f t="shared" si="127"/>
        <v>-1.33333333333333E-06</v>
      </c>
      <c r="AG154" s="31" t="str">
        <f t="shared" si="128"/>
        <v>0.001440833992254i</v>
      </c>
      <c r="AH154" s="31">
        <f t="shared" si="142"/>
        <v>1.440833992254E-3</v>
      </c>
      <c r="AI154" s="31">
        <f t="shared" si="143"/>
        <v>1.5707963267948966</v>
      </c>
      <c r="AJ154" s="31" t="str">
        <f t="shared" si="129"/>
        <v>1+0.00465897951688968i</v>
      </c>
      <c r="AK154" s="31">
        <f t="shared" si="144"/>
        <v>1.0000108529861758</v>
      </c>
      <c r="AL154" s="31">
        <f t="shared" si="145"/>
        <v>4.65894580791891E-3</v>
      </c>
      <c r="AM154" s="31" t="str">
        <f t="shared" si="130"/>
        <v>1+4.66363849640657i</v>
      </c>
      <c r="AN154" s="31">
        <f t="shared" si="146"/>
        <v>4.7696461111035626</v>
      </c>
      <c r="AO154" s="31">
        <f t="shared" si="147"/>
        <v>1.3595699669822916</v>
      </c>
      <c r="AP154" s="58" t="str">
        <f t="shared" si="148"/>
        <v>-0.00431127936172314+0.000945476138113912i</v>
      </c>
      <c r="AQ154" s="49">
        <f t="shared" si="149"/>
        <v>-47.103875305895016</v>
      </c>
      <c r="AR154" s="61">
        <f t="shared" si="150"/>
        <v>167.63068312905207</v>
      </c>
      <c r="AS154" s="58" t="str">
        <f t="shared" si="151"/>
        <v>1.12389907316047+3.13032871772892i</v>
      </c>
      <c r="AT154" s="64">
        <f t="shared" si="152"/>
        <v>10.438378552382119</v>
      </c>
      <c r="AU154" s="61">
        <f t="shared" si="153"/>
        <v>70.250061246986334</v>
      </c>
    </row>
    <row r="155" spans="14:47" x14ac:dyDescent="0.3">
      <c r="N155" s="10">
        <v>37</v>
      </c>
      <c r="O155" s="50">
        <f t="shared" si="121"/>
        <v>234.42288153199232</v>
      </c>
      <c r="P155" s="48" t="str">
        <f t="shared" si="122"/>
        <v>51201.9230769231</v>
      </c>
      <c r="Q155" s="17" t="str">
        <f t="shared" si="123"/>
        <v>1+68.8307969986093i</v>
      </c>
      <c r="R155" s="17">
        <f t="shared" si="131"/>
        <v>68.838060805514885</v>
      </c>
      <c r="S155" s="17">
        <f t="shared" si="132"/>
        <v>1.5562689684819615</v>
      </c>
      <c r="T155" s="17" t="str">
        <f t="shared" si="124"/>
        <v>1+4.41876721472553E-09i</v>
      </c>
      <c r="U155" s="17">
        <f t="shared" si="133"/>
        <v>1</v>
      </c>
      <c r="V155" s="17">
        <f t="shared" si="134"/>
        <v>4.4187672147255296E-9</v>
      </c>
      <c r="W155" s="31" t="str">
        <f t="shared" si="125"/>
        <v>1-0.00238613429595179i</v>
      </c>
      <c r="X155" s="17">
        <f t="shared" si="135"/>
        <v>1.0000028468143871</v>
      </c>
      <c r="Y155" s="17">
        <f t="shared" si="136"/>
        <v>-2.3861297673731857E-3</v>
      </c>
      <c r="Z155" s="31" t="str">
        <f t="shared" si="126"/>
        <v>0.999978018365046+0.145610517696876i</v>
      </c>
      <c r="AA155" s="17">
        <f t="shared" si="137"/>
        <v>1.0105238542841215</v>
      </c>
      <c r="AB155" s="17">
        <f t="shared" si="138"/>
        <v>0.14459745005350538</v>
      </c>
      <c r="AC155" s="66" t="str">
        <f t="shared" si="139"/>
        <v>-97.2106823760576-729.61095612597i</v>
      </c>
      <c r="AD155" s="64">
        <f t="shared" si="140"/>
        <v>57.338246234257682</v>
      </c>
      <c r="AE155" s="61">
        <f t="shared" si="141"/>
        <v>-97.589182209478395</v>
      </c>
      <c r="AF155" s="31" t="str">
        <f t="shared" si="127"/>
        <v>-1.33333333333333E-06</v>
      </c>
      <c r="AG155" s="31" t="str">
        <f t="shared" si="128"/>
        <v>0.00147439532731342i</v>
      </c>
      <c r="AH155" s="31">
        <f t="shared" si="142"/>
        <v>1.4743953273134199E-3</v>
      </c>
      <c r="AI155" s="31">
        <f t="shared" si="143"/>
        <v>1.5707963267948966</v>
      </c>
      <c r="AJ155" s="31" t="str">
        <f t="shared" si="129"/>
        <v>1+0.00476750109081275i</v>
      </c>
      <c r="AK155" s="31">
        <f t="shared" si="144"/>
        <v>1.0000113644687498</v>
      </c>
      <c r="AL155" s="31">
        <f t="shared" si="145"/>
        <v>4.7674649710219797E-3</v>
      </c>
      <c r="AM155" s="31" t="str">
        <f t="shared" si="130"/>
        <v>1+4.77226859190357i</v>
      </c>
      <c r="AN155" s="31">
        <f t="shared" si="146"/>
        <v>4.8759150436886491</v>
      </c>
      <c r="AO155" s="31">
        <f t="shared" si="147"/>
        <v>1.3642409625293763</v>
      </c>
      <c r="AP155" s="58" t="str">
        <f t="shared" si="148"/>
        <v>-0.00431127495148583+0.000924879536359484i</v>
      </c>
      <c r="AQ155" s="49">
        <f t="shared" si="149"/>
        <v>-47.112480294331007</v>
      </c>
      <c r="AR155" s="61">
        <f t="shared" si="150"/>
        <v>167.89209376998232</v>
      </c>
      <c r="AS155" s="58" t="str">
        <f t="shared" si="151"/>
        <v>1.09390422276933+3.05564526863036i</v>
      </c>
      <c r="AT155" s="64">
        <f t="shared" si="152"/>
        <v>10.225765939926667</v>
      </c>
      <c r="AU155" s="61">
        <f t="shared" si="153"/>
        <v>70.302911560503873</v>
      </c>
    </row>
    <row r="156" spans="14:47" x14ac:dyDescent="0.3">
      <c r="N156" s="10">
        <v>38</v>
      </c>
      <c r="O156" s="50">
        <f t="shared" si="121"/>
        <v>239.88329190194912</v>
      </c>
      <c r="P156" s="48" t="str">
        <f t="shared" si="122"/>
        <v>51201.9230769231</v>
      </c>
      <c r="Q156" s="17" t="str">
        <f t="shared" si="123"/>
        <v>1+70.4340722217763i</v>
      </c>
      <c r="R156" s="17">
        <f t="shared" si="131"/>
        <v>70.44117070110633</v>
      </c>
      <c r="S156" s="17">
        <f t="shared" si="132"/>
        <v>1.5565996065816947</v>
      </c>
      <c r="T156" s="17" t="str">
        <f t="shared" si="124"/>
        <v>1+4.5216935253486E-09i</v>
      </c>
      <c r="U156" s="17">
        <f t="shared" si="133"/>
        <v>1</v>
      </c>
      <c r="V156" s="17">
        <f t="shared" si="134"/>
        <v>4.5216935253485998E-9</v>
      </c>
      <c r="W156" s="31" t="str">
        <f t="shared" si="125"/>
        <v>1-0.00244171450368824i</v>
      </c>
      <c r="X156" s="17">
        <f t="shared" si="135"/>
        <v>1.0000029809804156</v>
      </c>
      <c r="Y156" s="17">
        <f t="shared" si="136"/>
        <v>-2.4417096512296217E-3</v>
      </c>
      <c r="Z156" s="31" t="str">
        <f t="shared" si="126"/>
        <v>0.999976982402507+0.149002222361586i</v>
      </c>
      <c r="AA156" s="17">
        <f t="shared" si="137"/>
        <v>1.0110171252770723</v>
      </c>
      <c r="AB156" s="17">
        <f t="shared" si="138"/>
        <v>0.14791733867111556</v>
      </c>
      <c r="AC156" s="66" t="str">
        <f t="shared" si="139"/>
        <v>-97.5925421804764-712.30179627024i</v>
      </c>
      <c r="AD156" s="64">
        <f t="shared" si="140"/>
        <v>57.134049805506791</v>
      </c>
      <c r="AE156" s="61">
        <f t="shared" si="141"/>
        <v>-97.801526470255467</v>
      </c>
      <c r="AF156" s="31" t="str">
        <f t="shared" si="127"/>
        <v>-1.33333333333333E-06</v>
      </c>
      <c r="AG156" s="31" t="str">
        <f t="shared" si="128"/>
        <v>0.00150873840629132i</v>
      </c>
      <c r="AH156" s="31">
        <f t="shared" si="142"/>
        <v>1.50873840629132E-3</v>
      </c>
      <c r="AI156" s="31">
        <f t="shared" si="143"/>
        <v>1.5707963267948966</v>
      </c>
      <c r="AJ156" s="31" t="str">
        <f t="shared" si="129"/>
        <v>1+0.00487855045691956i</v>
      </c>
      <c r="AK156" s="31">
        <f t="shared" si="144"/>
        <v>1.0000119000564747</v>
      </c>
      <c r="AL156" s="31">
        <f t="shared" si="145"/>
        <v>4.8785117538913229E-3</v>
      </c>
      <c r="AM156" s="31" t="str">
        <f t="shared" si="130"/>
        <v>1+4.88342900737649i</v>
      </c>
      <c r="AN156" s="31">
        <f t="shared" si="146"/>
        <v>4.9847646754973436</v>
      </c>
      <c r="AO156" s="31">
        <f t="shared" si="147"/>
        <v>1.3688144857109876</v>
      </c>
      <c r="AP156" s="58" t="str">
        <f t="shared" si="148"/>
        <v>-0.00431127033341014+0.000904773315995146i</v>
      </c>
      <c r="AQ156" s="49">
        <f t="shared" si="149"/>
        <v>-47.120714333893538</v>
      </c>
      <c r="AR156" s="61">
        <f t="shared" si="150"/>
        <v>168.14777483380698</v>
      </c>
      <c r="AS156" s="58" t="str">
        <f t="shared" si="151"/>
        <v>1.06521949006549+2.98262647468961i</v>
      </c>
      <c r="AT156" s="64">
        <f t="shared" si="152"/>
        <v>10.013335471613253</v>
      </c>
      <c r="AU156" s="61">
        <f t="shared" si="153"/>
        <v>70.346248363551481</v>
      </c>
    </row>
    <row r="157" spans="14:47" x14ac:dyDescent="0.3">
      <c r="N157" s="10">
        <v>39</v>
      </c>
      <c r="O157" s="50">
        <f t="shared" si="121"/>
        <v>245.4708915685033</v>
      </c>
      <c r="P157" s="48" t="str">
        <f t="shared" si="122"/>
        <v>51201.9230769231</v>
      </c>
      <c r="Q157" s="17" t="str">
        <f t="shared" si="123"/>
        <v>1+72.07469252234i</v>
      </c>
      <c r="R157" s="17">
        <f t="shared" si="131"/>
        <v>72.081629436284615</v>
      </c>
      <c r="S157" s="17">
        <f t="shared" si="132"/>
        <v>1.5569227214390142</v>
      </c>
      <c r="T157" s="17" t="str">
        <f t="shared" si="124"/>
        <v>1+4.62701729773047E-09i</v>
      </c>
      <c r="U157" s="17">
        <f t="shared" si="133"/>
        <v>1</v>
      </c>
      <c r="V157" s="17">
        <f t="shared" si="134"/>
        <v>4.6270172977304699E-9</v>
      </c>
      <c r="W157" s="31" t="str">
        <f t="shared" si="125"/>
        <v>1-0.00249858934077445i</v>
      </c>
      <c r="X157" s="17">
        <f t="shared" si="135"/>
        <v>1.0000031214694751</v>
      </c>
      <c r="Y157" s="17">
        <f t="shared" si="136"/>
        <v>-2.498584141272239E-3</v>
      </c>
      <c r="Z157" s="31" t="str">
        <f t="shared" si="126"/>
        <v>0.999975897616557+0.15247292997687i</v>
      </c>
      <c r="AA157" s="17">
        <f t="shared" si="137"/>
        <v>1.0115333856031499</v>
      </c>
      <c r="AB157" s="17">
        <f t="shared" si="138"/>
        <v>0.15131117081231735</v>
      </c>
      <c r="AC157" s="66" t="str">
        <f t="shared" si="139"/>
        <v>-97.9477331879036-695.371131097707i</v>
      </c>
      <c r="AD157" s="64">
        <f t="shared" si="140"/>
        <v>56.92965623484853</v>
      </c>
      <c r="AE157" s="61">
        <f t="shared" si="141"/>
        <v>-98.017750508151352</v>
      </c>
      <c r="AF157" s="31" t="str">
        <f t="shared" si="127"/>
        <v>-1.33333333333333E-06</v>
      </c>
      <c r="AG157" s="31" t="str">
        <f t="shared" si="128"/>
        <v>0.00154388143834274i</v>
      </c>
      <c r="AH157" s="31">
        <f t="shared" si="142"/>
        <v>1.5438814383427399E-3</v>
      </c>
      <c r="AI157" s="31">
        <f t="shared" si="143"/>
        <v>1.5707963267948966</v>
      </c>
      <c r="AJ157" s="31" t="str">
        <f t="shared" si="129"/>
        <v>1+0.00499218649505385i</v>
      </c>
      <c r="AK157" s="31">
        <f t="shared" si="144"/>
        <v>1.0000124608853638</v>
      </c>
      <c r="AL157" s="31">
        <f t="shared" si="145"/>
        <v>4.9921450240398325E-3</v>
      </c>
      <c r="AM157" s="31" t="str">
        <f t="shared" si="130"/>
        <v>1+4.99717868154891i</v>
      </c>
      <c r="AN157" s="31">
        <f t="shared" si="146"/>
        <v>5.0962530132762156</v>
      </c>
      <c r="AO157" s="31">
        <f t="shared" si="147"/>
        <v>1.3732921957908233</v>
      </c>
      <c r="AP157" s="58" t="str">
        <f t="shared" si="148"/>
        <v>-0.00431126549770184+0.000885146816294967i</v>
      </c>
      <c r="AQ157" s="49">
        <f t="shared" si="149"/>
        <v>-47.128592792846653</v>
      </c>
      <c r="AR157" s="61">
        <f t="shared" si="150"/>
        <v>168.39781801647297</v>
      </c>
      <c r="AS157" s="58" t="str">
        <f t="shared" si="151"/>
        <v>1.03778422550568+2.91123144140487i</v>
      </c>
      <c r="AT157" s="64">
        <f t="shared" si="152"/>
        <v>9.8010634420018903</v>
      </c>
      <c r="AU157" s="61">
        <f t="shared" si="153"/>
        <v>70.380067508321645</v>
      </c>
    </row>
    <row r="158" spans="14:47" x14ac:dyDescent="0.3">
      <c r="N158" s="10">
        <v>40</v>
      </c>
      <c r="O158" s="50">
        <f t="shared" si="121"/>
        <v>251.18864315095806</v>
      </c>
      <c r="P158" s="48" t="str">
        <f t="shared" si="122"/>
        <v>51201.9230769231</v>
      </c>
      <c r="Q158" s="17" t="str">
        <f t="shared" si="123"/>
        <v>1+73.7535277789009i</v>
      </c>
      <c r="R158" s="17">
        <f t="shared" si="131"/>
        <v>73.760306804087435</v>
      </c>
      <c r="S158" s="17">
        <f t="shared" si="132"/>
        <v>1.5572384841036657</v>
      </c>
      <c r="T158" s="17" t="str">
        <f t="shared" si="124"/>
        <v>1+4.73479437592944E-09i</v>
      </c>
      <c r="U158" s="17">
        <f t="shared" si="133"/>
        <v>1</v>
      </c>
      <c r="V158" s="17">
        <f t="shared" si="134"/>
        <v>4.7347943759294401E-9</v>
      </c>
      <c r="W158" s="31" t="str">
        <f t="shared" si="125"/>
        <v>1-0.0025567889630019i</v>
      </c>
      <c r="X158" s="17">
        <f t="shared" si="135"/>
        <v>1.0000032685795588</v>
      </c>
      <c r="Y158" s="17">
        <f t="shared" si="136"/>
        <v>-2.5567833916358869E-3</v>
      </c>
      <c r="Z158" s="31" t="str">
        <f t="shared" si="126"/>
        <v>0.999974761706221+0.156024480757845i</v>
      </c>
      <c r="AA158" s="17">
        <f t="shared" si="137"/>
        <v>1.012073694275851</v>
      </c>
      <c r="AB158" s="17">
        <f t="shared" si="138"/>
        <v>0.15478043404144201</v>
      </c>
      <c r="AC158" s="66" t="str">
        <f t="shared" si="139"/>
        <v>-98.2770380532419-678.810123944789i</v>
      </c>
      <c r="AD158" s="64">
        <f t="shared" si="140"/>
        <v>56.725056819723847</v>
      </c>
      <c r="AE158" s="61">
        <f t="shared" si="141"/>
        <v>-98.237951082453989</v>
      </c>
      <c r="AF158" s="31" t="str">
        <f t="shared" si="127"/>
        <v>-1.33333333333333E-06</v>
      </c>
      <c r="AG158" s="31" t="str">
        <f t="shared" si="128"/>
        <v>0.00157984305676845i</v>
      </c>
      <c r="AH158" s="31">
        <f t="shared" si="142"/>
        <v>1.57984305676845E-3</v>
      </c>
      <c r="AI158" s="31">
        <f t="shared" si="143"/>
        <v>1.5707963267948966</v>
      </c>
      <c r="AJ158" s="31" t="str">
        <f t="shared" si="129"/>
        <v>1+0.00510846945654724i</v>
      </c>
      <c r="AK158" s="31">
        <f t="shared" si="144"/>
        <v>1.0000130481449672</v>
      </c>
      <c r="AL158" s="31">
        <f t="shared" si="145"/>
        <v>5.1084250195864277E-3</v>
      </c>
      <c r="AM158" s="31" t="str">
        <f t="shared" si="130"/>
        <v>1+5.11357792600379i</v>
      </c>
      <c r="AN158" s="31">
        <f t="shared" si="146"/>
        <v>5.2104394445491087</v>
      </c>
      <c r="AO158" s="31">
        <f t="shared" si="147"/>
        <v>1.377675748348812</v>
      </c>
      <c r="AP158" s="58" t="str">
        <f t="shared" si="148"/>
        <v>-0.0043112604341053+0.000865989630877114i</v>
      </c>
      <c r="AQ158" s="49">
        <f t="shared" si="149"/>
        <v>-47.136130460298418</v>
      </c>
      <c r="AR158" s="61">
        <f t="shared" si="150"/>
        <v>168.64231472433289</v>
      </c>
      <c r="AS158" s="58" t="str">
        <f t="shared" si="151"/>
        <v>1.0115404344106+2.84142033372586i</v>
      </c>
      <c r="AT158" s="64">
        <f t="shared" si="152"/>
        <v>9.5889263594254306</v>
      </c>
      <c r="AU158" s="61">
        <f t="shared" si="153"/>
        <v>70.404363641878874</v>
      </c>
    </row>
    <row r="159" spans="14:47" x14ac:dyDescent="0.3">
      <c r="N159" s="10">
        <v>41</v>
      </c>
      <c r="O159" s="50">
        <f t="shared" si="121"/>
        <v>257.03957827688663</v>
      </c>
      <c r="P159" s="48" t="str">
        <f t="shared" si="122"/>
        <v>51201.9230769231</v>
      </c>
      <c r="Q159" s="17" t="str">
        <f t="shared" si="123"/>
        <v>1+75.4714681321331i</v>
      </c>
      <c r="R159" s="17">
        <f t="shared" si="131"/>
        <v>75.478092861568655</v>
      </c>
      <c r="S159" s="17">
        <f t="shared" si="132"/>
        <v>1.5575470617451816</v>
      </c>
      <c r="T159" s="17" t="str">
        <f t="shared" si="124"/>
        <v>1+4.84508190477891E-09i</v>
      </c>
      <c r="U159" s="17">
        <f t="shared" si="133"/>
        <v>1</v>
      </c>
      <c r="V159" s="17">
        <f t="shared" si="134"/>
        <v>4.8450819047789096E-9</v>
      </c>
      <c r="W159" s="31" t="str">
        <f t="shared" si="125"/>
        <v>1-0.00261634422858061i</v>
      </c>
      <c r="X159" s="17">
        <f t="shared" si="135"/>
        <v>1.0000034226227041</v>
      </c>
      <c r="Y159" s="17">
        <f t="shared" si="136"/>
        <v>-2.6163382587554738E-3</v>
      </c>
      <c r="Z159" s="31" t="str">
        <f t="shared" si="126"/>
        <v>0.99997357226208+0.159658757783746i</v>
      </c>
      <c r="AA159" s="17">
        <f t="shared" si="137"/>
        <v>1.0126391579233118</v>
      </c>
      <c r="AB159" s="17">
        <f t="shared" si="138"/>
        <v>0.15832663465754926</v>
      </c>
      <c r="AC159" s="66" t="str">
        <f t="shared" si="139"/>
        <v>-98.5811874212388-662.610137872898i</v>
      </c>
      <c r="AD159" s="64">
        <f t="shared" si="140"/>
        <v>56.520242478586908</v>
      </c>
      <c r="AE159" s="61">
        <f t="shared" si="141"/>
        <v>-98.462225843790989</v>
      </c>
      <c r="AF159" s="31" t="str">
        <f t="shared" si="127"/>
        <v>-1.33333333333333E-06</v>
      </c>
      <c r="AG159" s="31" t="str">
        <f t="shared" si="128"/>
        <v>0.00161664232889456i</v>
      </c>
      <c r="AH159" s="31">
        <f t="shared" si="142"/>
        <v>1.61664232889456E-3</v>
      </c>
      <c r="AI159" s="31">
        <f t="shared" si="143"/>
        <v>1.5707963267948966</v>
      </c>
      <c r="AJ159" s="31" t="str">
        <f t="shared" si="129"/>
        <v>1+0.00522746099616505i</v>
      </c>
      <c r="AK159" s="31">
        <f t="shared" si="144"/>
        <v>1.0000136630808933</v>
      </c>
      <c r="AL159" s="31">
        <f t="shared" si="145"/>
        <v>5.2274133811388099E-3</v>
      </c>
      <c r="AM159" s="31" t="str">
        <f t="shared" si="130"/>
        <v>1+5.23268845716122i</v>
      </c>
      <c r="AN159" s="31">
        <f t="shared" si="146"/>
        <v>5.3273847701952484</v>
      </c>
      <c r="AO159" s="31">
        <f t="shared" si="147"/>
        <v>1.3819667934218134</v>
      </c>
      <c r="AP159" s="58" t="str">
        <f t="shared" si="148"/>
        <v>-0.00431125513188151+0.000847291602185526i</v>
      </c>
      <c r="AQ159" s="49">
        <f t="shared" si="149"/>
        <v>-47.143341563329983</v>
      </c>
      <c r="AR159" s="61">
        <f t="shared" si="150"/>
        <v>168.88135596578815</v>
      </c>
      <c r="AS159" s="58" t="str">
        <f t="shared" si="151"/>
        <v>0.986432655519489+2.77315434510575i</v>
      </c>
      <c r="AT159" s="64">
        <f t="shared" si="152"/>
        <v>9.3769009152569129</v>
      </c>
      <c r="AU159" s="61">
        <f t="shared" si="153"/>
        <v>70.419130121997114</v>
      </c>
    </row>
    <row r="160" spans="14:47" x14ac:dyDescent="0.3">
      <c r="N160" s="10">
        <v>42</v>
      </c>
      <c r="O160" s="50">
        <f t="shared" si="121"/>
        <v>263.02679918953817</v>
      </c>
      <c r="P160" s="48" t="str">
        <f t="shared" si="122"/>
        <v>51201.9230769231</v>
      </c>
      <c r="Q160" s="17" t="str">
        <f t="shared" si="123"/>
        <v>1+77.2294244567519i</v>
      </c>
      <c r="R160" s="17">
        <f t="shared" si="131"/>
        <v>77.235898401722167</v>
      </c>
      <c r="S160" s="17">
        <f t="shared" si="132"/>
        <v>1.5578486177403144</v>
      </c>
      <c r="T160" s="17" t="str">
        <f t="shared" si="124"/>
        <v>1+4.95793836018654E-09i</v>
      </c>
      <c r="U160" s="17">
        <f t="shared" si="133"/>
        <v>1</v>
      </c>
      <c r="V160" s="17">
        <f t="shared" si="134"/>
        <v>4.9579383601865396E-9</v>
      </c>
      <c r="W160" s="31" t="str">
        <f t="shared" si="125"/>
        <v>1-0.00267728671450073i</v>
      </c>
      <c r="X160" s="17">
        <f t="shared" si="135"/>
        <v>1.0000035839256536</v>
      </c>
      <c r="Y160" s="17">
        <f t="shared" si="136"/>
        <v>-2.6772803177190856E-3</v>
      </c>
      <c r="Z160" s="31" t="str">
        <f t="shared" si="126"/>
        <v>0.999972326761163+0.163377687996357i</v>
      </c>
      <c r="AA160" s="17">
        <f t="shared" si="137"/>
        <v>1.0132309328199416</v>
      </c>
      <c r="AB160" s="17">
        <f t="shared" si="138"/>
        <v>0.1619512970952556</v>
      </c>
      <c r="AC160" s="66" t="str">
        <f t="shared" si="139"/>
        <v>-98.8608617171522-646.762731674474i</v>
      </c>
      <c r="AD160" s="64">
        <f t="shared" si="140"/>
        <v>56.315203736931558</v>
      </c>
      <c r="AE160" s="61">
        <f t="shared" si="141"/>
        <v>-98.690673305746387</v>
      </c>
      <c r="AF160" s="31" t="str">
        <f t="shared" si="127"/>
        <v>-1.33333333333333E-06</v>
      </c>
      <c r="AG160" s="31" t="str">
        <f t="shared" si="128"/>
        <v>0.00165429876618224i</v>
      </c>
      <c r="AH160" s="31">
        <f t="shared" si="142"/>
        <v>1.6542987661822401E-3</v>
      </c>
      <c r="AI160" s="31">
        <f t="shared" si="143"/>
        <v>1.5707963267948966</v>
      </c>
      <c r="AJ160" s="31" t="str">
        <f t="shared" si="129"/>
        <v>1+0.00534922420479666i</v>
      </c>
      <c r="AK160" s="31">
        <f t="shared" si="144"/>
        <v>1.0000143069974514</v>
      </c>
      <c r="AL160" s="31">
        <f t="shared" si="145"/>
        <v>5.3491731844162466E-3</v>
      </c>
      <c r="AM160" s="31" t="str">
        <f t="shared" si="130"/>
        <v>1+5.35457342900146i</v>
      </c>
      <c r="AN160" s="31">
        <f t="shared" si="146"/>
        <v>5.4471512377176072</v>
      </c>
      <c r="AO160" s="31">
        <f t="shared" si="147"/>
        <v>1.3861669737833979</v>
      </c>
      <c r="AP160" s="58" t="str">
        <f t="shared" si="148"/>
        <v>-0.00431124957978559+0.00082904281610349i</v>
      </c>
      <c r="AQ160" s="49">
        <f t="shared" si="149"/>
        <v>-47.150239784043492</v>
      </c>
      <c r="AR160" s="61">
        <f t="shared" si="150"/>
        <v>169.11503225085849</v>
      </c>
      <c r="AS160" s="58" t="str">
        <f t="shared" si="151"/>
        <v>0.962407844953506+2.70639566795215i</v>
      </c>
      <c r="AT160" s="64">
        <f t="shared" si="152"/>
        <v>9.164963952888062</v>
      </c>
      <c r="AU160" s="61">
        <f t="shared" si="153"/>
        <v>70.424358945112104</v>
      </c>
    </row>
    <row r="161" spans="14:47" x14ac:dyDescent="0.3">
      <c r="N161" s="10">
        <v>43</v>
      </c>
      <c r="O161" s="50">
        <f t="shared" si="121"/>
        <v>269.15348039269179</v>
      </c>
      <c r="P161" s="48" t="str">
        <f t="shared" si="122"/>
        <v>51201.9230769231</v>
      </c>
      <c r="Q161" s="17" t="str">
        <f t="shared" si="123"/>
        <v>1+79.0283288444703i</v>
      </c>
      <c r="R161" s="17">
        <f t="shared" si="131"/>
        <v>79.03465543639534</v>
      </c>
      <c r="S161" s="17">
        <f t="shared" si="132"/>
        <v>1.5581433117585399</v>
      </c>
      <c r="T161" s="17" t="str">
        <f t="shared" si="124"/>
        <v>1+5.07342358013884E-09i</v>
      </c>
      <c r="U161" s="17">
        <f t="shared" si="133"/>
        <v>1</v>
      </c>
      <c r="V161" s="17">
        <f t="shared" si="134"/>
        <v>5.0734235801388396E-9</v>
      </c>
      <c r="W161" s="31" t="str">
        <f t="shared" si="125"/>
        <v>1-0.00273964873327497i</v>
      </c>
      <c r="X161" s="17">
        <f t="shared" si="135"/>
        <v>1.000003752830549</v>
      </c>
      <c r="Y161" s="17">
        <f t="shared" si="136"/>
        <v>-2.7396418790013363E-3</v>
      </c>
      <c r="Z161" s="31" t="str">
        <f t="shared" si="126"/>
        <v>0.999971022561597+0.167183243221704i</v>
      </c>
      <c r="AA161" s="17">
        <f t="shared" si="137"/>
        <v>1.0138502269946057</v>
      </c>
      <c r="AB161" s="17">
        <f t="shared" si="138"/>
        <v>0.16565596324933485</v>
      </c>
      <c r="AC161" s="66" t="str">
        <f t="shared" si="139"/>
        <v>-99.1166928530439-631.259655991992i</v>
      </c>
      <c r="AD161" s="64">
        <f t="shared" si="140"/>
        <v>56.109930712957087</v>
      </c>
      <c r="AE161" s="61">
        <f t="shared" si="141"/>
        <v>-98.923392812020651</v>
      </c>
      <c r="AF161" s="31" t="str">
        <f t="shared" si="127"/>
        <v>-1.33333333333333E-06</v>
      </c>
      <c r="AG161" s="31" t="str">
        <f t="shared" si="128"/>
        <v>0.00169283233457299i</v>
      </c>
      <c r="AH161" s="31">
        <f t="shared" si="142"/>
        <v>1.69283233457299E-3</v>
      </c>
      <c r="AI161" s="31">
        <f t="shared" si="143"/>
        <v>1.5707963267948966</v>
      </c>
      <c r="AJ161" s="31" t="str">
        <f t="shared" si="129"/>
        <v>1+0.00547382364290702i</v>
      </c>
      <c r="AK161" s="31">
        <f t="shared" si="144"/>
        <v>1.0000149812604178</v>
      </c>
      <c r="AL161" s="31">
        <f t="shared" si="145"/>
        <v>5.4737689736286798E-3</v>
      </c>
      <c r="AM161" s="31" t="str">
        <f t="shared" si="130"/>
        <v>1+5.47929746654994i</v>
      </c>
      <c r="AN161" s="31">
        <f t="shared" si="146"/>
        <v>5.569802575221189</v>
      </c>
      <c r="AO161" s="31">
        <f t="shared" si="147"/>
        <v>1.3902779233562075</v>
      </c>
      <c r="AP161" s="58" t="str">
        <f t="shared" si="148"/>
        <v>-0.00431124376604279+0.000811233596696189i</v>
      </c>
      <c r="AQ161" s="49">
        <f t="shared" si="149"/>
        <v>-47.156838276485679</v>
      </c>
      <c r="AR161" s="61">
        <f t="shared" si="150"/>
        <v>169.34343349830465</v>
      </c>
      <c r="AS161" s="58" t="str">
        <f t="shared" si="151"/>
        <v>0.939415265353046+2.64110746541399i</v>
      </c>
      <c r="AT161" s="64">
        <f t="shared" si="152"/>
        <v>8.9530924364714224</v>
      </c>
      <c r="AU161" s="61">
        <f t="shared" si="153"/>
        <v>70.420040686284025</v>
      </c>
    </row>
    <row r="162" spans="14:47" x14ac:dyDescent="0.3">
      <c r="N162" s="10">
        <v>44</v>
      </c>
      <c r="O162" s="50">
        <f t="shared" si="121"/>
        <v>275.42287033381683</v>
      </c>
      <c r="P162" s="48" t="str">
        <f t="shared" si="122"/>
        <v>51201.9230769231</v>
      </c>
      <c r="Q162" s="17" t="str">
        <f t="shared" si="123"/>
        <v>1+80.8691350982056i</v>
      </c>
      <c r="R162" s="17">
        <f t="shared" si="131"/>
        <v>80.875317690453798</v>
      </c>
      <c r="S162" s="17">
        <f t="shared" si="132"/>
        <v>1.5584312998456691</v>
      </c>
      <c r="T162" s="17" t="str">
        <f t="shared" si="124"/>
        <v>1+5.19159879642801E-09i</v>
      </c>
      <c r="U162" s="17">
        <f t="shared" si="133"/>
        <v>1</v>
      </c>
      <c r="V162" s="17">
        <f t="shared" si="134"/>
        <v>5.1915987964280097E-9</v>
      </c>
      <c r="W162" s="31" t="str">
        <f t="shared" si="125"/>
        <v>1-0.00280346335007112i</v>
      </c>
      <c r="X162" s="17">
        <f t="shared" si="135"/>
        <v>1.0000039296956564</v>
      </c>
      <c r="Y162" s="17">
        <f t="shared" si="136"/>
        <v>-2.8034560055861567E-3</v>
      </c>
      <c r="Z162" s="31" t="str">
        <f t="shared" si="126"/>
        <v>0.999969656896999+0.171077441215539i</v>
      </c>
      <c r="AA162" s="17">
        <f t="shared" si="137"/>
        <v>1.0144983024172873</v>
      </c>
      <c r="AB162" s="17">
        <f t="shared" si="138"/>
        <v>0.1694421917181633</v>
      </c>
      <c r="AC162" s="66" t="str">
        <f t="shared" si="139"/>
        <v>-99.349265854917-616.092849549384i</v>
      </c>
      <c r="AD162" s="64">
        <f t="shared" si="140"/>
        <v>55.904413102882117</v>
      </c>
      <c r="AE162" s="61">
        <f t="shared" si="141"/>
        <v>-99.16048449885507</v>
      </c>
      <c r="AF162" s="31" t="str">
        <f t="shared" si="127"/>
        <v>-1.33333333333333E-06</v>
      </c>
      <c r="AG162" s="31" t="str">
        <f t="shared" si="128"/>
        <v>0.00173226346507481i</v>
      </c>
      <c r="AH162" s="31">
        <f t="shared" si="142"/>
        <v>1.73226346507481E-3</v>
      </c>
      <c r="AI162" s="31">
        <f t="shared" si="143"/>
        <v>1.5707963267948966</v>
      </c>
      <c r="AJ162" s="31" t="str">
        <f t="shared" si="129"/>
        <v>1+0.00560132537476748i</v>
      </c>
      <c r="AK162" s="31">
        <f t="shared" si="144"/>
        <v>1.0000156872999313</v>
      </c>
      <c r="AL162" s="31">
        <f t="shared" si="145"/>
        <v>5.6012667956299653E-3</v>
      </c>
      <c r="AM162" s="31" t="str">
        <f t="shared" si="130"/>
        <v>1+5.60692670014225i</v>
      </c>
      <c r="AN162" s="31">
        <f t="shared" si="146"/>
        <v>5.6954040261221213</v>
      </c>
      <c r="AO162" s="31">
        <f t="shared" si="147"/>
        <v>1.3943012657505127</v>
      </c>
      <c r="AP162" s="58" t="str">
        <f t="shared" si="148"/>
        <v>-0.00431123767832354+0.000793854501079523i</v>
      </c>
      <c r="AQ162" s="49">
        <f t="shared" si="149"/>
        <v>-47.163149683406012</v>
      </c>
      <c r="AR162" s="61">
        <f t="shared" si="150"/>
        <v>169.56664894993662</v>
      </c>
      <c r="AS162" s="58" t="str">
        <f t="shared" si="151"/>
        <v>0.917406379965188+2.57725384444515i</v>
      </c>
      <c r="AT162" s="64">
        <f t="shared" si="152"/>
        <v>8.7412634194761143</v>
      </c>
      <c r="AU162" s="61">
        <f t="shared" si="153"/>
        <v>70.406164451081551</v>
      </c>
    </row>
    <row r="163" spans="14:47" x14ac:dyDescent="0.3">
      <c r="N163" s="10">
        <v>45</v>
      </c>
      <c r="O163" s="50">
        <f t="shared" si="121"/>
        <v>281.83829312644554</v>
      </c>
      <c r="P163" s="48" t="str">
        <f t="shared" si="122"/>
        <v>51201.9230769231</v>
      </c>
      <c r="Q163" s="17" t="str">
        <f t="shared" si="123"/>
        <v>1+82.7528192377993i</v>
      </c>
      <c r="R163" s="17">
        <f t="shared" si="131"/>
        <v>82.758861107460177</v>
      </c>
      <c r="S163" s="17">
        <f t="shared" si="132"/>
        <v>1.5587127345056091</v>
      </c>
      <c r="T163" s="17" t="str">
        <f t="shared" si="124"/>
        <v>1+5.31252666711798E-09i</v>
      </c>
      <c r="U163" s="17">
        <f t="shared" si="133"/>
        <v>1</v>
      </c>
      <c r="V163" s="17">
        <f t="shared" si="134"/>
        <v>5.3125266671179798E-9</v>
      </c>
      <c r="W163" s="31" t="str">
        <f t="shared" si="125"/>
        <v>1-0.00286876440024371i</v>
      </c>
      <c r="X163" s="17">
        <f t="shared" si="135"/>
        <v>1.0000041148961258</v>
      </c>
      <c r="Y163" s="17">
        <f t="shared" si="136"/>
        <v>-2.8687565304880338E-3</v>
      </c>
      <c r="Z163" s="31" t="str">
        <f t="shared" si="126"/>
        <v>0.999968226870611+0.175062346733184i</v>
      </c>
      <c r="AA163" s="17">
        <f t="shared" si="137"/>
        <v>1.0151764772661369</v>
      </c>
      <c r="AB163" s="17">
        <f t="shared" si="138"/>
        <v>0.17331155696090714</v>
      </c>
      <c r="AC163" s="66" t="str">
        <f t="shared" si="139"/>
        <v>-99.5591204158899-601.254435495415i</v>
      </c>
      <c r="AD163" s="64">
        <f t="shared" si="140"/>
        <v>55.698640165919315</v>
      </c>
      <c r="AE163" s="61">
        <f t="shared" si="141"/>
        <v>-99.402049252430331</v>
      </c>
      <c r="AF163" s="31" t="str">
        <f t="shared" si="127"/>
        <v>-1.33333333333333E-06</v>
      </c>
      <c r="AG163" s="31" t="str">
        <f t="shared" si="128"/>
        <v>0.00177261306459503i</v>
      </c>
      <c r="AH163" s="31">
        <f t="shared" si="142"/>
        <v>1.77261306459503E-3</v>
      </c>
      <c r="AI163" s="31">
        <f t="shared" si="143"/>
        <v>1.5707963267948966</v>
      </c>
      <c r="AJ163" s="31" t="str">
        <f t="shared" si="129"/>
        <v>1+0.00573179700348393i</v>
      </c>
      <c r="AK163" s="31">
        <f t="shared" si="144"/>
        <v>1.0000164266135279</v>
      </c>
      <c r="AL163" s="31">
        <f t="shared" si="145"/>
        <v>5.7317342348628848E-3</v>
      </c>
      <c r="AM163" s="31" t="str">
        <f t="shared" si="130"/>
        <v>1+5.73752880048742i</v>
      </c>
      <c r="AN163" s="31">
        <f t="shared" si="146"/>
        <v>5.8240223846086483</v>
      </c>
      <c r="AO163" s="31">
        <f t="shared" si="147"/>
        <v>1.3982386129226982</v>
      </c>
      <c r="AP163" s="58" t="str">
        <f t="shared" si="148"/>
        <v>-0.00431123130371735+0.000776896314412389i</v>
      </c>
      <c r="AQ163" s="49">
        <f t="shared" si="149"/>
        <v>-47.169186152814369</v>
      </c>
      <c r="AR163" s="61">
        <f t="shared" si="150"/>
        <v>169.78476709174868</v>
      </c>
      <c r="AS163" s="58" t="str">
        <f t="shared" si="151"/>
        <v>0.896334751468039+2.51479983008949i</v>
      </c>
      <c r="AT163" s="64">
        <f t="shared" si="152"/>
        <v>8.5294540131049388</v>
      </c>
      <c r="AU163" s="61">
        <f t="shared" si="153"/>
        <v>70.382717839318332</v>
      </c>
    </row>
    <row r="164" spans="14:47" x14ac:dyDescent="0.3">
      <c r="N164" s="10">
        <v>46</v>
      </c>
      <c r="O164" s="50">
        <f t="shared" si="121"/>
        <v>288.40315031266073</v>
      </c>
      <c r="P164" s="48" t="str">
        <f t="shared" si="122"/>
        <v>51201.9230769231</v>
      </c>
      <c r="Q164" s="17" t="str">
        <f t="shared" si="123"/>
        <v>1+84.6803800175161i</v>
      </c>
      <c r="R164" s="17">
        <f t="shared" si="131"/>
        <v>84.686284367133155</v>
      </c>
      <c r="S164" s="17">
        <f t="shared" si="132"/>
        <v>1.5589877647803099</v>
      </c>
      <c r="T164" s="17" t="str">
        <f t="shared" si="124"/>
        <v>1+5.43627130976647E-09i</v>
      </c>
      <c r="U164" s="17">
        <f t="shared" si="133"/>
        <v>1</v>
      </c>
      <c r="V164" s="17">
        <f t="shared" si="134"/>
        <v>5.4362713097664697E-9</v>
      </c>
      <c r="W164" s="31" t="str">
        <f t="shared" si="125"/>
        <v>1-0.00293558650727389i</v>
      </c>
      <c r="X164" s="17">
        <f t="shared" si="135"/>
        <v>1.0000043088247879</v>
      </c>
      <c r="Y164" s="17">
        <f t="shared" si="136"/>
        <v>-2.9355780746807181E-3</v>
      </c>
      <c r="Z164" s="31" t="str">
        <f t="shared" si="126"/>
        <v>0.999966729449156+0.179140072624291i</v>
      </c>
      <c r="AA164" s="17">
        <f t="shared" si="137"/>
        <v>1.0158861282767266</v>
      </c>
      <c r="AB164" s="17">
        <f t="shared" si="138"/>
        <v>0.17726564836313349</v>
      </c>
      <c r="AC164" s="66" t="str">
        <f t="shared" si="139"/>
        <v>-99.7467523805499-586.736717858446i</v>
      </c>
      <c r="AD164" s="64">
        <f t="shared" si="140"/>
        <v>55.49260070892516</v>
      </c>
      <c r="AE164" s="61">
        <f t="shared" si="141"/>
        <v>-99.64818866093826</v>
      </c>
      <c r="AF164" s="31" t="str">
        <f t="shared" si="127"/>
        <v>-1.33333333333333E-06</v>
      </c>
      <c r="AG164" s="31" t="str">
        <f t="shared" si="128"/>
        <v>0.0018139025270254i</v>
      </c>
      <c r="AH164" s="31">
        <f t="shared" si="142"/>
        <v>1.8139025270253999E-3</v>
      </c>
      <c r="AI164" s="31">
        <f t="shared" si="143"/>
        <v>1.5707963267948966</v>
      </c>
      <c r="AJ164" s="31" t="str">
        <f t="shared" si="129"/>
        <v>1+0.00586530770684093i</v>
      </c>
      <c r="AK164" s="31">
        <f t="shared" si="144"/>
        <v>1.0000172007693147</v>
      </c>
      <c r="AL164" s="31">
        <f t="shared" si="145"/>
        <v>5.865240449114198E-3</v>
      </c>
      <c r="AM164" s="31" t="str">
        <f t="shared" si="130"/>
        <v>1+5.87117301454778i</v>
      </c>
      <c r="AN164" s="31">
        <f t="shared" si="146"/>
        <v>5.9557260318750442</v>
      </c>
      <c r="AO164" s="31">
        <f t="shared" si="147"/>
        <v>1.402091563947514</v>
      </c>
      <c r="AP164" s="58" t="str">
        <f t="shared" si="148"/>
        <v>-0.00431122462870543+0.000760350045009842i</v>
      </c>
      <c r="AQ164" s="49">
        <f t="shared" si="149"/>
        <v>-47.174959354307219</v>
      </c>
      <c r="AR164" s="61">
        <f t="shared" si="150"/>
        <v>169.99787558152585</v>
      </c>
      <c r="AS164" s="58" t="str">
        <f t="shared" si="151"/>
        <v>0.876155945329005+2.45371134093498i</v>
      </c>
      <c r="AT164" s="64">
        <f t="shared" si="152"/>
        <v>8.317641354617928</v>
      </c>
      <c r="AU164" s="61">
        <f t="shared" si="153"/>
        <v>70.349686920587558</v>
      </c>
    </row>
    <row r="165" spans="14:47" x14ac:dyDescent="0.3">
      <c r="N165" s="10">
        <v>47</v>
      </c>
      <c r="O165" s="50">
        <f t="shared" si="121"/>
        <v>295.12092266663871</v>
      </c>
      <c r="P165" s="48" t="str">
        <f t="shared" si="122"/>
        <v>51201.9230769231</v>
      </c>
      <c r="Q165" s="17" t="str">
        <f t="shared" si="123"/>
        <v>1+86.6528394555953i</v>
      </c>
      <c r="R165" s="17">
        <f t="shared" si="131"/>
        <v>86.658609414859484</v>
      </c>
      <c r="S165" s="17">
        <f t="shared" si="132"/>
        <v>1.559256536327938</v>
      </c>
      <c r="T165" s="17" t="str">
        <f t="shared" si="124"/>
        <v>1+5.56289833542093E-09i</v>
      </c>
      <c r="U165" s="17">
        <f t="shared" si="133"/>
        <v>1</v>
      </c>
      <c r="V165" s="17">
        <f t="shared" si="134"/>
        <v>5.5628983354209299E-9</v>
      </c>
      <c r="W165" s="31" t="str">
        <f t="shared" si="125"/>
        <v>1-0.0030039651011273i</v>
      </c>
      <c r="X165" s="17">
        <f t="shared" si="135"/>
        <v>1.0000045118929859</v>
      </c>
      <c r="Y165" s="17">
        <f t="shared" si="136"/>
        <v>-3.0039560654431248E-3</v>
      </c>
      <c r="Z165" s="31" t="str">
        <f t="shared" si="126"/>
        <v>0.999965161456402+0.183312780953102i</v>
      </c>
      <c r="AA165" s="17">
        <f t="shared" si="137"/>
        <v>1.016628693175285</v>
      </c>
      <c r="AB165" s="17">
        <f t="shared" si="138"/>
        <v>0.18130606920534706</v>
      </c>
      <c r="AC165" s="66" t="str">
        <f t="shared" si="139"/>
        <v>-99.9126151656174-572.532178112111i</v>
      </c>
      <c r="AD165" s="64">
        <f t="shared" si="140"/>
        <v>55.286283070743622</v>
      </c>
      <c r="AE165" s="61">
        <f t="shared" si="141"/>
        <v>-99.899004961013219</v>
      </c>
      <c r="AF165" s="31" t="str">
        <f t="shared" si="127"/>
        <v>-1.33333333333333E-06</v>
      </c>
      <c r="AG165" s="31" t="str">
        <f t="shared" si="128"/>
        <v>0.00185615374458545i</v>
      </c>
      <c r="AH165" s="31">
        <f t="shared" si="142"/>
        <v>1.8561537445854501E-3</v>
      </c>
      <c r="AI165" s="31">
        <f t="shared" si="143"/>
        <v>1.5707963267948966</v>
      </c>
      <c r="AJ165" s="31" t="str">
        <f t="shared" si="129"/>
        <v>1+0.00600192827398062i</v>
      </c>
      <c r="AK165" s="31">
        <f t="shared" si="144"/>
        <v>1.0000180114092976</v>
      </c>
      <c r="AL165" s="31">
        <f t="shared" si="145"/>
        <v>6.0018562060981055E-3</v>
      </c>
      <c r="AM165" s="31" t="str">
        <f t="shared" si="130"/>
        <v>1+6.0079302022546i</v>
      </c>
      <c r="AN165" s="31">
        <f t="shared" si="146"/>
        <v>6.0905849731501975</v>
      </c>
      <c r="AO165" s="31">
        <f t="shared" si="147"/>
        <v>1.4058617038981012</v>
      </c>
      <c r="AP165" s="58" t="str">
        <f t="shared" si="148"/>
        <v>-0.00431121763913202+0.000744206919574471i</v>
      </c>
      <c r="AQ165" s="49">
        <f t="shared" si="149"/>
        <v>-47.180480495135136</v>
      </c>
      <c r="AR165" s="61">
        <f t="shared" si="150"/>
        <v>170.206061182578</v>
      </c>
      <c r="AS165" s="58" t="str">
        <f t="shared" si="151"/>
        <v>0.856827437503896+2.39395516568857i</v>
      </c>
      <c r="AT165" s="64">
        <f t="shared" si="152"/>
        <v>8.1058025756084735</v>
      </c>
      <c r="AU165" s="61">
        <f t="shared" si="153"/>
        <v>70.307056221564764</v>
      </c>
    </row>
    <row r="166" spans="14:47" x14ac:dyDescent="0.3">
      <c r="N166" s="10">
        <v>48</v>
      </c>
      <c r="O166" s="50">
        <f t="shared" si="121"/>
        <v>301.99517204020168</v>
      </c>
      <c r="P166" s="48" t="str">
        <f t="shared" si="122"/>
        <v>51201.9230769231</v>
      </c>
      <c r="Q166" s="17" t="str">
        <f t="shared" si="123"/>
        <v>1+88.6712433761399i</v>
      </c>
      <c r="R166" s="17">
        <f t="shared" si="131"/>
        <v>88.676882003544947</v>
      </c>
      <c r="S166" s="17">
        <f t="shared" si="132"/>
        <v>1.5595191914993121</v>
      </c>
      <c r="T166" s="17" t="str">
        <f t="shared" si="124"/>
        <v>1+5.69247488340652E-09i</v>
      </c>
      <c r="U166" s="17">
        <f t="shared" si="133"/>
        <v>1</v>
      </c>
      <c r="V166" s="17">
        <f t="shared" si="134"/>
        <v>5.6924748834065201E-9</v>
      </c>
      <c r="W166" s="31" t="str">
        <f t="shared" si="125"/>
        <v>1-0.00307393643703951i</v>
      </c>
      <c r="X166" s="17">
        <f t="shared" si="135"/>
        <v>1.000004724531449</v>
      </c>
      <c r="Y166" s="17">
        <f t="shared" si="136"/>
        <v>-3.0739267551319503E-3</v>
      </c>
      <c r="Z166" s="31" t="str">
        <f t="shared" si="126"/>
        <v>0.999963519566426+0.187582684144806i</v>
      </c>
      <c r="AA166" s="17">
        <f t="shared" si="137"/>
        <v>1.0174056731975913</v>
      </c>
      <c r="AB166" s="17">
        <f t="shared" si="138"/>
        <v>0.18543443552877101</v>
      </c>
      <c r="AC166" s="66" t="str">
        <f t="shared" si="139"/>
        <v>-100.057121122036-558.633471851215i</v>
      </c>
      <c r="AD166" s="64">
        <f t="shared" si="140"/>
        <v>55.079675106263196</v>
      </c>
      <c r="AE166" s="61">
        <f t="shared" si="141"/>
        <v>-100.15460097820088</v>
      </c>
      <c r="AF166" s="31" t="str">
        <f t="shared" si="127"/>
        <v>-1.33333333333333E-06</v>
      </c>
      <c r="AG166" s="31" t="str">
        <f t="shared" si="128"/>
        <v>0.00189938911942997i</v>
      </c>
      <c r="AH166" s="31">
        <f t="shared" si="142"/>
        <v>1.8993891194299701E-3</v>
      </c>
      <c r="AI166" s="31">
        <f t="shared" si="143"/>
        <v>1.5707963267948966</v>
      </c>
      <c r="AJ166" s="31" t="str">
        <f t="shared" si="129"/>
        <v>1+0.00614173114293609i</v>
      </c>
      <c r="AK166" s="31">
        <f t="shared" si="144"/>
        <v>1.0000188602528615</v>
      </c>
      <c r="AL166" s="31">
        <f t="shared" si="145"/>
        <v>6.1416539208873468E-3</v>
      </c>
      <c r="AM166" s="31" t="str">
        <f t="shared" si="130"/>
        <v>1+6.14787287407903i</v>
      </c>
      <c r="AN166" s="31">
        <f t="shared" si="146"/>
        <v>6.2286708755429325</v>
      </c>
      <c r="AO166" s="31">
        <f t="shared" si="147"/>
        <v>1.4095506028279621</v>
      </c>
      <c r="AP166" s="58" t="str">
        <f t="shared" si="148"/>
        <v>-0.00431121032017447+0.000728458378543534i</v>
      </c>
      <c r="AQ166" s="49">
        <f t="shared" si="149"/>
        <v>-47.185760335988014</v>
      </c>
      <c r="AR166" s="61">
        <f t="shared" si="150"/>
        <v>170.40940970326636</v>
      </c>
      <c r="AS166" s="58" t="str">
        <f t="shared" si="151"/>
        <v>0.83830852629315+2.33549894082556i</v>
      </c>
      <c r="AT166" s="64">
        <f t="shared" si="152"/>
        <v>7.8939147702751802</v>
      </c>
      <c r="AU166" s="61">
        <f t="shared" si="153"/>
        <v>70.254808725065459</v>
      </c>
    </row>
    <row r="167" spans="14:47" x14ac:dyDescent="0.3">
      <c r="N167" s="10">
        <v>49</v>
      </c>
      <c r="O167" s="50">
        <f t="shared" si="121"/>
        <v>309.02954325135937</v>
      </c>
      <c r="P167" s="48" t="str">
        <f t="shared" si="122"/>
        <v>51201.9230769231</v>
      </c>
      <c r="Q167" s="17" t="str">
        <f t="shared" si="123"/>
        <v>1+90.7366619636251i</v>
      </c>
      <c r="R167" s="17">
        <f t="shared" si="131"/>
        <v>90.742172248085225</v>
      </c>
      <c r="S167" s="17">
        <f t="shared" si="132"/>
        <v>1.5597758694126376</v>
      </c>
      <c r="T167" s="17" t="str">
        <f t="shared" si="124"/>
        <v>1+5.82506965692409E-09i</v>
      </c>
      <c r="U167" s="17">
        <f t="shared" si="133"/>
        <v>1</v>
      </c>
      <c r="V167" s="17">
        <f t="shared" si="134"/>
        <v>5.8250696569240898E-9</v>
      </c>
      <c r="W167" s="31" t="str">
        <f t="shared" si="125"/>
        <v>1-0.003145537614739i</v>
      </c>
      <c r="X167" s="17">
        <f t="shared" si="135"/>
        <v>1.0000049471912056</v>
      </c>
      <c r="Y167" s="17">
        <f t="shared" si="136"/>
        <v>-3.1455272403909107E-3</v>
      </c>
      <c r="Z167" s="31" t="str">
        <f t="shared" si="126"/>
        <v>0.999961800296559+0.191952046158594i</v>
      </c>
      <c r="AA167" s="17">
        <f t="shared" si="137"/>
        <v>1.0182186356951075</v>
      </c>
      <c r="AB167" s="17">
        <f t="shared" si="138"/>
        <v>0.18965237489250772</v>
      </c>
      <c r="AC167" s="66" t="str">
        <f t="shared" si="139"/>
        <v>-100.18064284364-545.0334255773i</v>
      </c>
      <c r="AD167" s="64">
        <f t="shared" si="140"/>
        <v>54.872764170213017</v>
      </c>
      <c r="AE167" s="61">
        <f t="shared" si="141"/>
        <v>-100.41508006113217</v>
      </c>
      <c r="AF167" s="31" t="str">
        <f t="shared" si="127"/>
        <v>-1.33333333333333E-06</v>
      </c>
      <c r="AG167" s="31" t="str">
        <f t="shared" si="128"/>
        <v>0.001943631575527i</v>
      </c>
      <c r="AH167" s="31">
        <f t="shared" si="142"/>
        <v>1.9436315755270001E-3</v>
      </c>
      <c r="AI167" s="31">
        <f t="shared" si="143"/>
        <v>1.5707963267948966</v>
      </c>
      <c r="AJ167" s="31" t="str">
        <f t="shared" si="129"/>
        <v>1+0.00628479043903896i</v>
      </c>
      <c r="AK167" s="31">
        <f t="shared" si="144"/>
        <v>1.0000197491004179</v>
      </c>
      <c r="AL167" s="31">
        <f t="shared" si="145"/>
        <v>6.2847076942111968E-3</v>
      </c>
      <c r="AM167" s="31" t="str">
        <f t="shared" si="130"/>
        <v>1+6.29107522947801i</v>
      </c>
      <c r="AN167" s="31">
        <f t="shared" si="146"/>
        <v>6.3700571067261089</v>
      </c>
      <c r="AO167" s="31">
        <f t="shared" si="147"/>
        <v>1.4131598148492071</v>
      </c>
      <c r="AP167" s="58" t="str">
        <f t="shared" si="148"/>
        <v>-0.00431120265631172+0.000713096071549275i</v>
      </c>
      <c r="AQ167" s="49">
        <f t="shared" si="149"/>
        <v>-47.190809206478612</v>
      </c>
      <c r="AR167" s="61">
        <f t="shared" si="150"/>
        <v>170.60800594199671</v>
      </c>
      <c r="AS167" s="58" t="str">
        <f t="shared" si="151"/>
        <v>0.820560248180733+2.27831112927045i</v>
      </c>
      <c r="AT167" s="64">
        <f t="shared" si="152"/>
        <v>7.6819549637343982</v>
      </c>
      <c r="AU167" s="61">
        <f t="shared" si="153"/>
        <v>70.192925880864522</v>
      </c>
    </row>
    <row r="168" spans="14:47" x14ac:dyDescent="0.3">
      <c r="N168" s="10">
        <v>50</v>
      </c>
      <c r="O168" s="50">
        <f t="shared" si="121"/>
        <v>316.22776601683825</v>
      </c>
      <c r="P168" s="48" t="str">
        <f t="shared" si="122"/>
        <v>51201.9230769231</v>
      </c>
      <c r="Q168" s="17" t="str">
        <f t="shared" si="123"/>
        <v>1+92.8501903303251i</v>
      </c>
      <c r="R168" s="17">
        <f t="shared" si="131"/>
        <v>92.855575192756177</v>
      </c>
      <c r="S168" s="17">
        <f t="shared" si="132"/>
        <v>1.5600267060265771</v>
      </c>
      <c r="T168" s="17" t="str">
        <f t="shared" si="124"/>
        <v>1+5.96075295947767E-09i</v>
      </c>
      <c r="U168" s="17">
        <f t="shared" si="133"/>
        <v>1</v>
      </c>
      <c r="V168" s="17">
        <f t="shared" si="134"/>
        <v>5.9607529594776703E-9</v>
      </c>
      <c r="W168" s="31" t="str">
        <f t="shared" si="125"/>
        <v>1-0.00321880659811794i</v>
      </c>
      <c r="X168" s="17">
        <f t="shared" si="135"/>
        <v>1.00000518034454</v>
      </c>
      <c r="Y168" s="17">
        <f t="shared" si="136"/>
        <v>-3.2187954818067932E-3</v>
      </c>
      <c r="Z168" s="31" t="str">
        <f t="shared" si="126"/>
        <v>0.99996+0.196423183688041i</v>
      </c>
      <c r="AA168" s="17">
        <f t="shared" si="137"/>
        <v>1.0190692168298214</v>
      </c>
      <c r="AB168" s="17">
        <f t="shared" si="138"/>
        <v>0.19396152501606556</v>
      </c>
      <c r="AC168" s="66" t="str">
        <f t="shared" si="139"/>
        <v>-100.28351442752-531.725033593097i</v>
      </c>
      <c r="AD168" s="64">
        <f t="shared" si="140"/>
        <v>54.66553710072462</v>
      </c>
      <c r="AE168" s="61">
        <f t="shared" si="141"/>
        <v>-100.68054600905791</v>
      </c>
      <c r="AF168" s="31" t="str">
        <f t="shared" si="127"/>
        <v>-1.33333333333333E-06</v>
      </c>
      <c r="AG168" s="31" t="str">
        <f t="shared" si="128"/>
        <v>0.00198890457081238i</v>
      </c>
      <c r="AH168" s="31">
        <f t="shared" si="142"/>
        <v>1.9889045708123801E-3</v>
      </c>
      <c r="AI168" s="31">
        <f t="shared" si="143"/>
        <v>1.5707963267948966</v>
      </c>
      <c r="AJ168" s="31" t="str">
        <f t="shared" si="129"/>
        <v>1+0.00643118201422164i</v>
      </c>
      <c r="AK168" s="31">
        <f t="shared" si="144"/>
        <v>1.0000206798372222</v>
      </c>
      <c r="AL168" s="31">
        <f t="shared" si="145"/>
        <v>6.4310933516403086E-3</v>
      </c>
      <c r="AM168" s="31" t="str">
        <f t="shared" si="130"/>
        <v>1+6.43761319623587i</v>
      </c>
      <c r="AN168" s="31">
        <f t="shared" si="146"/>
        <v>6.5148187744825421</v>
      </c>
      <c r="AO168" s="31">
        <f t="shared" si="147"/>
        <v>1.4166908773016145</v>
      </c>
      <c r="AP168" s="58" t="str">
        <f t="shared" si="148"/>
        <v>-0.00431119463129144+0.000698111852990112i</v>
      </c>
      <c r="AQ168" s="49">
        <f t="shared" si="149"/>
        <v>-47.195637020306627</v>
      </c>
      <c r="AR168" s="61">
        <f t="shared" si="150"/>
        <v>170.80193363736484</v>
      </c>
      <c r="AS168" s="58" t="str">
        <f t="shared" si="151"/>
        <v>0.803545297489868+2.22236100006846i</v>
      </c>
      <c r="AT168" s="64">
        <f t="shared" si="152"/>
        <v>7.4699000804179807</v>
      </c>
      <c r="AU168" s="61">
        <f t="shared" si="153"/>
        <v>70.121387628306891</v>
      </c>
    </row>
    <row r="169" spans="14:47" x14ac:dyDescent="0.3">
      <c r="N169" s="10">
        <v>51</v>
      </c>
      <c r="O169" s="50">
        <f t="shared" si="121"/>
        <v>323.59365692962825</v>
      </c>
      <c r="P169" s="48" t="str">
        <f t="shared" si="122"/>
        <v>51201.9230769231</v>
      </c>
      <c r="Q169" s="17" t="str">
        <f t="shared" si="123"/>
        <v>1+95.0129490969559i</v>
      </c>
      <c r="R169" s="17">
        <f t="shared" si="131"/>
        <v>95.018211391820728</v>
      </c>
      <c r="S169" s="17">
        <f t="shared" si="132"/>
        <v>1.5602718342116919</v>
      </c>
      <c r="T169" s="17" t="str">
        <f t="shared" si="124"/>
        <v>1+6.09959673215026E-09i</v>
      </c>
      <c r="U169" s="17">
        <f t="shared" si="133"/>
        <v>1</v>
      </c>
      <c r="V169" s="17">
        <f t="shared" si="134"/>
        <v>6.0995967321502602E-9</v>
      </c>
      <c r="W169" s="31" t="str">
        <f t="shared" si="125"/>
        <v>1-0.00329378223536113i</v>
      </c>
      <c r="X169" s="17">
        <f t="shared" si="135"/>
        <v>1.0000054244859944</v>
      </c>
      <c r="Y169" s="17">
        <f t="shared" si="136"/>
        <v>-3.2937703240226227E-3</v>
      </c>
      <c r="Z169" s="31" t="str">
        <f t="shared" si="126"/>
        <v>0.999958114858078+0.200998467389448i</v>
      </c>
      <c r="AA169" s="17">
        <f t="shared" si="137"/>
        <v>1.0199591243591226</v>
      </c>
      <c r="AB169" s="17">
        <f t="shared" si="138"/>
        <v>0.19836353230108209</v>
      </c>
      <c r="AC169" s="66" t="str">
        <f t="shared" si="139"/>
        <v>-100.366032691306-518.701455005168i</v>
      </c>
      <c r="AD169" s="64">
        <f t="shared" si="140"/>
        <v>54.457980202692866</v>
      </c>
      <c r="AE169" s="61">
        <f t="shared" si="141"/>
        <v>-100.95110299239545</v>
      </c>
      <c r="AF169" s="31" t="str">
        <f t="shared" si="127"/>
        <v>-1.33333333333333E-06</v>
      </c>
      <c r="AG169" s="31" t="str">
        <f t="shared" si="128"/>
        <v>0.00203523210962747i</v>
      </c>
      <c r="AH169" s="31">
        <f t="shared" si="142"/>
        <v>2.03523210962747E-3</v>
      </c>
      <c r="AI169" s="31">
        <f t="shared" si="143"/>
        <v>1.5707963267948966</v>
      </c>
      <c r="AJ169" s="31" t="str">
        <f t="shared" si="129"/>
        <v>1+0.00658098348723503i</v>
      </c>
      <c r="AK169" s="31">
        <f t="shared" si="144"/>
        <v>1.0000216544373723</v>
      </c>
      <c r="AL169" s="31">
        <f t="shared" si="145"/>
        <v>6.5808884836785885E-3</v>
      </c>
      <c r="AM169" s="31" t="str">
        <f t="shared" si="130"/>
        <v>1+6.58756447072227i</v>
      </c>
      <c r="AN169" s="31">
        <f t="shared" si="146"/>
        <v>6.6630327671355758</v>
      </c>
      <c r="AO169" s="31">
        <f t="shared" si="147"/>
        <v>1.420145310007215</v>
      </c>
      <c r="AP169" s="58" t="str">
        <f t="shared" si="148"/>
        <v>-0.00431118622809563+0.000683497777710284i</v>
      </c>
      <c r="AQ169" s="49">
        <f t="shared" si="149"/>
        <v>-47.200253290089847</v>
      </c>
      <c r="AR169" s="61">
        <f t="shared" si="150"/>
        <v>170.99127542315031</v>
      </c>
      <c r="AS169" s="58" t="str">
        <f t="shared" si="151"/>
        <v>0.787227949698477+2.16761860900934i</v>
      </c>
      <c r="AT169" s="64">
        <f t="shared" si="152"/>
        <v>7.2577269126030171</v>
      </c>
      <c r="AU169" s="61">
        <f t="shared" si="153"/>
        <v>70.040172430754865</v>
      </c>
    </row>
    <row r="170" spans="14:47" x14ac:dyDescent="0.3">
      <c r="N170" s="10">
        <v>52</v>
      </c>
      <c r="O170" s="50">
        <f t="shared" si="121"/>
        <v>331.13112148259137</v>
      </c>
      <c r="P170" s="48" t="str">
        <f t="shared" si="122"/>
        <v>51201.9230769231</v>
      </c>
      <c r="Q170" s="17" t="str">
        <f t="shared" si="123"/>
        <v>1+97.2260849868433i</v>
      </c>
      <c r="R170" s="17">
        <f t="shared" si="131"/>
        <v>97.231227503661984</v>
      </c>
      <c r="S170" s="17">
        <f t="shared" si="132"/>
        <v>1.5605113838202893</v>
      </c>
      <c r="T170" s="17" t="str">
        <f t="shared" si="124"/>
        <v>1+6.24167459174797E-09i</v>
      </c>
      <c r="U170" s="17">
        <f t="shared" si="133"/>
        <v>1</v>
      </c>
      <c r="V170" s="17">
        <f t="shared" si="134"/>
        <v>6.2416745917479703E-9</v>
      </c>
      <c r="W170" s="31" t="str">
        <f t="shared" si="125"/>
        <v>1-0.0033705042795439i</v>
      </c>
      <c r="X170" s="17">
        <f t="shared" si="135"/>
        <v>1.0000056801334172</v>
      </c>
      <c r="Y170" s="17">
        <f t="shared" si="136"/>
        <v>-3.3704915163186538E-3</v>
      </c>
      <c r="Z170" s="31" t="str">
        <f t="shared" si="126"/>
        <v>0.999956140872154+0.205680323138794i</v>
      </c>
      <c r="AA170" s="17">
        <f t="shared" si="137"/>
        <v>1.0208901405119015</v>
      </c>
      <c r="AB170" s="17">
        <f t="shared" si="138"/>
        <v>0.20286005022594489</v>
      </c>
      <c r="AC170" s="66" t="str">
        <f t="shared" si="139"/>
        <v>-100.428458352589-505.956010833803i</v>
      </c>
      <c r="AD170" s="64">
        <f t="shared" si="140"/>
        <v>54.250079230971011</v>
      </c>
      <c r="AE170" s="61">
        <f t="shared" si="141"/>
        <v>-101.22685546592894</v>
      </c>
      <c r="AF170" s="31" t="str">
        <f t="shared" si="127"/>
        <v>-1.33333333333333E-06</v>
      </c>
      <c r="AG170" s="31" t="str">
        <f t="shared" si="128"/>
        <v>0.00208263875544657i</v>
      </c>
      <c r="AH170" s="31">
        <f t="shared" si="142"/>
        <v>2.0826387554465698E-3</v>
      </c>
      <c r="AI170" s="31">
        <f t="shared" si="143"/>
        <v>1.5707963267948966</v>
      </c>
      <c r="AJ170" s="31" t="str">
        <f t="shared" si="129"/>
        <v>1+0.00673427428480299i</v>
      </c>
      <c r="AK170" s="31">
        <f t="shared" si="144"/>
        <v>1.0000226749679944</v>
      </c>
      <c r="AL170" s="31">
        <f t="shared" si="145"/>
        <v>6.7341724867828606E-3</v>
      </c>
      <c r="AM170" s="31" t="str">
        <f t="shared" si="130"/>
        <v>1+6.7410085590878i</v>
      </c>
      <c r="AN170" s="31">
        <f t="shared" si="146"/>
        <v>6.8147777948877373</v>
      </c>
      <c r="AO170" s="31">
        <f t="shared" si="147"/>
        <v>1.423524614605316</v>
      </c>
      <c r="AP170" s="58" t="str">
        <f t="shared" si="148"/>
        <v>-0.00431117742890452+0.000669246096785674i</v>
      </c>
      <c r="AQ170" s="49">
        <f t="shared" si="149"/>
        <v>-47.204667141850798</v>
      </c>
      <c r="AR170" s="61">
        <f t="shared" si="150"/>
        <v>171.17611278786592</v>
      </c>
      <c r="AS170" s="58" t="str">
        <f t="shared" si="151"/>
        <v>0.771573988265132+2.11405478016659i</v>
      </c>
      <c r="AT170" s="64">
        <f t="shared" si="152"/>
        <v>7.0454120891202043</v>
      </c>
      <c r="AU170" s="61">
        <f t="shared" si="153"/>
        <v>69.949257321936997</v>
      </c>
    </row>
    <row r="171" spans="14:47" x14ac:dyDescent="0.3">
      <c r="N171" s="10">
        <v>53</v>
      </c>
      <c r="O171" s="50">
        <f t="shared" si="121"/>
        <v>338.84415613920277</v>
      </c>
      <c r="P171" s="48" t="str">
        <f t="shared" si="122"/>
        <v>51201.9230769231</v>
      </c>
      <c r="Q171" s="17" t="str">
        <f t="shared" si="123"/>
        <v>1+99.4907714339294i</v>
      </c>
      <c r="R171" s="17">
        <f t="shared" si="131"/>
        <v>99.495796898755387</v>
      </c>
      <c r="S171" s="17">
        <f t="shared" si="132"/>
        <v>1.5607454817547084</v>
      </c>
      <c r="T171" s="17" t="str">
        <f t="shared" si="124"/>
        <v>1+6.38706186983251E-09i</v>
      </c>
      <c r="U171" s="17">
        <f t="shared" si="133"/>
        <v>1</v>
      </c>
      <c r="V171" s="17">
        <f t="shared" si="134"/>
        <v>6.3870618698325099E-9</v>
      </c>
      <c r="W171" s="31" t="str">
        <f t="shared" si="125"/>
        <v>1-0.00344901340970955i</v>
      </c>
      <c r="X171" s="17">
        <f t="shared" si="135"/>
        <v>1.0000059478290619</v>
      </c>
      <c r="Y171" s="17">
        <f t="shared" si="136"/>
        <v>-3.4489997336716945E-3</v>
      </c>
      <c r="Z171" s="31" t="str">
        <f t="shared" si="126"/>
        <v>0.99995407385514+0.210471233317968i</v>
      </c>
      <c r="AA171" s="17">
        <f t="shared" si="137"/>
        <v>1.0218641249568736</v>
      </c>
      <c r="AB171" s="17">
        <f t="shared" si="138"/>
        <v>0.20745273760691157</v>
      </c>
      <c r="AC171" s="66" t="str">
        <f t="shared" si="139"/>
        <v>-100.471017175766-493.482181229253i</v>
      </c>
      <c r="AD171" s="64">
        <f t="shared" si="140"/>
        <v>54.041819373441783</v>
      </c>
      <c r="AE171" s="61">
        <f t="shared" si="141"/>
        <v>-101.50790807429759</v>
      </c>
      <c r="AF171" s="31" t="str">
        <f t="shared" si="127"/>
        <v>-1.33333333333333E-06</v>
      </c>
      <c r="AG171" s="31" t="str">
        <f t="shared" si="128"/>
        <v>0.00213114964390078i</v>
      </c>
      <c r="AH171" s="31">
        <f t="shared" si="142"/>
        <v>2.1311496439007801E-3</v>
      </c>
      <c r="AI171" s="31">
        <f t="shared" si="143"/>
        <v>1.5707963267948966</v>
      </c>
      <c r="AJ171" s="31" t="str">
        <f t="shared" si="129"/>
        <v>1+0.00689113568373536i</v>
      </c>
      <c r="AK171" s="31">
        <f t="shared" si="144"/>
        <v>1.0000237435936268</v>
      </c>
      <c r="AL171" s="31">
        <f t="shared" si="145"/>
        <v>6.8910266053314297E-3</v>
      </c>
      <c r="AM171" s="31" t="str">
        <f t="shared" si="130"/>
        <v>1+6.8980268194191i</v>
      </c>
      <c r="AN171" s="31">
        <f t="shared" si="146"/>
        <v>6.970134432091335</v>
      </c>
      <c r="AO171" s="31">
        <f t="shared" si="147"/>
        <v>1.426830273963078</v>
      </c>
      <c r="AP171" s="58" t="str">
        <f t="shared" si="148"/>
        <v>-0.00431116821505879+0.000655349253413574i</v>
      </c>
      <c r="AQ171" s="49">
        <f t="shared" si="149"/>
        <v>-47.20888732914996</v>
      </c>
      <c r="AR171" s="61">
        <f t="shared" si="150"/>
        <v>171.35652603858151</v>
      </c>
      <c r="AS171" s="58" t="str">
        <f t="shared" si="151"/>
        <v>0.756550634824281+2.0616410883176i</v>
      </c>
      <c r="AT171" s="64">
        <f t="shared" si="152"/>
        <v>6.8329320442918426</v>
      </c>
      <c r="AU171" s="61">
        <f t="shared" si="153"/>
        <v>69.848617964283946</v>
      </c>
    </row>
    <row r="172" spans="14:47" x14ac:dyDescent="0.3">
      <c r="N172" s="10">
        <v>54</v>
      </c>
      <c r="O172" s="50">
        <f t="shared" si="121"/>
        <v>346.73685045253183</v>
      </c>
      <c r="P172" s="48" t="str">
        <f t="shared" si="122"/>
        <v>51201.9230769231</v>
      </c>
      <c r="Q172" s="17" t="str">
        <f t="shared" si="123"/>
        <v>1+101.808209204946i</v>
      </c>
      <c r="R172" s="17">
        <f t="shared" si="131"/>
        <v>101.81312028180874</v>
      </c>
      <c r="S172" s="17">
        <f t="shared" si="132"/>
        <v>1.5609742520340819</v>
      </c>
      <c r="T172" s="17" t="str">
        <f t="shared" si="124"/>
        <v>1+6.53583565266322E-09i</v>
      </c>
      <c r="U172" s="17">
        <f t="shared" si="133"/>
        <v>1</v>
      </c>
      <c r="V172" s="17">
        <f t="shared" si="134"/>
        <v>6.53583565266322E-9</v>
      </c>
      <c r="W172" s="31" t="str">
        <f t="shared" si="125"/>
        <v>1-0.00352935125243813i</v>
      </c>
      <c r="X172" s="17">
        <f t="shared" si="135"/>
        <v>1.0000062281407367</v>
      </c>
      <c r="Y172" s="17">
        <f t="shared" si="136"/>
        <v>-3.5293365983044781E-3</v>
      </c>
      <c r="Z172" s="31" t="str">
        <f t="shared" si="126"/>
        <v>0.999951909422615+0.215373738130964i</v>
      </c>
      <c r="AA172" s="17">
        <f t="shared" si="137"/>
        <v>1.0228830178639388</v>
      </c>
      <c r="AB172" s="17">
        <f t="shared" si="138"/>
        <v>0.21214325671924472</v>
      </c>
      <c r="AC172" s="66" t="str">
        <f t="shared" si="139"/>
        <v>-100.493901091676-481.273602793187i</v>
      </c>
      <c r="AD172" s="64">
        <f t="shared" si="140"/>
        <v>53.833185234010024</v>
      </c>
      <c r="AE172" s="61">
        <f t="shared" si="141"/>
        <v>-101.79436554940452</v>
      </c>
      <c r="AF172" s="31" t="str">
        <f t="shared" si="127"/>
        <v>-1.33333333333333E-06</v>
      </c>
      <c r="AG172" s="31" t="str">
        <f t="shared" si="128"/>
        <v>0.0021807904961053i</v>
      </c>
      <c r="AH172" s="31">
        <f t="shared" si="142"/>
        <v>2.1807904961052998E-3</v>
      </c>
      <c r="AI172" s="31">
        <f t="shared" si="143"/>
        <v>1.5707963267948966</v>
      </c>
      <c r="AJ172" s="31" t="str">
        <f t="shared" si="129"/>
        <v>1+0.00705165085402223i</v>
      </c>
      <c r="AK172" s="31">
        <f t="shared" si="144"/>
        <v>1.0000248625808097</v>
      </c>
      <c r="AL172" s="31">
        <f t="shared" si="145"/>
        <v>7.051533974563577E-3</v>
      </c>
      <c r="AM172" s="31" t="str">
        <f t="shared" si="130"/>
        <v>1+7.05870250487627i</v>
      </c>
      <c r="AN172" s="31">
        <f t="shared" si="146"/>
        <v>7.1291851604756724</v>
      </c>
      <c r="AO172" s="31">
        <f t="shared" si="147"/>
        <v>1.4300637516569663</v>
      </c>
      <c r="AP172" s="58" t="str">
        <f t="shared" si="148"/>
        <v>-0.00431115856702011+0.000641799878904168i</v>
      </c>
      <c r="AQ172" s="49">
        <f t="shared" si="149"/>
        <v>-47.212922246858227</v>
      </c>
      <c r="AR172" s="61">
        <f t="shared" si="150"/>
        <v>171.53259426875326</v>
      </c>
      <c r="AS172" s="58" t="str">
        <f t="shared" si="151"/>
        <v>0.742126482617091+2.01034984221124i</v>
      </c>
      <c r="AT172" s="64">
        <f t="shared" si="152"/>
        <v>6.6202629871518104</v>
      </c>
      <c r="AU172" s="61">
        <f t="shared" si="153"/>
        <v>69.738228719348754</v>
      </c>
    </row>
    <row r="173" spans="14:47" x14ac:dyDescent="0.3">
      <c r="N173" s="10">
        <v>55</v>
      </c>
      <c r="O173" s="50">
        <f t="shared" si="121"/>
        <v>354.81338923357566</v>
      </c>
      <c r="P173" s="48" t="str">
        <f t="shared" si="122"/>
        <v>51201.9230769231</v>
      </c>
      <c r="Q173" s="17" t="str">
        <f t="shared" si="123"/>
        <v>1+104.179627036074i</v>
      </c>
      <c r="R173" s="17">
        <f t="shared" si="131"/>
        <v>104.18442632838884</v>
      </c>
      <c r="S173" s="17">
        <f t="shared" si="132"/>
        <v>1.5611978158596023</v>
      </c>
      <c r="T173" s="17" t="str">
        <f t="shared" si="124"/>
        <v>1+6.68807482206898E-09i</v>
      </c>
      <c r="U173" s="17">
        <f t="shared" si="133"/>
        <v>1</v>
      </c>
      <c r="V173" s="17">
        <f t="shared" si="134"/>
        <v>6.6880748220689801E-9</v>
      </c>
      <c r="W173" s="31" t="str">
        <f t="shared" si="125"/>
        <v>1-0.00361156040391724i</v>
      </c>
      <c r="X173" s="17">
        <f t="shared" si="135"/>
        <v>1.0000065216630096</v>
      </c>
      <c r="Y173" s="17">
        <f t="shared" si="136"/>
        <v>-3.6115447017356613E-3</v>
      </c>
      <c r="Z173" s="31" t="str">
        <f t="shared" si="126"/>
        <v>0.999949642983528+0.220390436950726i</v>
      </c>
      <c r="AA173" s="17">
        <f t="shared" si="137"/>
        <v>1.0239488430591721</v>
      </c>
      <c r="AB173" s="17">
        <f t="shared" si="138"/>
        <v>0.2169332712718145</v>
      </c>
      <c r="AC173" s="66" t="str">
        <f t="shared" si="139"/>
        <v>-100.497269295451-469.324066004154i</v>
      </c>
      <c r="AD173" s="64">
        <f t="shared" si="140"/>
        <v>53.624160815568267</v>
      </c>
      <c r="AE173" s="61">
        <f t="shared" si="141"/>
        <v>-102.08633259937285</v>
      </c>
      <c r="AF173" s="31" t="str">
        <f t="shared" si="127"/>
        <v>-1.33333333333333E-06</v>
      </c>
      <c r="AG173" s="31" t="str">
        <f t="shared" si="128"/>
        <v>0.00223158763229702i</v>
      </c>
      <c r="AH173" s="31">
        <f t="shared" si="142"/>
        <v>2.23158763229702E-3</v>
      </c>
      <c r="AI173" s="31">
        <f t="shared" si="143"/>
        <v>1.5707963267948966</v>
      </c>
      <c r="AJ173" s="31" t="str">
        <f t="shared" si="129"/>
        <v>1+0.00721590490293155i</v>
      </c>
      <c r="AK173" s="31">
        <f t="shared" si="144"/>
        <v>1.0000260343028917</v>
      </c>
      <c r="AL173" s="31">
        <f t="shared" si="145"/>
        <v>7.2157796645113082E-3</v>
      </c>
      <c r="AM173" s="31" t="str">
        <f t="shared" si="130"/>
        <v>1+7.22312080783449i</v>
      </c>
      <c r="AN173" s="31">
        <f t="shared" si="146"/>
        <v>7.2920144133546234</v>
      </c>
      <c r="AO173" s="31">
        <f t="shared" si="147"/>
        <v>1.4332264915205735</v>
      </c>
      <c r="AP173" s="58" t="str">
        <f t="shared" si="148"/>
        <v>-0.00431114846432966+0.000628590788771673i</v>
      </c>
      <c r="AQ173" s="49">
        <f t="shared" si="149"/>
        <v>-47.216779944564607</v>
      </c>
      <c r="AR173" s="61">
        <f t="shared" si="150"/>
        <v>171.7043953297985</v>
      </c>
      <c r="AS173" s="58" t="str">
        <f t="shared" si="151"/>
        <v>0.728271433031488+1.96015406865093i</v>
      </c>
      <c r="AT173" s="64">
        <f t="shared" si="152"/>
        <v>6.4073808710036397</v>
      </c>
      <c r="AU173" s="61">
        <f t="shared" si="153"/>
        <v>69.618062730425606</v>
      </c>
    </row>
    <row r="174" spans="14:47" x14ac:dyDescent="0.3">
      <c r="N174" s="10">
        <v>56</v>
      </c>
      <c r="O174" s="50">
        <f t="shared" si="121"/>
        <v>363.07805477010152</v>
      </c>
      <c r="P174" s="48" t="str">
        <f t="shared" si="122"/>
        <v>51201.9230769231</v>
      </c>
      <c r="Q174" s="17" t="str">
        <f t="shared" si="123"/>
        <v>1+106.606282284438i</v>
      </c>
      <c r="R174" s="17">
        <f t="shared" si="131"/>
        <v>106.61097233638419</v>
      </c>
      <c r="S174" s="17">
        <f t="shared" si="132"/>
        <v>1.5614162916783263</v>
      </c>
      <c r="T174" s="17" t="str">
        <f t="shared" si="124"/>
        <v>1+6.84386009727256E-09i</v>
      </c>
      <c r="U174" s="17">
        <f t="shared" si="133"/>
        <v>1</v>
      </c>
      <c r="V174" s="17">
        <f t="shared" si="134"/>
        <v>6.8438600972725597E-9</v>
      </c>
      <c r="W174" s="31" t="str">
        <f t="shared" si="125"/>
        <v>1-0.00369568445252718i</v>
      </c>
      <c r="X174" s="17">
        <f t="shared" si="135"/>
        <v>1.0000068290184685</v>
      </c>
      <c r="Y174" s="17">
        <f t="shared" si="136"/>
        <v>-3.6956676273426897E-3</v>
      </c>
      <c r="Z174" s="31" t="str">
        <f t="shared" si="126"/>
        <v>0.999947269730458+0.225523989697372i</v>
      </c>
      <c r="AA174" s="17">
        <f t="shared" si="137"/>
        <v>1.0250637112738006</v>
      </c>
      <c r="AB174" s="17">
        <f t="shared" si="138"/>
        <v>0.22182444422863098</v>
      </c>
      <c r="AC174" s="66" t="str">
        <f t="shared" si="139"/>
        <v>-100.481249328097-457.627512745631i</v>
      </c>
      <c r="AD174" s="64">
        <f t="shared" si="140"/>
        <v>53.414729502991747</v>
      </c>
      <c r="AE174" s="61">
        <f t="shared" si="141"/>
        <v>-102.38391378867726</v>
      </c>
      <c r="AF174" s="31" t="str">
        <f t="shared" si="127"/>
        <v>-1.33333333333333E-06</v>
      </c>
      <c r="AG174" s="31" t="str">
        <f t="shared" si="128"/>
        <v>0.00228356798578994i</v>
      </c>
      <c r="AH174" s="31">
        <f t="shared" si="142"/>
        <v>2.2835679857899399E-3</v>
      </c>
      <c r="AI174" s="31">
        <f t="shared" si="143"/>
        <v>1.5707963267948966</v>
      </c>
      <c r="AJ174" s="31" t="str">
        <f t="shared" si="129"/>
        <v>1+0.00738398492013421i</v>
      </c>
      <c r="AK174" s="31">
        <f t="shared" si="144"/>
        <v>1.0000272612450627</v>
      </c>
      <c r="AL174" s="31">
        <f t="shared" si="145"/>
        <v>7.3838507249467389E-3</v>
      </c>
      <c r="AM174" s="31" t="str">
        <f t="shared" si="130"/>
        <v>1+7.39136890505435i</v>
      </c>
      <c r="AN174" s="31">
        <f t="shared" si="146"/>
        <v>7.4587086208407634</v>
      </c>
      <c r="AO174" s="31">
        <f t="shared" si="147"/>
        <v>1.4363199172545489</v>
      </c>
      <c r="AP174" s="58" t="str">
        <f t="shared" si="148"/>
        <v>-0.00431113788556484+0.000615714978922974i</v>
      </c>
      <c r="AQ174" s="49">
        <f t="shared" si="149"/>
        <v>-47.220468139615015</v>
      </c>
      <c r="AR174" s="61">
        <f t="shared" si="150"/>
        <v>171.87200580617125</v>
      </c>
      <c r="AS174" s="58" t="str">
        <f t="shared" si="151"/>
        <v>0.714956635131995+1.91102749736229i</v>
      </c>
      <c r="AT174" s="64">
        <f t="shared" si="152"/>
        <v>6.1942613633767145</v>
      </c>
      <c r="AU174" s="61">
        <f t="shared" si="153"/>
        <v>69.488092017493912</v>
      </c>
    </row>
    <row r="175" spans="14:47" x14ac:dyDescent="0.3">
      <c r="N175" s="10">
        <v>57</v>
      </c>
      <c r="O175" s="50">
        <f t="shared" si="121"/>
        <v>371.53522909717265</v>
      </c>
      <c r="P175" s="48" t="str">
        <f t="shared" si="122"/>
        <v>51201.9230769231</v>
      </c>
      <c r="Q175" s="17" t="str">
        <f t="shared" si="123"/>
        <v>1+109.089461594769i</v>
      </c>
      <c r="R175" s="17">
        <f t="shared" si="131"/>
        <v>109.09404489263648</v>
      </c>
      <c r="S175" s="17">
        <f t="shared" si="132"/>
        <v>1.5616297952455511</v>
      </c>
      <c r="T175" s="17" t="str">
        <f t="shared" si="124"/>
        <v>1+7.00327407768889E-09i</v>
      </c>
      <c r="U175" s="17">
        <f t="shared" si="133"/>
        <v>1</v>
      </c>
      <c r="V175" s="17">
        <f t="shared" si="134"/>
        <v>7.0032740776888904E-9</v>
      </c>
      <c r="W175" s="31" t="str">
        <f t="shared" si="125"/>
        <v>1-0.00378176800195199i</v>
      </c>
      <c r="X175" s="17">
        <f t="shared" si="135"/>
        <v>1.0000071508590429</v>
      </c>
      <c r="Y175" s="17">
        <f t="shared" si="136"/>
        <v>-3.7817499734489565E-3</v>
      </c>
      <c r="Z175" s="31" t="str">
        <f t="shared" si="126"/>
        <v>0.999944784629416+0.230777118248518i</v>
      </c>
      <c r="AA175" s="17">
        <f t="shared" si="137"/>
        <v>1.0262298234872438</v>
      </c>
      <c r="AB175" s="17">
        <f t="shared" si="138"/>
        <v>0.22681843547076522</v>
      </c>
      <c r="AC175" s="66" t="str">
        <f t="shared" si="139"/>
        <v>-100.445938147416-446.178033935148i</v>
      </c>
      <c r="AD175" s="64">
        <f t="shared" si="140"/>
        <v>53.204874046227204</v>
      </c>
      <c r="AE175" s="61">
        <f t="shared" si="141"/>
        <v>-102.68721340907854</v>
      </c>
      <c r="AF175" s="31" t="str">
        <f t="shared" si="127"/>
        <v>-1.33333333333333E-06</v>
      </c>
      <c r="AG175" s="31" t="str">
        <f t="shared" si="128"/>
        <v>0.00233675911725552i</v>
      </c>
      <c r="AH175" s="31">
        <f t="shared" si="142"/>
        <v>2.3367591172555198E-3</v>
      </c>
      <c r="AI175" s="31">
        <f t="shared" si="143"/>
        <v>1.5707963267948966</v>
      </c>
      <c r="AJ175" s="31" t="str">
        <f t="shared" si="129"/>
        <v>1+0.0075559800238801i</v>
      </c>
      <c r="AK175" s="31">
        <f t="shared" si="144"/>
        <v>1.0000285460096232</v>
      </c>
      <c r="AL175" s="31">
        <f t="shared" si="145"/>
        <v>7.5558362313677381E-3</v>
      </c>
      <c r="AM175" s="31" t="str">
        <f t="shared" si="130"/>
        <v>1+7.56353600390399i</v>
      </c>
      <c r="AN175" s="31">
        <f t="shared" si="146"/>
        <v>7.6293562560908068</v>
      </c>
      <c r="AO175" s="31">
        <f t="shared" si="147"/>
        <v>1.4393454320945276</v>
      </c>
      <c r="AP175" s="58" t="str">
        <f t="shared" si="148"/>
        <v>-0.00431112680829383+0.000603165621941775i</v>
      </c>
      <c r="AQ175" s="49">
        <f t="shared" si="149"/>
        <v>-47.223994229781511</v>
      </c>
      <c r="AR175" s="61">
        <f t="shared" si="150"/>
        <v>172.03550099370085</v>
      </c>
      <c r="AS175" s="58" t="str">
        <f t="shared" si="151"/>
        <v>0.702154428066801+1.86294454661544i</v>
      </c>
      <c r="AT175" s="64">
        <f t="shared" si="152"/>
        <v>5.9808798164456887</v>
      </c>
      <c r="AU175" s="61">
        <f t="shared" si="153"/>
        <v>69.348287584622312</v>
      </c>
    </row>
    <row r="176" spans="14:47" x14ac:dyDescent="0.3">
      <c r="N176" s="10">
        <v>58</v>
      </c>
      <c r="O176" s="50">
        <f t="shared" si="121"/>
        <v>380.18939632056163</v>
      </c>
      <c r="P176" s="48" t="str">
        <f t="shared" si="122"/>
        <v>51201.9230769231</v>
      </c>
      <c r="Q176" s="17" t="str">
        <f t="shared" si="123"/>
        <v>1+111.630481581608i</v>
      </c>
      <c r="R176" s="17">
        <f t="shared" si="131"/>
        <v>111.63496055511339</v>
      </c>
      <c r="S176" s="17">
        <f t="shared" si="132"/>
        <v>1.5618384396857914</v>
      </c>
      <c r="T176" s="17" t="str">
        <f t="shared" si="124"/>
        <v>1+7.1664012867205E-09i</v>
      </c>
      <c r="U176" s="17">
        <f t="shared" si="133"/>
        <v>1</v>
      </c>
      <c r="V176" s="17">
        <f t="shared" si="134"/>
        <v>7.1664012867205003E-9</v>
      </c>
      <c r="W176" s="31" t="str">
        <f t="shared" si="125"/>
        <v>1-0.00386985669482906i</v>
      </c>
      <c r="X176" s="17">
        <f t="shared" si="135"/>
        <v>1.0000074878673852</v>
      </c>
      <c r="Y176" s="17">
        <f t="shared" si="136"/>
        <v>-3.8698373769478277E-3</v>
      </c>
      <c r="Z176" s="31" t="str">
        <f t="shared" si="126"/>
        <v>0.99994218240917+0.236152607882455i</v>
      </c>
      <c r="AA176" s="17">
        <f t="shared" si="137"/>
        <v>1.0274494743640188</v>
      </c>
      <c r="AB176" s="17">
        <f t="shared" si="138"/>
        <v>0.23191689929219986</v>
      </c>
      <c r="AC176" s="66" t="str">
        <f t="shared" si="139"/>
        <v>-100.391403193923-434.969867252538i</v>
      </c>
      <c r="AD176" s="64">
        <f t="shared" si="140"/>
        <v>52.99457654354164</v>
      </c>
      <c r="AE176" s="61">
        <f t="shared" si="141"/>
        <v>-102.99633534099377</v>
      </c>
      <c r="AF176" s="31" t="str">
        <f t="shared" si="127"/>
        <v>-1.33333333333333E-06</v>
      </c>
      <c r="AG176" s="31" t="str">
        <f t="shared" si="128"/>
        <v>0.00239118922933574i</v>
      </c>
      <c r="AH176" s="31">
        <f t="shared" si="142"/>
        <v>2.3911892293357398E-3</v>
      </c>
      <c r="AI176" s="31">
        <f t="shared" si="143"/>
        <v>1.5707963267948966</v>
      </c>
      <c r="AJ176" s="31" t="str">
        <f t="shared" si="129"/>
        <v>1+0.00773198140824987i</v>
      </c>
      <c r="AK176" s="31">
        <f t="shared" si="144"/>
        <v>1.0000298913215031</v>
      </c>
      <c r="AL176" s="31">
        <f t="shared" si="145"/>
        <v>7.7318273320456585E-3</v>
      </c>
      <c r="AM176" s="31" t="str">
        <f t="shared" si="130"/>
        <v>1+7.73971338965813i</v>
      </c>
      <c r="AN176" s="31">
        <f t="shared" si="146"/>
        <v>7.8040478826089572</v>
      </c>
      <c r="AO176" s="31">
        <f t="shared" si="147"/>
        <v>1.4423044185331784</v>
      </c>
      <c r="AP176" s="58" t="str">
        <f t="shared" si="148"/>
        <v>-0.00431111520902811+0.000590936063466263i</v>
      </c>
      <c r="AQ176" s="49">
        <f t="shared" si="149"/>
        <v>-47.227365305561321</v>
      </c>
      <c r="AR176" s="61">
        <f t="shared" si="150"/>
        <v>172.19495488097127</v>
      </c>
      <c r="AS176" s="58" t="str">
        <f t="shared" si="151"/>
        <v>0.689838286245652+1.81588030957208i</v>
      </c>
      <c r="AT176" s="64">
        <f t="shared" si="152"/>
        <v>5.7672112379803098</v>
      </c>
      <c r="AU176" s="61">
        <f t="shared" si="153"/>
        <v>69.198619539977457</v>
      </c>
    </row>
    <row r="177" spans="14:47" x14ac:dyDescent="0.3">
      <c r="N177" s="10">
        <v>59</v>
      </c>
      <c r="O177" s="50">
        <f t="shared" si="121"/>
        <v>389.04514499428063</v>
      </c>
      <c r="P177" s="48" t="str">
        <f t="shared" si="122"/>
        <v>51201.9230769231</v>
      </c>
      <c r="Q177" s="17" t="str">
        <f t="shared" si="123"/>
        <v>1+114.230689527385i</v>
      </c>
      <c r="R177" s="17">
        <f t="shared" si="131"/>
        <v>114.23506655095809</v>
      </c>
      <c r="S177" s="17">
        <f t="shared" si="132"/>
        <v>1.5620423355523867</v>
      </c>
      <c r="T177" s="17" t="str">
        <f t="shared" si="124"/>
        <v>1+7.33332821657287E-09i</v>
      </c>
      <c r="U177" s="17">
        <f t="shared" si="133"/>
        <v>1</v>
      </c>
      <c r="V177" s="17">
        <f t="shared" si="134"/>
        <v>7.3333282165728702E-9</v>
      </c>
      <c r="W177" s="31" t="str">
        <f t="shared" si="125"/>
        <v>1-0.00395999723694934i</v>
      </c>
      <c r="X177" s="17">
        <f t="shared" si="135"/>
        <v>1.0000078407583195</v>
      </c>
      <c r="Y177" s="17">
        <f t="shared" si="136"/>
        <v>-3.9599765374754292E-3</v>
      </c>
      <c r="Z177" s="31" t="str">
        <f t="shared" si="126"/>
        <v>0.999939457550063+0.241653308754941i</v>
      </c>
      <c r="AA177" s="17">
        <f t="shared" si="137"/>
        <v>1.0287250557839664</v>
      </c>
      <c r="AB177" s="17">
        <f t="shared" si="138"/>
        <v>0.23712148172326145</v>
      </c>
      <c r="AC177" s="66" t="str">
        <f t="shared" si="139"/>
        <v>-100.317683457571-423.997394965467i</v>
      </c>
      <c r="AD177" s="64">
        <f t="shared" si="140"/>
        <v>52.783818425010587</v>
      </c>
      <c r="AE177" s="61">
        <f t="shared" si="141"/>
        <v>-103.31138290494039</v>
      </c>
      <c r="AF177" s="31" t="str">
        <f t="shared" si="127"/>
        <v>-1.33333333333333E-06</v>
      </c>
      <c r="AG177" s="31" t="str">
        <f t="shared" si="128"/>
        <v>0.00244688718159647i</v>
      </c>
      <c r="AH177" s="31">
        <f t="shared" si="142"/>
        <v>2.4468871815964701E-3</v>
      </c>
      <c r="AI177" s="31">
        <f t="shared" si="143"/>
        <v>1.5707963267948966</v>
      </c>
      <c r="AJ177" s="31" t="str">
        <f t="shared" si="129"/>
        <v>1+0.00791208239150717i</v>
      </c>
      <c r="AK177" s="31">
        <f t="shared" si="144"/>
        <v>1.0000313000340388</v>
      </c>
      <c r="AL177" s="31">
        <f t="shared" si="145"/>
        <v>7.9119172961589594E-3</v>
      </c>
      <c r="AM177" s="31" t="str">
        <f t="shared" si="130"/>
        <v>1+7.91999447389869i</v>
      </c>
      <c r="AN177" s="31">
        <f t="shared" si="146"/>
        <v>7.9828762026343485</v>
      </c>
      <c r="AO177" s="31">
        <f t="shared" si="147"/>
        <v>1.4451982380926562</v>
      </c>
      <c r="AP177" s="58" t="str">
        <f t="shared" si="148"/>
        <v>-0.00431110306317278+0.000579019818658379i</v>
      </c>
      <c r="AQ177" s="49">
        <f t="shared" si="149"/>
        <v>-47.230588162106919</v>
      </c>
      <c r="AR177" s="61">
        <f t="shared" si="150"/>
        <v>172.35044013352541</v>
      </c>
      <c r="AS177" s="58" t="str">
        <f t="shared" si="151"/>
        <v>0.677982767188861+1.76981054132907i</v>
      </c>
      <c r="AT177" s="64">
        <f t="shared" si="152"/>
        <v>5.5532302629036598</v>
      </c>
      <c r="AU177" s="61">
        <f t="shared" si="153"/>
        <v>69.039057228585008</v>
      </c>
    </row>
    <row r="178" spans="14:47" x14ac:dyDescent="0.3">
      <c r="N178" s="10">
        <v>60</v>
      </c>
      <c r="O178" s="50">
        <f t="shared" si="121"/>
        <v>398.10717055349761</v>
      </c>
      <c r="P178" s="48" t="str">
        <f t="shared" si="122"/>
        <v>51201.9230769231</v>
      </c>
      <c r="Q178" s="17" t="str">
        <f t="shared" si="123"/>
        <v>1+116.891464096771i</v>
      </c>
      <c r="R178" s="17">
        <f t="shared" si="131"/>
        <v>116.89574149081182</v>
      </c>
      <c r="S178" s="17">
        <f t="shared" si="132"/>
        <v>1.5622415908857719</v>
      </c>
      <c r="T178" s="17" t="str">
        <f t="shared" si="124"/>
        <v>1+7.50414337411372E-09i</v>
      </c>
      <c r="U178" s="17">
        <f t="shared" si="133"/>
        <v>1</v>
      </c>
      <c r="V178" s="17">
        <f t="shared" si="134"/>
        <v>7.5041433741137202E-9</v>
      </c>
      <c r="W178" s="31" t="str">
        <f t="shared" si="125"/>
        <v>1-0.0040522374220214i</v>
      </c>
      <c r="X178" s="17">
        <f t="shared" si="135"/>
        <v>1.0000082102803578</v>
      </c>
      <c r="Y178" s="17">
        <f t="shared" si="136"/>
        <v>-4.0522152421453312E-3</v>
      </c>
      <c r="Z178" s="31" t="str">
        <f t="shared" si="126"/>
        <v>0.999936604272302+0.247282137410388i</v>
      </c>
      <c r="AA178" s="17">
        <f t="shared" si="137"/>
        <v>1.0300590604649194</v>
      </c>
      <c r="AB178" s="17">
        <f t="shared" si="138"/>
        <v>0.24243381767546185</v>
      </c>
      <c r="AC178" s="66" t="str">
        <f t="shared" si="139"/>
        <v>-100.22479055112-413.255141849788i</v>
      </c>
      <c r="AD178" s="64">
        <f t="shared" si="140"/>
        <v>52.572580436326</v>
      </c>
      <c r="AE178" s="61">
        <f t="shared" si="141"/>
        <v>-103.63245870270403</v>
      </c>
      <c r="AF178" s="31" t="str">
        <f t="shared" si="127"/>
        <v>-1.33333333333333E-06</v>
      </c>
      <c r="AG178" s="31" t="str">
        <f t="shared" si="128"/>
        <v>0.00250388250582928i</v>
      </c>
      <c r="AH178" s="31">
        <f t="shared" si="142"/>
        <v>2.5038825058292802E-3</v>
      </c>
      <c r="AI178" s="31">
        <f t="shared" si="143"/>
        <v>1.5707963267948966</v>
      </c>
      <c r="AJ178" s="31" t="str">
        <f t="shared" si="129"/>
        <v>1+0.00809637846557722i</v>
      </c>
      <c r="AK178" s="31">
        <f t="shared" si="144"/>
        <v>1.0000327751350242</v>
      </c>
      <c r="AL178" s="31">
        <f t="shared" si="145"/>
        <v>8.096201563037541E-3</v>
      </c>
      <c r="AM178" s="31" t="str">
        <f t="shared" si="130"/>
        <v>1+8.10447484404281i</v>
      </c>
      <c r="AN178" s="31">
        <f t="shared" si="146"/>
        <v>8.1659361066397498</v>
      </c>
      <c r="AO178" s="31">
        <f t="shared" si="147"/>
        <v>1.4480282311439463</v>
      </c>
      <c r="AP178" s="58" t="str">
        <f t="shared" si="148"/>
        <v>-0.00431109034497423+0.000567410568762756i</v>
      </c>
      <c r="AQ178" s="49">
        <f t="shared" si="149"/>
        <v>-47.233669310790376</v>
      </c>
      <c r="AR178" s="61">
        <f t="shared" si="150"/>
        <v>172.5020280806929</v>
      </c>
      <c r="AS178" s="58" t="str">
        <f t="shared" si="151"/>
        <v>0.666563461953119+1.72471164662884i</v>
      </c>
      <c r="AT178" s="64">
        <f t="shared" si="152"/>
        <v>5.3389111255356392</v>
      </c>
      <c r="AU178" s="61">
        <f t="shared" si="153"/>
        <v>68.86956937798891</v>
      </c>
    </row>
    <row r="179" spans="14:47" x14ac:dyDescent="0.3">
      <c r="N179" s="10">
        <v>61</v>
      </c>
      <c r="O179" s="50">
        <f t="shared" si="121"/>
        <v>407.38027780411272</v>
      </c>
      <c r="P179" s="48" t="str">
        <f t="shared" si="122"/>
        <v>51201.9230769231</v>
      </c>
      <c r="Q179" s="17" t="str">
        <f t="shared" si="123"/>
        <v>1+119.614216067664i</v>
      </c>
      <c r="R179" s="17">
        <f t="shared" si="131"/>
        <v>119.61839609977142</v>
      </c>
      <c r="S179" s="17">
        <f t="shared" si="132"/>
        <v>1.5624363112704382</v>
      </c>
      <c r="T179" s="17" t="str">
        <f t="shared" si="124"/>
        <v>1+7.67893732780063E-09i</v>
      </c>
      <c r="U179" s="17">
        <f t="shared" si="133"/>
        <v>1</v>
      </c>
      <c r="V179" s="17">
        <f t="shared" si="134"/>
        <v>7.6789373278006308E-9</v>
      </c>
      <c r="W179" s="31" t="str">
        <f t="shared" si="125"/>
        <v>1-0.00414662615701233i</v>
      </c>
      <c r="X179" s="17">
        <f t="shared" si="135"/>
        <v>1.000008597217287</v>
      </c>
      <c r="Y179" s="17">
        <f t="shared" si="136"/>
        <v>-4.1466023908579694E-3</v>
      </c>
      <c r="Z179" s="31" t="str">
        <f t="shared" si="126"/>
        <v>0.999933616523702+0.253042078328257i</v>
      </c>
      <c r="AA179" s="17">
        <f t="shared" si="137"/>
        <v>1.0314540856765528</v>
      </c>
      <c r="AB179" s="17">
        <f t="shared" si="138"/>
        <v>0.24785552790182394</v>
      </c>
      <c r="AC179" s="66" t="str">
        <f t="shared" si="139"/>
        <v>-100.112709796081-402.737773202154i</v>
      </c>
      <c r="AD179" s="64">
        <f t="shared" si="140"/>
        <v>52.360842623014733</v>
      </c>
      <c r="AE179" s="61">
        <f t="shared" si="141"/>
        <v>-103.95966444789059</v>
      </c>
      <c r="AF179" s="31" t="str">
        <f t="shared" si="127"/>
        <v>-1.33333333333333E-06</v>
      </c>
      <c r="AG179" s="31" t="str">
        <f t="shared" si="128"/>
        <v>0.00256220542170947i</v>
      </c>
      <c r="AH179" s="31">
        <f t="shared" si="142"/>
        <v>2.56220542170947E-3</v>
      </c>
      <c r="AI179" s="31">
        <f t="shared" si="143"/>
        <v>1.5707963267948966</v>
      </c>
      <c r="AJ179" s="31" t="str">
        <f t="shared" si="129"/>
        <v>1+0.00828496734667798i</v>
      </c>
      <c r="AK179" s="31">
        <f t="shared" si="144"/>
        <v>1.000034319753045</v>
      </c>
      <c r="AL179" s="31">
        <f t="shared" si="145"/>
        <v>8.2847777925429082E-3</v>
      </c>
      <c r="AM179" s="31" t="str">
        <f t="shared" si="130"/>
        <v>1+8.29325231402467i</v>
      </c>
      <c r="AN179" s="31">
        <f t="shared" si="146"/>
        <v>8.3533247239692265</v>
      </c>
      <c r="AO179" s="31">
        <f t="shared" si="147"/>
        <v>1.4507957167697625</v>
      </c>
      <c r="AP179" s="58" t="str">
        <f t="shared" si="148"/>
        <v>-0.00431107702746591+0.000556102157753575i</v>
      </c>
      <c r="AQ179" s="49">
        <f t="shared" si="149"/>
        <v>-47.236614990403382</v>
      </c>
      <c r="AR179" s="61">
        <f t="shared" si="150"/>
        <v>172.64978870484811</v>
      </c>
      <c r="AS179" s="58" t="str">
        <f t="shared" si="151"/>
        <v>0.655556948045834+1.68056066820842i</v>
      </c>
      <c r="AT179" s="64">
        <f t="shared" si="152"/>
        <v>5.1242276326113325</v>
      </c>
      <c r="AU179" s="61">
        <f t="shared" si="153"/>
        <v>68.690124256957489</v>
      </c>
    </row>
    <row r="180" spans="14:47" x14ac:dyDescent="0.3">
      <c r="N180" s="10">
        <v>62</v>
      </c>
      <c r="O180" s="50">
        <f t="shared" si="121"/>
        <v>416.86938347033572</v>
      </c>
      <c r="P180" s="48" t="str">
        <f t="shared" si="122"/>
        <v>51201.9230769231</v>
      </c>
      <c r="Q180" s="17" t="str">
        <f t="shared" si="123"/>
        <v>1+122.400389079196i</v>
      </c>
      <c r="R180" s="17">
        <f t="shared" si="131"/>
        <v>122.40447396536845</v>
      </c>
      <c r="S180" s="17">
        <f t="shared" si="132"/>
        <v>1.5626265998906128</v>
      </c>
      <c r="T180" s="17" t="str">
        <f t="shared" si="124"/>
        <v>1+7.8578027557015E-09i</v>
      </c>
      <c r="U180" s="17">
        <f t="shared" si="133"/>
        <v>1</v>
      </c>
      <c r="V180" s="17">
        <f t="shared" si="134"/>
        <v>7.8578027557015003E-9</v>
      </c>
      <c r="W180" s="31" t="str">
        <f t="shared" si="125"/>
        <v>1-0.0042432134880788i</v>
      </c>
      <c r="X180" s="17">
        <f t="shared" si="135"/>
        <v>1.0000090023898311</v>
      </c>
      <c r="Y180" s="17">
        <f t="shared" si="136"/>
        <v>-4.2431880221979728E-3</v>
      </c>
      <c r="Z180" s="31" t="str">
        <f t="shared" si="126"/>
        <v>0.99993048796685+0.258936185505464i</v>
      </c>
      <c r="AA180" s="17">
        <f t="shared" si="137"/>
        <v>1.0329128370437377</v>
      </c>
      <c r="AB180" s="17">
        <f t="shared" si="138"/>
        <v>0.25338821576705278</v>
      </c>
      <c r="AC180" s="66" t="str">
        <f t="shared" si="139"/>
        <v>-99.9814013272808-392.440092941991i</v>
      </c>
      <c r="AD180" s="64">
        <f t="shared" si="140"/>
        <v>52.148584315166353</v>
      </c>
      <c r="AE180" s="61">
        <f t="shared" si="141"/>
        <v>-104.29310078554596</v>
      </c>
      <c r="AF180" s="31" t="str">
        <f t="shared" si="127"/>
        <v>-1.33333333333333E-06</v>
      </c>
      <c r="AG180" s="31" t="str">
        <f t="shared" si="128"/>
        <v>0.00262188685281906i</v>
      </c>
      <c r="AH180" s="31">
        <f t="shared" si="142"/>
        <v>2.6218868528190601E-3</v>
      </c>
      <c r="AI180" s="31">
        <f t="shared" si="143"/>
        <v>1.5707963267948966</v>
      </c>
      <c r="AJ180" s="31" t="str">
        <f t="shared" si="129"/>
        <v>1+0.00847794902713047i</v>
      </c>
      <c r="AK180" s="31">
        <f t="shared" si="144"/>
        <v>1.0000359371641134</v>
      </c>
      <c r="AL180" s="31">
        <f t="shared" si="145"/>
        <v>8.4777459166095592E-3</v>
      </c>
      <c r="AM180" s="31" t="str">
        <f t="shared" si="130"/>
        <v>1+8.48642697615761i</v>
      </c>
      <c r="AN180" s="31">
        <f t="shared" si="146"/>
        <v>8.5451414746425129</v>
      </c>
      <c r="AO180" s="31">
        <f t="shared" si="147"/>
        <v>1.4535019926678341</v>
      </c>
      <c r="AP180" s="58" t="str">
        <f t="shared" si="148"/>
        <v>-0.00431106308241092+0.000545088589067436i</v>
      </c>
      <c r="AQ180" s="49">
        <f t="shared" si="149"/>
        <v>-47.239431177999677</v>
      </c>
      <c r="AR180" s="61">
        <f t="shared" si="150"/>
        <v>172.79379063291603</v>
      </c>
      <c r="AS180" s="58" t="str">
        <f t="shared" si="151"/>
        <v>0.644940744744994+1.63733527575765i</v>
      </c>
      <c r="AT180" s="64">
        <f t="shared" si="152"/>
        <v>4.9091531371666566</v>
      </c>
      <c r="AU180" s="61">
        <f t="shared" si="153"/>
        <v>68.500689847369998</v>
      </c>
    </row>
    <row r="181" spans="14:47" x14ac:dyDescent="0.3">
      <c r="N181" s="10">
        <v>63</v>
      </c>
      <c r="O181" s="50">
        <f t="shared" si="121"/>
        <v>426.57951880159294</v>
      </c>
      <c r="P181" s="48" t="str">
        <f t="shared" si="122"/>
        <v>51201.9230769231</v>
      </c>
      <c r="Q181" s="17" t="str">
        <f t="shared" si="123"/>
        <v>1+125.251460397179i</v>
      </c>
      <c r="R181" s="17">
        <f t="shared" si="131"/>
        <v>125.25545230298799</v>
      </c>
      <c r="S181" s="17">
        <f t="shared" si="132"/>
        <v>1.562812557584687</v>
      </c>
      <c r="T181" s="17" t="str">
        <f t="shared" si="124"/>
        <v>1+8.04083449463374E-09i</v>
      </c>
      <c r="U181" s="17">
        <f t="shared" si="133"/>
        <v>1</v>
      </c>
      <c r="V181" s="17">
        <f t="shared" si="134"/>
        <v>8.0408344946337394E-9</v>
      </c>
      <c r="W181" s="31" t="str">
        <f t="shared" si="125"/>
        <v>1-0.00434205062710221i</v>
      </c>
      <c r="X181" s="17">
        <f t="shared" si="135"/>
        <v>1.0000094266573931</v>
      </c>
      <c r="Y181" s="17">
        <f t="shared" si="136"/>
        <v>-4.3420233399331714E-3</v>
      </c>
      <c r="Z181" s="31" t="str">
        <f t="shared" si="126"/>
        <v>0.999927211965656+0.26496758407565i</v>
      </c>
      <c r="AA181" s="17">
        <f t="shared" si="137"/>
        <v>1.0344381324372651</v>
      </c>
      <c r="AB181" s="17">
        <f t="shared" si="138"/>
        <v>0.2590334638223285</v>
      </c>
      <c r="AC181" s="66" t="str">
        <f t="shared" si="139"/>
        <v>-99.830801222056-382.357041799395i</v>
      </c>
      <c r="AD181" s="64">
        <f t="shared" si="140"/>
        <v>51.935784112773405</v>
      </c>
      <c r="AE181" s="61">
        <f t="shared" si="141"/>
        <v>-104.63286710054216</v>
      </c>
      <c r="AF181" s="31" t="str">
        <f t="shared" si="127"/>
        <v>-1.33333333333333E-06</v>
      </c>
      <c r="AG181" s="31" t="str">
        <f t="shared" si="128"/>
        <v>0.00268295844304279i</v>
      </c>
      <c r="AH181" s="31">
        <f t="shared" si="142"/>
        <v>2.68295844304279E-3</v>
      </c>
      <c r="AI181" s="31">
        <f t="shared" si="143"/>
        <v>1.5707963267948966</v>
      </c>
      <c r="AJ181" s="31" t="str">
        <f t="shared" si="129"/>
        <v>1+0.00867542582837604i</v>
      </c>
      <c r="AK181" s="31">
        <f t="shared" si="144"/>
        <v>1.0000376307986134</v>
      </c>
      <c r="AL181" s="31">
        <f t="shared" si="145"/>
        <v>8.6752081919740931E-3</v>
      </c>
      <c r="AM181" s="31" t="str">
        <f t="shared" si="130"/>
        <v>1+8.68410125420443i</v>
      </c>
      <c r="AN181" s="31">
        <f t="shared" si="146"/>
        <v>8.7414881223550811</v>
      </c>
      <c r="AO181" s="31">
        <f t="shared" si="147"/>
        <v>1.456148335091594</v>
      </c>
      <c r="AP181" s="58" t="str">
        <f t="shared" si="148"/>
        <v>-0.00431104848024244+0.000534364022420617i</v>
      </c>
      <c r="AQ181" s="49">
        <f t="shared" si="149"/>
        <v>-47.242123599382509</v>
      </c>
      <c r="AR181" s="61">
        <f t="shared" si="150"/>
        <v>172.93410112995247</v>
      </c>
      <c r="AS181" s="58" t="str">
        <f t="shared" si="151"/>
        <v>0.634693270746502+1.59501375545679i</v>
      </c>
      <c r="AT181" s="64">
        <f t="shared" si="152"/>
        <v>4.6936605133909062</v>
      </c>
      <c r="AU181" s="61">
        <f t="shared" si="153"/>
        <v>68.301234029410352</v>
      </c>
    </row>
    <row r="182" spans="14:47" x14ac:dyDescent="0.3">
      <c r="N182" s="10">
        <v>64</v>
      </c>
      <c r="O182" s="50">
        <f t="shared" si="121"/>
        <v>436.51583224016622</v>
      </c>
      <c r="P182" s="48" t="str">
        <f t="shared" si="122"/>
        <v>51201.9230769231</v>
      </c>
      <c r="Q182" s="17" t="str">
        <f t="shared" si="123"/>
        <v>1+128.168941697364i</v>
      </c>
      <c r="R182" s="17">
        <f t="shared" si="131"/>
        <v>128.17284273910093</v>
      </c>
      <c r="S182" s="17">
        <f t="shared" si="132"/>
        <v>1.5629942828984182</v>
      </c>
      <c r="T182" s="17" t="str">
        <f t="shared" si="124"/>
        <v>1+8.22812959044805E-09i</v>
      </c>
      <c r="U182" s="17">
        <f t="shared" si="133"/>
        <v>1</v>
      </c>
      <c r="V182" s="17">
        <f t="shared" si="134"/>
        <v>8.2281295904480501E-9</v>
      </c>
      <c r="W182" s="31" t="str">
        <f t="shared" si="125"/>
        <v>1-0.00444318997884194i</v>
      </c>
      <c r="X182" s="17">
        <f t="shared" si="135"/>
        <v>1.0000098709198766</v>
      </c>
      <c r="Y182" s="17">
        <f t="shared" si="136"/>
        <v>-4.4431607401291175E-3</v>
      </c>
      <c r="Z182" s="31" t="str">
        <f t="shared" si="126"/>
        <v>0.999923781571281+0.271139471966174i</v>
      </c>
      <c r="AA182" s="17">
        <f t="shared" si="137"/>
        <v>1.0360329059493751</v>
      </c>
      <c r="AB182" s="17">
        <f t="shared" si="138"/>
        <v>0.26479283017994532</v>
      </c>
      <c r="AC182" s="66" t="str">
        <f t="shared" si="139"/>
        <v>-99.6608226602314-372.48369558538i</v>
      </c>
      <c r="AD182" s="64">
        <f t="shared" si="140"/>
        <v>51.722419871800639</v>
      </c>
      <c r="AE182" s="61">
        <f t="shared" si="141"/>
        <v>-104.97906131446172</v>
      </c>
      <c r="AF182" s="31" t="str">
        <f t="shared" si="127"/>
        <v>-1.33333333333333E-06</v>
      </c>
      <c r="AG182" s="31" t="str">
        <f t="shared" si="128"/>
        <v>0.00274545257334617i</v>
      </c>
      <c r="AH182" s="31">
        <f t="shared" si="142"/>
        <v>2.7454525733461698E-3</v>
      </c>
      <c r="AI182" s="31">
        <f t="shared" si="143"/>
        <v>1.5707963267948966</v>
      </c>
      <c r="AJ182" s="31" t="str">
        <f t="shared" si="129"/>
        <v>1+0.00887750245522864i</v>
      </c>
      <c r="AK182" s="31">
        <f t="shared" si="144"/>
        <v>1.0000394042485738</v>
      </c>
      <c r="AL182" s="31">
        <f t="shared" si="145"/>
        <v>8.8772692541187036E-3</v>
      </c>
      <c r="AM182" s="31" t="str">
        <f t="shared" si="130"/>
        <v>1+8.88637995768388i</v>
      </c>
      <c r="AN182" s="31">
        <f t="shared" si="146"/>
        <v>8.9424688287030545</v>
      </c>
      <c r="AO182" s="31">
        <f t="shared" si="147"/>
        <v>1.4587359988254414</v>
      </c>
      <c r="AP182" s="58" t="str">
        <f t="shared" si="148"/>
        <v>-0.00431103319000098+0.000523922770708915i</v>
      </c>
      <c r="AQ182" s="49">
        <f t="shared" si="149"/>
        <v>-47.244697739244643</v>
      </c>
      <c r="AR182" s="61">
        <f t="shared" si="150"/>
        <v>173.07078609463616</v>
      </c>
      <c r="AS182" s="58" t="str">
        <f t="shared" si="151"/>
        <v>0.624793804066048+1.55357500006352i</v>
      </c>
      <c r="AT182" s="64">
        <f t="shared" si="152"/>
        <v>4.477722132556007</v>
      </c>
      <c r="AU182" s="61">
        <f t="shared" si="153"/>
        <v>68.091724780174459</v>
      </c>
    </row>
    <row r="183" spans="14:47" x14ac:dyDescent="0.3">
      <c r="N183" s="10">
        <v>65</v>
      </c>
      <c r="O183" s="50">
        <f t="shared" si="121"/>
        <v>446.68359215096331</v>
      </c>
      <c r="P183" s="48" t="str">
        <f t="shared" si="122"/>
        <v>51201.9230769231</v>
      </c>
      <c r="Q183" s="17" t="str">
        <f t="shared" si="123"/>
        <v>1+131.154379866953i</v>
      </c>
      <c r="R183" s="17">
        <f t="shared" si="131"/>
        <v>131.1581921127499</v>
      </c>
      <c r="S183" s="17">
        <f t="shared" si="132"/>
        <v>1.5631718721369352</v>
      </c>
      <c r="T183" s="17" t="str">
        <f t="shared" si="124"/>
        <v>1+8.4197873494834E-09i</v>
      </c>
      <c r="U183" s="17">
        <f t="shared" si="133"/>
        <v>1</v>
      </c>
      <c r="V183" s="17">
        <f t="shared" si="134"/>
        <v>8.4197873494834004E-9</v>
      </c>
      <c r="W183" s="31" t="str">
        <f t="shared" si="125"/>
        <v>1-0.00454668516872103i</v>
      </c>
      <c r="X183" s="17">
        <f t="shared" si="135"/>
        <v>1.000010336119594</v>
      </c>
      <c r="Y183" s="17">
        <f t="shared" si="136"/>
        <v>-4.5466538388932703E-3</v>
      </c>
      <c r="Z183" s="31" t="str">
        <f t="shared" si="126"/>
        <v>0.999920189507401+0.27745512159369i</v>
      </c>
      <c r="AA183" s="17">
        <f t="shared" si="137"/>
        <v>1.0377002119509691</v>
      </c>
      <c r="AB183" s="17">
        <f t="shared" si="138"/>
        <v>0.27066784468357585</v>
      </c>
      <c r="AC183" s="66" t="str">
        <f t="shared" si="139"/>
        <v>-99.4713571209469-362.815263540182i</v>
      </c>
      <c r="AD183" s="64">
        <f t="shared" si="140"/>
        <v>51.508468691102387</v>
      </c>
      <c r="AE183" s="61">
        <f t="shared" si="141"/>
        <v>-105.3317796707386</v>
      </c>
      <c r="AF183" s="31" t="str">
        <f t="shared" si="127"/>
        <v>-1.33333333333333E-06</v>
      </c>
      <c r="AG183" s="31" t="str">
        <f t="shared" si="128"/>
        <v>0.00280940237894429i</v>
      </c>
      <c r="AH183" s="31">
        <f t="shared" si="142"/>
        <v>2.8094023789442899E-3</v>
      </c>
      <c r="AI183" s="31">
        <f t="shared" si="143"/>
        <v>1.5707963267948966</v>
      </c>
      <c r="AJ183" s="31" t="str">
        <f t="shared" si="129"/>
        <v>1+0.00908428605139066i</v>
      </c>
      <c r="AK183" s="31">
        <f t="shared" si="144"/>
        <v>1.0000412612752854</v>
      </c>
      <c r="AL183" s="31">
        <f t="shared" si="145"/>
        <v>9.0840361724561849E-3</v>
      </c>
      <c r="AM183" s="31" t="str">
        <f t="shared" si="130"/>
        <v>1+9.09337033744206i</v>
      </c>
      <c r="AN183" s="31">
        <f t="shared" si="146"/>
        <v>9.1481902086626459</v>
      </c>
      <c r="AO183" s="31">
        <f t="shared" si="147"/>
        <v>1.461266217191904</v>
      </c>
      <c r="AP183" s="58" t="str">
        <f t="shared" si="148"/>
        <v>-0.0043110171792689+0.000513759296988467i</v>
      </c>
      <c r="AQ183" s="49">
        <f t="shared" si="149"/>
        <v>-47.247158850965931</v>
      </c>
      <c r="AR183" s="61">
        <f t="shared" si="150"/>
        <v>173.20391005651729</v>
      </c>
      <c r="AS183" s="58" t="str">
        <f t="shared" si="151"/>
        <v>0.615222444126683+1.51299849951775i</v>
      </c>
      <c r="AT183" s="64">
        <f t="shared" si="152"/>
        <v>4.2613098401364455</v>
      </c>
      <c r="AU183" s="61">
        <f t="shared" si="153"/>
        <v>67.872130385778661</v>
      </c>
    </row>
    <row r="184" spans="14:47" x14ac:dyDescent="0.3">
      <c r="N184" s="10">
        <v>66</v>
      </c>
      <c r="O184" s="50">
        <f t="shared" ref="O184:O218" si="154">10^(2+(N184/100))</f>
        <v>457.0881896148756</v>
      </c>
      <c r="P184" s="48" t="str">
        <f t="shared" si="122"/>
        <v>51201.9230769231</v>
      </c>
      <c r="Q184" s="17" t="str">
        <f t="shared" si="123"/>
        <v>1+134.209357824781i</v>
      </c>
      <c r="R184" s="17">
        <f t="shared" si="131"/>
        <v>134.21308329570596</v>
      </c>
      <c r="S184" s="17">
        <f t="shared" si="132"/>
        <v>1.5633454194155707</v>
      </c>
      <c r="T184" s="17" t="str">
        <f t="shared" si="124"/>
        <v>1+8.61590939122051E-09i</v>
      </c>
      <c r="U184" s="17">
        <f t="shared" si="133"/>
        <v>1</v>
      </c>
      <c r="V184" s="17">
        <f t="shared" si="134"/>
        <v>8.6159093912205102E-9</v>
      </c>
      <c r="W184" s="31" t="str">
        <f t="shared" si="125"/>
        <v>1-0.00465259107125907i</v>
      </c>
      <c r="X184" s="17">
        <f t="shared" si="135"/>
        <v>1.000010823243267</v>
      </c>
      <c r="Y184" s="17">
        <f t="shared" si="136"/>
        <v>-4.6525575007634185E-3</v>
      </c>
      <c r="Z184" s="31" t="str">
        <f t="shared" si="126"/>
        <v>0.999916428154766+0.283917881599227i</v>
      </c>
      <c r="AA184" s="17">
        <f t="shared" si="137"/>
        <v>1.0394432292268676</v>
      </c>
      <c r="AB184" s="17">
        <f t="shared" si="138"/>
        <v>0.27666000487063314</v>
      </c>
      <c r="AC184" s="66" t="str">
        <f t="shared" si="139"/>
        <v>-99.2622756224846-353.34708675509i</v>
      </c>
      <c r="AD184" s="64">
        <f t="shared" si="140"/>
        <v>51.293906900320607</v>
      </c>
      <c r="AE184" s="61">
        <f t="shared" si="141"/>
        <v>-105.69111650785828</v>
      </c>
      <c r="AF184" s="31" t="str">
        <f t="shared" si="127"/>
        <v>-1.33333333333333E-06</v>
      </c>
      <c r="AG184" s="31" t="str">
        <f t="shared" si="128"/>
        <v>0.00287484176687058i</v>
      </c>
      <c r="AH184" s="31">
        <f t="shared" si="142"/>
        <v>2.87484176687058E-3</v>
      </c>
      <c r="AI184" s="31">
        <f t="shared" si="143"/>
        <v>1.5707963267948966</v>
      </c>
      <c r="AJ184" s="31" t="str">
        <f t="shared" si="129"/>
        <v>1+0.00929588625626187i</v>
      </c>
      <c r="AK184" s="31">
        <f t="shared" si="144"/>
        <v>1.0000432058172735</v>
      </c>
      <c r="AL184" s="31">
        <f t="shared" si="145"/>
        <v>9.2956185067843717E-3</v>
      </c>
      <c r="AM184" s="31" t="str">
        <f t="shared" si="130"/>
        <v>1+9.30518214251814i</v>
      </c>
      <c r="AN184" s="31">
        <f t="shared" si="146"/>
        <v>9.3587613873545514</v>
      </c>
      <c r="AO184" s="31">
        <f t="shared" si="147"/>
        <v>1.4637402020881898</v>
      </c>
      <c r="AP184" s="58" t="str">
        <f t="shared" si="148"/>
        <v>-0.00431100041410171+0.000503868211535913i</v>
      </c>
      <c r="AQ184" s="49">
        <f t="shared" si="149"/>
        <v>-47.249511966076042</v>
      </c>
      <c r="AR184" s="61">
        <f t="shared" si="150"/>
        <v>173.33353617487705</v>
      </c>
      <c r="AS184" s="58" t="str">
        <f t="shared" si="151"/>
        <v>0.605960075967921+1.47326433203194i</v>
      </c>
      <c r="AT184" s="64">
        <f t="shared" si="152"/>
        <v>4.0443949342445737</v>
      </c>
      <c r="AU184" s="61">
        <f t="shared" si="153"/>
        <v>67.6424196670188</v>
      </c>
    </row>
    <row r="185" spans="14:47" x14ac:dyDescent="0.3">
      <c r="N185" s="10">
        <v>67</v>
      </c>
      <c r="O185" s="50">
        <f t="shared" si="154"/>
        <v>467.7351412871983</v>
      </c>
      <c r="P185" s="48" t="str">
        <f t="shared" si="122"/>
        <v>51201.9230769231</v>
      </c>
      <c r="Q185" s="17" t="str">
        <f t="shared" si="123"/>
        <v>1+137.335495360598i</v>
      </c>
      <c r="R185" s="17">
        <f t="shared" si="131"/>
        <v>137.33913603172562</v>
      </c>
      <c r="S185" s="17">
        <f t="shared" si="132"/>
        <v>1.5635150167095488</v>
      </c>
      <c r="T185" s="17" t="str">
        <f t="shared" si="124"/>
        <v>1+8.81659970216188E-09i</v>
      </c>
      <c r="U185" s="17">
        <f t="shared" si="133"/>
        <v>1</v>
      </c>
      <c r="V185" s="17">
        <f t="shared" si="134"/>
        <v>8.8165997021618798E-9</v>
      </c>
      <c r="W185" s="31" t="str">
        <f t="shared" si="125"/>
        <v>1-0.00476096383916741i</v>
      </c>
      <c r="X185" s="17">
        <f t="shared" si="135"/>
        <v>1.0000113333241167</v>
      </c>
      <c r="Y185" s="17">
        <f t="shared" si="136"/>
        <v>-4.7609278677552512E-3</v>
      </c>
      <c r="Z185" s="31" t="str">
        <f t="shared" si="126"/>
        <v>0.999912489535042+0.290531178623686i</v>
      </c>
      <c r="AA185" s="17">
        <f t="shared" si="137"/>
        <v>1.0412652651849255</v>
      </c>
      <c r="AB185" s="17">
        <f t="shared" si="138"/>
        <v>0.28277077172394133</v>
      </c>
      <c r="AC185" s="66" t="str">
        <f t="shared" si="139"/>
        <v>-99.0334300111103-344.074636662569i</v>
      </c>
      <c r="AD185" s="64">
        <f t="shared" si="140"/>
        <v>51.078710048900184</v>
      </c>
      <c r="AE185" s="61">
        <f t="shared" si="141"/>
        <v>-106.05716402045732</v>
      </c>
      <c r="AF185" s="31" t="str">
        <f t="shared" si="127"/>
        <v>-1.33333333333333E-06</v>
      </c>
      <c r="AG185" s="31" t="str">
        <f t="shared" si="128"/>
        <v>0.00294180543395468i</v>
      </c>
      <c r="AH185" s="31">
        <f t="shared" si="142"/>
        <v>2.9418054339546799E-3</v>
      </c>
      <c r="AI185" s="31">
        <f t="shared" si="143"/>
        <v>1.5707963267948966</v>
      </c>
      <c r="AJ185" s="31" t="str">
        <f t="shared" si="129"/>
        <v>1+0.00951241526307174i</v>
      </c>
      <c r="AK185" s="31">
        <f t="shared" si="144"/>
        <v>1.0000452419986494</v>
      </c>
      <c r="AL185" s="31">
        <f t="shared" si="145"/>
        <v>9.5121283650386242E-3</v>
      </c>
      <c r="AM185" s="31" t="str">
        <f t="shared" si="130"/>
        <v>1+9.52192767833482i</v>
      </c>
      <c r="AN185" s="31">
        <f t="shared" si="146"/>
        <v>9.5742940581245328</v>
      </c>
      <c r="AO185" s="31">
        <f t="shared" si="147"/>
        <v>1.4661591440497534</v>
      </c>
      <c r="AP185" s="58" t="str">
        <f t="shared" si="148"/>
        <v>-0.00431098285895631+0.000494244268986345i</v>
      </c>
      <c r="AQ185" s="49">
        <f t="shared" si="149"/>
        <v>-47.251761903388648</v>
      </c>
      <c r="AR185" s="61">
        <f t="shared" si="150"/>
        <v>173.45972623906079</v>
      </c>
      <c r="AS185" s="58" t="str">
        <f t="shared" si="151"/>
        <v>0.59698833651558+1.4343531556329i</v>
      </c>
      <c r="AT185" s="64">
        <f t="shared" si="152"/>
        <v>3.8269481455115137</v>
      </c>
      <c r="AU185" s="61">
        <f t="shared" si="153"/>
        <v>67.402562218603407</v>
      </c>
    </row>
    <row r="186" spans="14:47" x14ac:dyDescent="0.3">
      <c r="N186" s="10">
        <v>68</v>
      </c>
      <c r="O186" s="50">
        <f t="shared" si="154"/>
        <v>478.63009232263886</v>
      </c>
      <c r="P186" s="48" t="str">
        <f t="shared" si="122"/>
        <v>51201.9230769231</v>
      </c>
      <c r="Q186" s="17" t="str">
        <f t="shared" si="123"/>
        <v>1+140.534449993906i</v>
      </c>
      <c r="R186" s="17">
        <f t="shared" si="131"/>
        <v>140.53800779536357</v>
      </c>
      <c r="S186" s="17">
        <f t="shared" si="132"/>
        <v>1.5636807539025521</v>
      </c>
      <c r="T186" s="17" t="str">
        <f t="shared" si="124"/>
        <v>1+9.02196469096684E-09i</v>
      </c>
      <c r="U186" s="17">
        <f t="shared" si="133"/>
        <v>1</v>
      </c>
      <c r="V186" s="17">
        <f t="shared" si="134"/>
        <v>9.0219646909668403E-9</v>
      </c>
      <c r="W186" s="31" t="str">
        <f t="shared" si="125"/>
        <v>1-0.00487186093312209i</v>
      </c>
      <c r="X186" s="17">
        <f t="shared" si="135"/>
        <v>1.0000118674440577</v>
      </c>
      <c r="Y186" s="17">
        <f t="shared" si="136"/>
        <v>-4.8718223890842289E-3</v>
      </c>
      <c r="Z186" s="31" t="str">
        <f t="shared" si="126"/>
        <v>0.999908365293889+0.297298519124686i</v>
      </c>
      <c r="AA186" s="17">
        <f t="shared" si="137"/>
        <v>1.0431697601341925</v>
      </c>
      <c r="AB186" s="17">
        <f t="shared" si="138"/>
        <v>0.289001565210811</v>
      </c>
      <c r="AC186" s="66" t="str">
        <f t="shared" si="139"/>
        <v>-98.784654304915-334.99351358903i</v>
      </c>
      <c r="AD186" s="64">
        <f t="shared" si="140"/>
        <v>50.862852896369873</v>
      </c>
      <c r="AE186" s="61">
        <f t="shared" si="141"/>
        <v>-106.43001200821666</v>
      </c>
      <c r="AF186" s="31" t="str">
        <f t="shared" si="127"/>
        <v>-1.33333333333333E-06</v>
      </c>
      <c r="AG186" s="31" t="str">
        <f t="shared" si="128"/>
        <v>0.00301032888521927i</v>
      </c>
      <c r="AH186" s="31">
        <f t="shared" si="142"/>
        <v>3.0103288852192699E-3</v>
      </c>
      <c r="AI186" s="31">
        <f t="shared" si="143"/>
        <v>1.5707963267948966</v>
      </c>
      <c r="AJ186" s="31" t="str">
        <f t="shared" si="129"/>
        <v>1+0.0097339878783658i</v>
      </c>
      <c r="AK186" s="31">
        <f t="shared" si="144"/>
        <v>1.0000473741378537</v>
      </c>
      <c r="AL186" s="31">
        <f t="shared" si="145"/>
        <v>9.7336804623712036E-3</v>
      </c>
      <c r="AM186" s="31" t="str">
        <f t="shared" si="130"/>
        <v>1+9.74372186624418i</v>
      </c>
      <c r="AN186" s="31">
        <f t="shared" si="146"/>
        <v>9.7949025419717657</v>
      </c>
      <c r="AO186" s="31">
        <f t="shared" si="147"/>
        <v>1.4685242123386477</v>
      </c>
      <c r="AP186" s="58" t="str">
        <f t="shared" si="148"/>
        <v>-0.00431096447661563+0.000484882365547442i</v>
      </c>
      <c r="AQ186" s="49">
        <f t="shared" si="149"/>
        <v>-47.253913277815741</v>
      </c>
      <c r="AR186" s="61">
        <f t="shared" si="150"/>
        <v>173.58254067015523</v>
      </c>
      <c r="AS186" s="58" t="str">
        <f t="shared" si="151"/>
        <v>0.588289582855342+1.39624620011981i</v>
      </c>
      <c r="AT186" s="64">
        <f t="shared" si="152"/>
        <v>3.6089396185541203</v>
      </c>
      <c r="AU186" s="61">
        <f t="shared" si="153"/>
        <v>67.152528661938547</v>
      </c>
    </row>
    <row r="187" spans="14:47" x14ac:dyDescent="0.3">
      <c r="N187" s="10">
        <v>69</v>
      </c>
      <c r="O187" s="50">
        <f t="shared" si="154"/>
        <v>489.77881936844625</v>
      </c>
      <c r="P187" s="48" t="str">
        <f t="shared" si="122"/>
        <v>51201.9230769231</v>
      </c>
      <c r="Q187" s="17" t="str">
        <f t="shared" si="123"/>
        <v>1+143.807917852795i</v>
      </c>
      <c r="R187" s="17">
        <f t="shared" si="131"/>
        <v>143.81139467078481</v>
      </c>
      <c r="S187" s="17">
        <f t="shared" si="132"/>
        <v>1.5638427188341923</v>
      </c>
      <c r="T187" s="17" t="str">
        <f t="shared" si="124"/>
        <v>1+9.23211324487078E-09i</v>
      </c>
      <c r="U187" s="17">
        <f t="shared" si="133"/>
        <v>1</v>
      </c>
      <c r="V187" s="17">
        <f t="shared" si="134"/>
        <v>9.2321132448707805E-9</v>
      </c>
      <c r="W187" s="31" t="str">
        <f t="shared" si="125"/>
        <v>1-0.00498534115223021i</v>
      </c>
      <c r="X187" s="17">
        <f t="shared" si="135"/>
        <v>1.0000124267359902</v>
      </c>
      <c r="Y187" s="17">
        <f t="shared" si="136"/>
        <v>-4.9852998515772596E-3</v>
      </c>
      <c r="Z187" s="31" t="str">
        <f t="shared" si="126"/>
        <v>0.999904046683239+0.304223491235737i</v>
      </c>
      <c r="AA187" s="17">
        <f t="shared" si="137"/>
        <v>1.0451602916266849</v>
      </c>
      <c r="AB187" s="17">
        <f t="shared" si="138"/>
        <v>0.29535375960864235</v>
      </c>
      <c r="AC187" s="66" t="str">
        <f t="shared" si="139"/>
        <v>-98.5157660985006-326.099445363969i</v>
      </c>
      <c r="AD187" s="64">
        <f t="shared" si="140"/>
        <v>50.646309404044302</v>
      </c>
      <c r="AE187" s="61">
        <f t="shared" si="141"/>
        <v>-106.80974761250124</v>
      </c>
      <c r="AF187" s="31" t="str">
        <f t="shared" si="127"/>
        <v>-1.33333333333333E-06</v>
      </c>
      <c r="AG187" s="31" t="str">
        <f t="shared" si="128"/>
        <v>0.00308044845270521i</v>
      </c>
      <c r="AH187" s="31">
        <f t="shared" si="142"/>
        <v>3.0804484527052101E-3</v>
      </c>
      <c r="AI187" s="31">
        <f t="shared" si="143"/>
        <v>1.5707963267948966</v>
      </c>
      <c r="AJ187" s="31" t="str">
        <f t="shared" si="129"/>
        <v>1+0.00996072158287754i</v>
      </c>
      <c r="AK187" s="31">
        <f t="shared" si="144"/>
        <v>1.0000496067568105</v>
      </c>
      <c r="AL187" s="31">
        <f t="shared" si="145"/>
        <v>9.9603921815870772E-3</v>
      </c>
      <c r="AM187" s="31" t="str">
        <f t="shared" si="130"/>
        <v>1+9.97068230446043i</v>
      </c>
      <c r="AN187" s="31">
        <f t="shared" si="146"/>
        <v>10.020703848357179</v>
      </c>
      <c r="AO187" s="31">
        <f t="shared" si="147"/>
        <v>1.4708365550545617</v>
      </c>
      <c r="AP187" s="58" t="str">
        <f t="shared" si="148"/>
        <v>-0.00431094522810995+0.00047577753628838i</v>
      </c>
      <c r="AQ187" s="49">
        <f t="shared" si="149"/>
        <v>-47.255970508868536</v>
      </c>
      <c r="AR187" s="61">
        <f t="shared" si="150"/>
        <v>173.70203852388769</v>
      </c>
      <c r="AS187" s="58" t="str">
        <f t="shared" si="151"/>
        <v>0.579846862456204+1.3589252594012i</v>
      </c>
      <c r="AT187" s="64">
        <f t="shared" si="152"/>
        <v>3.3903388951757893</v>
      </c>
      <c r="AU187" s="61">
        <f t="shared" si="153"/>
        <v>66.892290911386496</v>
      </c>
    </row>
    <row r="188" spans="14:47" x14ac:dyDescent="0.3">
      <c r="N188" s="10">
        <v>70</v>
      </c>
      <c r="O188" s="50">
        <f t="shared" si="154"/>
        <v>501.18723362727269</v>
      </c>
      <c r="P188" s="48" t="str">
        <f t="shared" si="122"/>
        <v>51201.9230769231</v>
      </c>
      <c r="Q188" s="17" t="str">
        <f t="shared" si="123"/>
        <v>1+147.157634573251i</v>
      </c>
      <c r="R188" s="17">
        <f t="shared" si="131"/>
        <v>147.16103225104965</v>
      </c>
      <c r="S188" s="17">
        <f t="shared" si="132"/>
        <v>1.5640009973464104</v>
      </c>
      <c r="T188" s="17" t="str">
        <f t="shared" si="124"/>
        <v>1+9.44715678741859E-09i</v>
      </c>
      <c r="U188" s="17">
        <f t="shared" si="133"/>
        <v>1</v>
      </c>
      <c r="V188" s="17">
        <f t="shared" si="134"/>
        <v>9.44715678741859E-9</v>
      </c>
      <c r="W188" s="31" t="str">
        <f t="shared" si="125"/>
        <v>1-0.00510146466520603i</v>
      </c>
      <c r="X188" s="17">
        <f t="shared" si="135"/>
        <v>1.0000130123862041</v>
      </c>
      <c r="Y188" s="17">
        <f t="shared" si="136"/>
        <v>-5.1014204107901751E-3</v>
      </c>
      <c r="Z188" s="31" t="str">
        <f t="shared" si="126"/>
        <v>0.99989952454274+0.311309766668715i</v>
      </c>
      <c r="AA188" s="17">
        <f t="shared" si="137"/>
        <v>1.0472405788567054</v>
      </c>
      <c r="AB188" s="17">
        <f t="shared" si="138"/>
        <v>0.30182867861728385</v>
      </c>
      <c r="AC188" s="66" t="str">
        <f t="shared" si="139"/>
        <v>-98.2265680341321-317.388285978548i</v>
      </c>
      <c r="AD188" s="64">
        <f t="shared" si="140"/>
        <v>50.429052728309642</v>
      </c>
      <c r="AE188" s="61">
        <f t="shared" si="141"/>
        <v>-107.19645504075959</v>
      </c>
      <c r="AF188" s="31" t="str">
        <f t="shared" si="127"/>
        <v>-1.33333333333333E-06</v>
      </c>
      <c r="AG188" s="31" t="str">
        <f t="shared" si="128"/>
        <v>0.00315220131473534i</v>
      </c>
      <c r="AH188" s="31">
        <f t="shared" si="142"/>
        <v>3.1522013147353401E-3</v>
      </c>
      <c r="AI188" s="31">
        <f t="shared" si="143"/>
        <v>1.5707963267948966</v>
      </c>
      <c r="AJ188" s="31" t="str">
        <f t="shared" si="129"/>
        <v>1+0.0101927365938182i</v>
      </c>
      <c r="AK188" s="31">
        <f t="shared" si="144"/>
        <v>1.0000519445905154</v>
      </c>
      <c r="AL188" s="31">
        <f t="shared" si="145"/>
        <v>1.0192383634966459E-2</v>
      </c>
      <c r="AM188" s="31" t="str">
        <f t="shared" si="130"/>
        <v>1+10.2029293304121i</v>
      </c>
      <c r="AN188" s="31">
        <f t="shared" si="146"/>
        <v>10.25181773742508</v>
      </c>
      <c r="AO188" s="31">
        <f t="shared" si="147"/>
        <v>1.4730972992665772</v>
      </c>
      <c r="AP188" s="58" t="str">
        <f t="shared" si="148"/>
        <v>-0.00431092507263438+0.000466924952501987i</v>
      </c>
      <c r="AQ188" s="49">
        <f t="shared" si="149"/>
        <v>-47.257937828853969</v>
      </c>
      <c r="AR188" s="61">
        <f t="shared" si="150"/>
        <v>173.81827749463307</v>
      </c>
      <c r="AS188" s="58" t="str">
        <f t="shared" si="151"/>
        <v>0.571643885292387+1.3223726841716i</v>
      </c>
      <c r="AT188" s="64">
        <f t="shared" si="152"/>
        <v>3.1711148994556524</v>
      </c>
      <c r="AU188" s="61">
        <f t="shared" si="153"/>
        <v>66.621822453873435</v>
      </c>
    </row>
    <row r="189" spans="14:47" x14ac:dyDescent="0.3">
      <c r="N189" s="10">
        <v>71</v>
      </c>
      <c r="O189" s="50">
        <f t="shared" si="154"/>
        <v>512.86138399136519</v>
      </c>
      <c r="P189" s="48" t="str">
        <f t="shared" si="122"/>
        <v>51201.9230769231</v>
      </c>
      <c r="Q189" s="17" t="str">
        <f t="shared" si="123"/>
        <v>1+150.58537621942i</v>
      </c>
      <c r="R189" s="17">
        <f t="shared" si="131"/>
        <v>150.5886965583548</v>
      </c>
      <c r="S189" s="17">
        <f t="shared" si="132"/>
        <v>1.5641556733288287</v>
      </c>
      <c r="T189" s="17" t="str">
        <f t="shared" si="124"/>
        <v>1+9.667209337543E-09i</v>
      </c>
      <c r="U189" s="17">
        <f t="shared" si="133"/>
        <v>1</v>
      </c>
      <c r="V189" s="17">
        <f t="shared" si="134"/>
        <v>9.6672093375430003E-9</v>
      </c>
      <c r="W189" s="31" t="str">
        <f t="shared" si="125"/>
        <v>1-0.00522029304227321i</v>
      </c>
      <c r="X189" s="17">
        <f t="shared" si="135"/>
        <v>1.0000136256368946</v>
      </c>
      <c r="Y189" s="17">
        <f t="shared" si="136"/>
        <v>-5.2202456228471758E-3</v>
      </c>
      <c r="Z189" s="31" t="str">
        <f t="shared" si="126"/>
        <v>0.999894789280324+0.318561102660653i</v>
      </c>
      <c r="AA189" s="17">
        <f t="shared" si="137"/>
        <v>1.049414487110939</v>
      </c>
      <c r="AB189" s="17">
        <f t="shared" si="138"/>
        <v>0.3084275902596611</v>
      </c>
      <c r="AC189" s="66" t="str">
        <f t="shared" si="139"/>
        <v>-97.9168493447837-308.85601428612i</v>
      </c>
      <c r="AD189" s="64">
        <f t="shared" si="140"/>
        <v>50.211055215665226</v>
      </c>
      <c r="AE189" s="61">
        <f t="shared" si="141"/>
        <v>-107.59021527877469</v>
      </c>
      <c r="AF189" s="31" t="str">
        <f t="shared" si="127"/>
        <v>-1.33333333333333E-06</v>
      </c>
      <c r="AG189" s="31" t="str">
        <f t="shared" si="128"/>
        <v>0.00322562551562685i</v>
      </c>
      <c r="AH189" s="31">
        <f t="shared" si="142"/>
        <v>3.22562551562685E-3</v>
      </c>
      <c r="AI189" s="31">
        <f t="shared" si="143"/>
        <v>1.5707963267948966</v>
      </c>
      <c r="AJ189" s="31" t="str">
        <f t="shared" si="129"/>
        <v>1+0.0104301559286178i</v>
      </c>
      <c r="AK189" s="31">
        <f t="shared" si="144"/>
        <v>1.0000543925970704</v>
      </c>
      <c r="AL189" s="31">
        <f t="shared" si="145"/>
        <v>1.0429777727505175E-2</v>
      </c>
      <c r="AM189" s="31" t="str">
        <f t="shared" si="130"/>
        <v>1+10.4405860845464i</v>
      </c>
      <c r="AN189" s="31">
        <f t="shared" si="146"/>
        <v>10.488366783671513</v>
      </c>
      <c r="AO189" s="31">
        <f t="shared" si="147"/>
        <v>1.475307551163793</v>
      </c>
      <c r="AP189" s="58" t="str">
        <f t="shared" si="148"/>
        <v>-0.00431090396746248+0.000458319919138739i</v>
      </c>
      <c r="AQ189" s="49">
        <f t="shared" si="149"/>
        <v>-47.259819290774686</v>
      </c>
      <c r="AR189" s="61">
        <f t="shared" si="150"/>
        <v>173.93131392042051</v>
      </c>
      <c r="AS189" s="58" t="str">
        <f t="shared" si="151"/>
        <v>0.563664997814982+1.28657137488666i</v>
      </c>
      <c r="AT189" s="64">
        <f t="shared" si="152"/>
        <v>2.951235924890534</v>
      </c>
      <c r="AU189" s="61">
        <f t="shared" si="153"/>
        <v>66.341098641645772</v>
      </c>
    </row>
    <row r="190" spans="14:47" x14ac:dyDescent="0.3">
      <c r="N190" s="10">
        <v>72</v>
      </c>
      <c r="O190" s="50">
        <f t="shared" si="154"/>
        <v>524.80746024977248</v>
      </c>
      <c r="P190" s="48" t="str">
        <f t="shared" si="122"/>
        <v>51201.9230769231</v>
      </c>
      <c r="Q190" s="17" t="str">
        <f t="shared" si="123"/>
        <v>1+154.092960225293i</v>
      </c>
      <c r="R190" s="17">
        <f t="shared" si="131"/>
        <v>154.09620498569632</v>
      </c>
      <c r="S190" s="17">
        <f t="shared" si="132"/>
        <v>1.5643068287630788</v>
      </c>
      <c r="T190" s="17" t="str">
        <f t="shared" si="124"/>
        <v>1+9.89238757001884E-09i</v>
      </c>
      <c r="U190" s="17">
        <f t="shared" si="133"/>
        <v>1</v>
      </c>
      <c r="V190" s="17">
        <f t="shared" si="134"/>
        <v>9.89238757001884E-9</v>
      </c>
      <c r="W190" s="31" t="str">
        <f t="shared" si="125"/>
        <v>1-0.00534188928781017i</v>
      </c>
      <c r="X190" s="17">
        <f t="shared" si="135"/>
        <v>1.0000142677887967</v>
      </c>
      <c r="Y190" s="17">
        <f t="shared" si="136"/>
        <v>-5.3418384770188834E-3</v>
      </c>
      <c r="Z190" s="31" t="str">
        <f t="shared" si="126"/>
        <v>0.999889830851866+0.325981343965876i</v>
      </c>
      <c r="AA190" s="17">
        <f t="shared" si="137"/>
        <v>1.0516860322618971</v>
      </c>
      <c r="AB190" s="17">
        <f t="shared" si="138"/>
        <v>0.31515170157358691</v>
      </c>
      <c r="AC190" s="66" t="str">
        <f t="shared" si="139"/>
        <v>-97.5863874741508-300.498732736492i</v>
      </c>
      <c r="AD190" s="64">
        <f t="shared" si="140"/>
        <v>49.992288399699859</v>
      </c>
      <c r="AE190" s="61">
        <f t="shared" si="141"/>
        <v>-107.99110579093308</v>
      </c>
      <c r="AF190" s="31" t="str">
        <f t="shared" si="127"/>
        <v>-1.33333333333333E-06</v>
      </c>
      <c r="AG190" s="31" t="str">
        <f t="shared" si="128"/>
        <v>0.00330075998586295i</v>
      </c>
      <c r="AH190" s="31">
        <f t="shared" si="142"/>
        <v>3.3007599858629502E-3</v>
      </c>
      <c r="AI190" s="31">
        <f t="shared" si="143"/>
        <v>1.5707963267948966</v>
      </c>
      <c r="AJ190" s="31" t="str">
        <f t="shared" si="129"/>
        <v>1+0.0106731054701502i</v>
      </c>
      <c r="AK190" s="31">
        <f t="shared" si="144"/>
        <v>1.0000569559681973</v>
      </c>
      <c r="AL190" s="31">
        <f t="shared" si="145"/>
        <v>1.0672700221603279E-2</v>
      </c>
      <c r="AM190" s="31" t="str">
        <f t="shared" si="130"/>
        <v>1+10.6837785756203i</v>
      </c>
      <c r="AN190" s="31">
        <f t="shared" si="146"/>
        <v>10.730476441094465</v>
      </c>
      <c r="AO190" s="31">
        <f t="shared" si="147"/>
        <v>1.4774683962230906</v>
      </c>
      <c r="AP190" s="58" t="str">
        <f t="shared" si="148"/>
        <v>-0.00431088186785599+0.000449957872311227i</v>
      </c>
      <c r="AQ190" s="49">
        <f t="shared" si="149"/>
        <v>-47.261618775940299</v>
      </c>
      <c r="AR190" s="61">
        <f t="shared" si="150"/>
        <v>174.04120278883934</v>
      </c>
      <c r="AS190" s="58" t="str">
        <f t="shared" si="151"/>
        <v>0.555895158726218+1.25150477499304i</v>
      </c>
      <c r="AT190" s="64">
        <f t="shared" si="152"/>
        <v>2.7306696237595682</v>
      </c>
      <c r="AU190" s="61">
        <f t="shared" si="153"/>
        <v>66.050096997906266</v>
      </c>
    </row>
    <row r="191" spans="14:47" x14ac:dyDescent="0.3">
      <c r="N191" s="10">
        <v>73</v>
      </c>
      <c r="O191" s="50">
        <f t="shared" si="154"/>
        <v>537.03179637025301</v>
      </c>
      <c r="P191" s="48" t="str">
        <f t="shared" si="122"/>
        <v>51201.9230769231</v>
      </c>
      <c r="Q191" s="17" t="str">
        <f t="shared" si="123"/>
        <v>1+157.682246358339i</v>
      </c>
      <c r="R191" s="17">
        <f t="shared" si="131"/>
        <v>157.68541726048073</v>
      </c>
      <c r="S191" s="17">
        <f t="shared" si="132"/>
        <v>1.5644545437661281</v>
      </c>
      <c r="T191" s="17" t="str">
        <f t="shared" si="124"/>
        <v>1+1.01228108773255E-08i</v>
      </c>
      <c r="U191" s="17">
        <f t="shared" si="133"/>
        <v>1</v>
      </c>
      <c r="V191" s="17">
        <f t="shared" si="134"/>
        <v>1.01228108773255E-8</v>
      </c>
      <c r="W191" s="31" t="str">
        <f t="shared" si="125"/>
        <v>1-0.00546631787375576i</v>
      </c>
      <c r="X191" s="17">
        <f t="shared" si="135"/>
        <v>1.0000149402039435</v>
      </c>
      <c r="Y191" s="17">
        <f t="shared" si="136"/>
        <v>-5.466263429055913E-3</v>
      </c>
      <c r="Z191" s="31" t="str">
        <f t="shared" si="126"/>
        <v>0.999884638739875+0.333574424894543i</v>
      </c>
      <c r="AA191" s="17">
        <f t="shared" si="137"/>
        <v>1.0540593852965283</v>
      </c>
      <c r="AB191" s="17">
        <f t="shared" si="138"/>
        <v>0.32200215309923147</v>
      </c>
      <c r="AC191" s="66" t="str">
        <f t="shared" si="139"/>
        <v>-97.2349497783371-292.312666135035i</v>
      </c>
      <c r="AD191" s="64">
        <f t="shared" si="140"/>
        <v>49.772723000188293</v>
      </c>
      <c r="AE191" s="61">
        <f t="shared" si="141"/>
        <v>-108.39920020877254</v>
      </c>
      <c r="AF191" s="31" t="str">
        <f t="shared" si="127"/>
        <v>-1.33333333333333E-06</v>
      </c>
      <c r="AG191" s="31" t="str">
        <f t="shared" si="128"/>
        <v>0.00337764456273428i</v>
      </c>
      <c r="AH191" s="31">
        <f t="shared" si="142"/>
        <v>3.3776445627342801E-3</v>
      </c>
      <c r="AI191" s="31">
        <f t="shared" si="143"/>
        <v>1.5707963267948966</v>
      </c>
      <c r="AJ191" s="31" t="str">
        <f t="shared" si="129"/>
        <v>1+0.010921714033478i</v>
      </c>
      <c r="AK191" s="31">
        <f t="shared" si="144"/>
        <v>1.0000596401402413</v>
      </c>
      <c r="AL191" s="31">
        <f t="shared" si="145"/>
        <v>1.0921279803235161E-2</v>
      </c>
      <c r="AM191" s="31" t="str">
        <f t="shared" si="130"/>
        <v>1+10.9326357475115i</v>
      </c>
      <c r="AN191" s="31">
        <f t="shared" si="146"/>
        <v>10.97827510985976</v>
      </c>
      <c r="AO191" s="31">
        <f t="shared" si="147"/>
        <v>1.4795808993924056</v>
      </c>
      <c r="AP191" s="58" t="str">
        <f t="shared" si="148"/>
        <v>-0.00431085872696998+0.000441834376867714i</v>
      </c>
      <c r="AQ191" s="49">
        <f t="shared" si="149"/>
        <v>-47.263340001299497</v>
      </c>
      <c r="AR191" s="61">
        <f t="shared" si="150"/>
        <v>174.14799774374848</v>
      </c>
      <c r="AS191" s="58" t="str">
        <f t="shared" si="151"/>
        <v>0.548319916510746+1.217156864367i</v>
      </c>
      <c r="AT191" s="64">
        <f t="shared" si="152"/>
        <v>2.5093829988887761</v>
      </c>
      <c r="AU191" s="61">
        <f t="shared" si="153"/>
        <v>65.748797534975864</v>
      </c>
    </row>
    <row r="192" spans="14:47" x14ac:dyDescent="0.3">
      <c r="N192" s="10">
        <v>74</v>
      </c>
      <c r="O192" s="50">
        <f t="shared" si="154"/>
        <v>549.54087385762534</v>
      </c>
      <c r="P192" s="48" t="str">
        <f t="shared" si="122"/>
        <v>51201.9230769231</v>
      </c>
      <c r="Q192" s="17" t="str">
        <f t="shared" si="123"/>
        <v>1+161.355137705576i</v>
      </c>
      <c r="R192" s="17">
        <f t="shared" si="131"/>
        <v>161.35823643057515</v>
      </c>
      <c r="S192" s="17">
        <f t="shared" si="132"/>
        <v>1.5645988966326272</v>
      </c>
      <c r="T192" s="17" t="str">
        <f t="shared" si="124"/>
        <v>1+1.03586014329506E-08i</v>
      </c>
      <c r="U192" s="17">
        <f t="shared" si="133"/>
        <v>1</v>
      </c>
      <c r="V192" s="17">
        <f t="shared" si="134"/>
        <v>1.03586014329506E-8</v>
      </c>
      <c r="W192" s="31" t="str">
        <f t="shared" si="125"/>
        <v>1-0.00559364477379331i</v>
      </c>
      <c r="X192" s="17">
        <f t="shared" si="135"/>
        <v>1.0000156443085555</v>
      </c>
      <c r="Y192" s="17">
        <f t="shared" si="136"/>
        <v>-5.5935864352956478E-3</v>
      </c>
      <c r="Z192" s="31" t="str">
        <f t="shared" si="126"/>
        <v>0.999879201931184+0.341344371398669i</v>
      </c>
      <c r="AA192" s="17">
        <f t="shared" si="137"/>
        <v>1.056538876871123</v>
      </c>
      <c r="AB192" s="17">
        <f t="shared" si="138"/>
        <v>0.32898001316841641</v>
      </c>
      <c r="AC192" s="66" t="str">
        <f t="shared" si="139"/>
        <v>-96.8622953134497-284.294160417087i</v>
      </c>
      <c r="AD192" s="64">
        <f t="shared" si="140"/>
        <v>49.552328924500777</v>
      </c>
      <c r="AE192" s="61">
        <f t="shared" si="141"/>
        <v>-108.81456800816333</v>
      </c>
      <c r="AF192" s="31" t="str">
        <f t="shared" si="127"/>
        <v>-1.33333333333333E-06</v>
      </c>
      <c r="AG192" s="31" t="str">
        <f t="shared" si="128"/>
        <v>0.00345632001146118i</v>
      </c>
      <c r="AH192" s="31">
        <f t="shared" si="142"/>
        <v>3.4563200114611798E-3</v>
      </c>
      <c r="AI192" s="31">
        <f t="shared" si="143"/>
        <v>1.5707963267948966</v>
      </c>
      <c r="AJ192" s="31" t="str">
        <f t="shared" si="129"/>
        <v>1+0.0111761134341525i</v>
      </c>
      <c r="AK192" s="31">
        <f t="shared" si="144"/>
        <v>1.000062450805695</v>
      </c>
      <c r="AL192" s="31">
        <f t="shared" si="145"/>
        <v>1.117564814963363E-2</v>
      </c>
      <c r="AM192" s="31" t="str">
        <f t="shared" si="130"/>
        <v>1+11.1872895475866i</v>
      </c>
      <c r="AN192" s="31">
        <f t="shared" si="146"/>
        <v>11.231894204520465</v>
      </c>
      <c r="AO192" s="31">
        <f t="shared" si="147"/>
        <v>1.4816461052880072</v>
      </c>
      <c r="AP192" s="58" t="str">
        <f t="shared" si="148"/>
        <v>-0.0043108344957539+0.000433945124033482i</v>
      </c>
      <c r="AQ192" s="49">
        <f t="shared" si="149"/>
        <v>-47.264986526500053</v>
      </c>
      <c r="AR192" s="61">
        <f t="shared" si="150"/>
        <v>174.25175109270162</v>
      </c>
      <c r="AS192" s="58" t="str">
        <f t="shared" si="151"/>
        <v>0.540925388679308+1.18351215291341i</v>
      </c>
      <c r="AT192" s="64">
        <f t="shared" si="152"/>
        <v>2.2873423980007273</v>
      </c>
      <c r="AU192" s="61">
        <f t="shared" si="153"/>
        <v>65.437183084538304</v>
      </c>
    </row>
    <row r="193" spans="14:47" x14ac:dyDescent="0.3">
      <c r="N193" s="10">
        <v>75</v>
      </c>
      <c r="O193" s="50">
        <f t="shared" si="154"/>
        <v>562.34132519034927</v>
      </c>
      <c r="P193" s="48" t="str">
        <f t="shared" si="122"/>
        <v>51201.9230769231</v>
      </c>
      <c r="Q193" s="17" t="str">
        <f t="shared" si="123"/>
        <v>1+165.113581682612i</v>
      </c>
      <c r="R193" s="17">
        <f t="shared" si="131"/>
        <v>165.11660987332735</v>
      </c>
      <c r="S193" s="17">
        <f t="shared" si="132"/>
        <v>1.5647399638762984</v>
      </c>
      <c r="T193" s="17" t="str">
        <f t="shared" si="124"/>
        <v>1+1.05998842561677E-08i</v>
      </c>
      <c r="U193" s="17">
        <f t="shared" si="133"/>
        <v>1</v>
      </c>
      <c r="V193" s="17">
        <f t="shared" si="134"/>
        <v>1.0599884256167699E-8</v>
      </c>
      <c r="W193" s="31" t="str">
        <f t="shared" si="125"/>
        <v>1-0.00572393749833056i</v>
      </c>
      <c r="X193" s="17">
        <f t="shared" si="135"/>
        <v>1.0000163815960641</v>
      </c>
      <c r="Y193" s="17">
        <f t="shared" si="136"/>
        <v>-5.7238749875593827E-3</v>
      </c>
      <c r="Z193" s="31" t="str">
        <f t="shared" si="126"/>
        <v>0.999873508893593+0.349295303206737i</v>
      </c>
      <c r="AA193" s="17">
        <f t="shared" si="137"/>
        <v>1.059129001882902</v>
      </c>
      <c r="AB193" s="17">
        <f t="shared" si="138"/>
        <v>0.33608627200375657</v>
      </c>
      <c r="AC193" s="66" t="str">
        <f t="shared" si="139"/>
        <v>-96.4681767127606-276.439681427324i</v>
      </c>
      <c r="AD193" s="64">
        <f t="shared" si="140"/>
        <v>49.331075271521684</v>
      </c>
      <c r="AE193" s="61">
        <f t="shared" si="141"/>
        <v>-109.23727417558482</v>
      </c>
      <c r="AF193" s="31" t="str">
        <f t="shared" si="127"/>
        <v>-1.33333333333333E-06</v>
      </c>
      <c r="AG193" s="31" t="str">
        <f t="shared" si="128"/>
        <v>0.00353682804680796i</v>
      </c>
      <c r="AH193" s="31">
        <f t="shared" si="142"/>
        <v>3.53682804680796E-3</v>
      </c>
      <c r="AI193" s="31">
        <f t="shared" si="143"/>
        <v>1.5707963267948966</v>
      </c>
      <c r="AJ193" s="31" t="str">
        <f t="shared" si="129"/>
        <v>1+0.011436438558103i</v>
      </c>
      <c r="AK193" s="31">
        <f t="shared" si="144"/>
        <v>1.0000653939252639</v>
      </c>
      <c r="AL193" s="31">
        <f t="shared" si="145"/>
        <v>1.1435939998519317E-2</v>
      </c>
      <c r="AM193" s="31" t="str">
        <f t="shared" si="130"/>
        <v>1+11.4478749966611i</v>
      </c>
      <c r="AN193" s="31">
        <f t="shared" si="146"/>
        <v>11.491468223824944</v>
      </c>
      <c r="AO193" s="31">
        <f t="shared" si="147"/>
        <v>1.4836650384043475</v>
      </c>
      <c r="AP193" s="58" t="str">
        <f t="shared" si="148"/>
        <v>-0.00431080912284775+0.000426285929118686i</v>
      </c>
      <c r="AQ193" s="49">
        <f t="shared" si="149"/>
        <v>-47.266561760686166</v>
      </c>
      <c r="AR193" s="61">
        <f t="shared" si="150"/>
        <v>174.35251381500433</v>
      </c>
      <c r="AS193" s="58" t="str">
        <f t="shared" si="151"/>
        <v>0.533698242680378+1.15055567427365i</v>
      </c>
      <c r="AT193" s="64">
        <f t="shared" si="152"/>
        <v>2.0645135108355266</v>
      </c>
      <c r="AU193" s="61">
        <f t="shared" si="153"/>
        <v>65.115239639419485</v>
      </c>
    </row>
    <row r="194" spans="14:47" x14ac:dyDescent="0.3">
      <c r="N194" s="10">
        <v>76</v>
      </c>
      <c r="O194" s="50">
        <f t="shared" si="154"/>
        <v>575.43993733715706</v>
      </c>
      <c r="P194" s="48" t="str">
        <f t="shared" si="122"/>
        <v>51201.9230769231</v>
      </c>
      <c r="Q194" s="17" t="str">
        <f t="shared" si="123"/>
        <v>1+168.959571066193i</v>
      </c>
      <c r="R194" s="17">
        <f t="shared" si="131"/>
        <v>168.96253032809349</v>
      </c>
      <c r="S194" s="17">
        <f t="shared" si="132"/>
        <v>1.5648778202703912</v>
      </c>
      <c r="T194" s="17" t="str">
        <f t="shared" si="124"/>
        <v>1+1.08467872783235E-08i</v>
      </c>
      <c r="U194" s="17">
        <f t="shared" si="133"/>
        <v>1</v>
      </c>
      <c r="V194" s="17">
        <f t="shared" si="134"/>
        <v>1.08467872783235E-8</v>
      </c>
      <c r="W194" s="31" t="str">
        <f t="shared" si="125"/>
        <v>1-0.00585726513029469i</v>
      </c>
      <c r="X194" s="17">
        <f t="shared" si="135"/>
        <v>1.0000171536302798</v>
      </c>
      <c r="Y194" s="17">
        <f t="shared" si="136"/>
        <v>-5.8571981488586417E-3</v>
      </c>
      <c r="Z194" s="31" t="str">
        <f t="shared" si="126"/>
        <v>0.999867547551407+0.357431436008035i</v>
      </c>
      <c r="AA194" s="17">
        <f t="shared" si="137"/>
        <v>1.0618344240479451</v>
      </c>
      <c r="AB194" s="17">
        <f t="shared" si="138"/>
        <v>0.34332183563768487</v>
      </c>
      <c r="AC194" s="66" t="str">
        <f t="shared" si="139"/>
        <v>-96.0523421564704-268.745813693164i</v>
      </c>
      <c r="AD194" s="64">
        <f t="shared" si="140"/>
        <v>49.108930338280643</v>
      </c>
      <c r="AE194" s="61">
        <f t="shared" si="141"/>
        <v>-109.66737886407498</v>
      </c>
      <c r="AF194" s="31" t="str">
        <f t="shared" si="127"/>
        <v>-1.33333333333333E-06</v>
      </c>
      <c r="AG194" s="31" t="str">
        <f t="shared" si="128"/>
        <v>0.00361921135520061i</v>
      </c>
      <c r="AH194" s="31">
        <f t="shared" si="142"/>
        <v>3.61921135520061E-3</v>
      </c>
      <c r="AI194" s="31">
        <f t="shared" si="143"/>
        <v>1.5707963267948966</v>
      </c>
      <c r="AJ194" s="31" t="str">
        <f t="shared" si="129"/>
        <v>1+0.0117028274331562i</v>
      </c>
      <c r="AK194" s="31">
        <f t="shared" si="144"/>
        <v>1.0000684757405016</v>
      </c>
      <c r="AL194" s="31">
        <f t="shared" si="145"/>
        <v>1.170229321891301E-2</v>
      </c>
      <c r="AM194" s="31" t="str">
        <f t="shared" si="130"/>
        <v>1+11.7145302605894i</v>
      </c>
      <c r="AN194" s="31">
        <f t="shared" si="146"/>
        <v>11.757134822152238</v>
      </c>
      <c r="AO194" s="31">
        <f t="shared" si="147"/>
        <v>1.4856387033351699</v>
      </c>
      <c r="AP194" s="58" t="str">
        <f t="shared" si="148"/>
        <v>-0.00431078255447351+0.000418852729291448i</v>
      </c>
      <c r="AQ194" s="49">
        <f t="shared" si="149"/>
        <v>-47.26806896904111</v>
      </c>
      <c r="AR194" s="61">
        <f t="shared" si="150"/>
        <v>174.45033557032514</v>
      </c>
      <c r="AS194" s="58" t="str">
        <f t="shared" si="151"/>
        <v>0.526625678435466+1.11827297958921i</v>
      </c>
      <c r="AT194" s="64">
        <f t="shared" si="152"/>
        <v>1.840861369239567</v>
      </c>
      <c r="AU194" s="61">
        <f t="shared" si="153"/>
        <v>64.782956706250232</v>
      </c>
    </row>
    <row r="195" spans="14:47" x14ac:dyDescent="0.3">
      <c r="N195" s="10">
        <v>77</v>
      </c>
      <c r="O195" s="50">
        <f t="shared" si="154"/>
        <v>588.84365535558959</v>
      </c>
      <c r="P195" s="48" t="str">
        <f t="shared" si="122"/>
        <v>51201.9230769231</v>
      </c>
      <c r="Q195" s="17" t="str">
        <f t="shared" si="123"/>
        <v>1+172.895145050798i</v>
      </c>
      <c r="R195" s="17">
        <f t="shared" si="131"/>
        <v>172.89803695281356</v>
      </c>
      <c r="S195" s="17">
        <f t="shared" si="132"/>
        <v>1.5650125388872191</v>
      </c>
      <c r="T195" s="17" t="str">
        <f t="shared" si="124"/>
        <v>1+1.10994414106685E-08i</v>
      </c>
      <c r="U195" s="17">
        <f t="shared" si="133"/>
        <v>1</v>
      </c>
      <c r="V195" s="17">
        <f t="shared" si="134"/>
        <v>1.10994414106685E-8</v>
      </c>
      <c r="W195" s="31" t="str">
        <f t="shared" si="125"/>
        <v>1-0.00599369836176098i</v>
      </c>
      <c r="X195" s="17">
        <f t="shared" si="135"/>
        <v>1.0000179620487084</v>
      </c>
      <c r="Y195" s="17">
        <f t="shared" si="136"/>
        <v>-5.9936265899287865E-3</v>
      </c>
      <c r="Z195" s="31" t="str">
        <f t="shared" si="126"/>
        <v>0.999861305259819+0.365757083687869i</v>
      </c>
      <c r="AA195" s="17">
        <f t="shared" si="137"/>
        <v>1.0646599804743877</v>
      </c>
      <c r="AB195" s="17">
        <f t="shared" si="138"/>
        <v>0.35068751966352757</v>
      </c>
      <c r="AC195" s="66" t="str">
        <f t="shared" si="139"/>
        <v>-95.6145374363191-261.209259180501i</v>
      </c>
      <c r="AD195" s="64">
        <f t="shared" si="140"/>
        <v>48.885861629499743</v>
      </c>
      <c r="AE195" s="61">
        <f t="shared" si="141"/>
        <v>-110.10493703955169</v>
      </c>
      <c r="AF195" s="31" t="str">
        <f t="shared" si="127"/>
        <v>-1.33333333333333E-06</v>
      </c>
      <c r="AG195" s="31" t="str">
        <f t="shared" si="128"/>
        <v>0.00370351361735972i</v>
      </c>
      <c r="AH195" s="31">
        <f t="shared" si="142"/>
        <v>3.7035136173597201E-3</v>
      </c>
      <c r="AI195" s="31">
        <f t="shared" si="143"/>
        <v>1.5707963267948966</v>
      </c>
      <c r="AJ195" s="31" t="str">
        <f t="shared" si="129"/>
        <v>1+0.0119754213022197i</v>
      </c>
      <c r="AK195" s="31">
        <f t="shared" si="144"/>
        <v>1.0000717027870381</v>
      </c>
      <c r="AL195" s="31">
        <f t="shared" si="145"/>
        <v>1.1974848883561557E-2</v>
      </c>
      <c r="AM195" s="31" t="str">
        <f t="shared" si="130"/>
        <v>1+11.987396723522i</v>
      </c>
      <c r="AN195" s="31">
        <f t="shared" si="146"/>
        <v>12.029034882612402</v>
      </c>
      <c r="AO195" s="31">
        <f t="shared" si="147"/>
        <v>1.487568085004632</v>
      </c>
      <c r="AP195" s="58" t="str">
        <f t="shared" si="148"/>
        <v>-0.00431075473432136+0.00041164158141499i</v>
      </c>
      <c r="AQ195" s="49">
        <f t="shared" si="149"/>
        <v>-47.269511279083787</v>
      </c>
      <c r="AR195" s="61">
        <f t="shared" si="150"/>
        <v>174.54526470778845</v>
      </c>
      <c r="AS195" s="58" t="str">
        <f t="shared" si="151"/>
        <v>0.519695412452859+1.08665013126437i</v>
      </c>
      <c r="AT195" s="64">
        <f t="shared" si="152"/>
        <v>1.6163503504159569</v>
      </c>
      <c r="AU195" s="61">
        <f t="shared" si="153"/>
        <v>64.440327668236762</v>
      </c>
    </row>
    <row r="196" spans="14:47" x14ac:dyDescent="0.3">
      <c r="N196" s="10">
        <v>78</v>
      </c>
      <c r="O196" s="50">
        <f t="shared" si="154"/>
        <v>602.55958607435832</v>
      </c>
      <c r="P196" s="48" t="str">
        <f t="shared" si="122"/>
        <v>51201.9230769231</v>
      </c>
      <c r="Q196" s="17" t="str">
        <f t="shared" si="123"/>
        <v>1+176.922390329846i</v>
      </c>
      <c r="R196" s="17">
        <f t="shared" si="131"/>
        <v>176.92521640519865</v>
      </c>
      <c r="S196" s="17">
        <f t="shared" si="132"/>
        <v>1.5651441911368049</v>
      </c>
      <c r="T196" s="17" t="str">
        <f t="shared" si="124"/>
        <v>1+1.13579806137679E-08i</v>
      </c>
      <c r="U196" s="17">
        <f t="shared" si="133"/>
        <v>1</v>
      </c>
      <c r="V196" s="17">
        <f t="shared" si="134"/>
        <v>1.13579806137679E-8</v>
      </c>
      <c r="W196" s="31" t="str">
        <f t="shared" si="125"/>
        <v>1-0.00613330953143464i</v>
      </c>
      <c r="X196" s="17">
        <f t="shared" si="135"/>
        <v>1.0000188085660231</v>
      </c>
      <c r="Y196" s="17">
        <f t="shared" si="136"/>
        <v>-6.1332326266089936E-3</v>
      </c>
      <c r="Z196" s="31" t="str">
        <f t="shared" si="126"/>
        <v>0.999854768778092+0.374276660614842i</v>
      </c>
      <c r="AA196" s="17">
        <f t="shared" si="137"/>
        <v>1.0676106862191337</v>
      </c>
      <c r="AB196" s="17">
        <f t="shared" si="138"/>
        <v>0.35818404283310734</v>
      </c>
      <c r="AC196" s="66" t="str">
        <f t="shared" si="139"/>
        <v>-95.1545081164542-253.826836019466i</v>
      </c>
      <c r="AD196" s="64">
        <f t="shared" si="140"/>
        <v>48.661835870264639</v>
      </c>
      <c r="AE196" s="61">
        <f t="shared" si="141"/>
        <v>-110.54999811833837</v>
      </c>
      <c r="AF196" s="31" t="str">
        <f t="shared" si="127"/>
        <v>-1.33333333333333E-06</v>
      </c>
      <c r="AG196" s="31" t="str">
        <f t="shared" si="128"/>
        <v>0.00378977953146054i</v>
      </c>
      <c r="AH196" s="31">
        <f t="shared" si="142"/>
        <v>3.7897795314605401E-3</v>
      </c>
      <c r="AI196" s="31">
        <f t="shared" si="143"/>
        <v>1.5707963267948966</v>
      </c>
      <c r="AJ196" s="31" t="str">
        <f t="shared" si="129"/>
        <v>1+0.0122543646981711i</v>
      </c>
      <c r="AK196" s="31">
        <f t="shared" si="144"/>
        <v>1.0000750819084314</v>
      </c>
      <c r="AL196" s="31">
        <f t="shared" si="145"/>
        <v>1.2253751343015226E-2</v>
      </c>
      <c r="AM196" s="31" t="str">
        <f t="shared" si="130"/>
        <v>1+12.2666190628693i</v>
      </c>
      <c r="AN196" s="31">
        <f t="shared" si="146"/>
        <v>12.307312591851582</v>
      </c>
      <c r="AO196" s="31">
        <f t="shared" si="147"/>
        <v>1.4894541489072979</v>
      </c>
      <c r="AP196" s="58" t="str">
        <f t="shared" si="148"/>
        <v>-0.00431072560343068+0.000404648659947599i</v>
      </c>
      <c r="AQ196" s="49">
        <f t="shared" si="149"/>
        <v>-47.270891686727325</v>
      </c>
      <c r="AR196" s="61">
        <f t="shared" si="150"/>
        <v>174.63734827548069</v>
      </c>
      <c r="AS196" s="58" t="str">
        <f t="shared" si="151"/>
        <v>0.512895663473467+1.05567369666962i</v>
      </c>
      <c r="AT196" s="64">
        <f t="shared" si="152"/>
        <v>1.3909441835373486</v>
      </c>
      <c r="AU196" s="61">
        <f t="shared" si="153"/>
        <v>64.08735015714241</v>
      </c>
    </row>
    <row r="197" spans="14:47" x14ac:dyDescent="0.3">
      <c r="N197" s="10">
        <v>79</v>
      </c>
      <c r="O197" s="50">
        <f t="shared" si="154"/>
        <v>616.59500186148273</v>
      </c>
      <c r="P197" s="48" t="str">
        <f t="shared" si="122"/>
        <v>51201.9230769231</v>
      </c>
      <c r="Q197" s="17" t="str">
        <f t="shared" si="123"/>
        <v>1+181.043442202091i</v>
      </c>
      <c r="R197" s="17">
        <f t="shared" si="131"/>
        <v>181.04620394910759</v>
      </c>
      <c r="S197" s="17">
        <f t="shared" si="132"/>
        <v>1.5652728468046484</v>
      </c>
      <c r="T197" s="17" t="str">
        <f t="shared" si="124"/>
        <v>1+1.16225419685293E-08i</v>
      </c>
      <c r="U197" s="17">
        <f t="shared" si="133"/>
        <v>1</v>
      </c>
      <c r="V197" s="17">
        <f t="shared" si="134"/>
        <v>1.16225419685293E-8</v>
      </c>
      <c r="W197" s="31" t="str">
        <f t="shared" si="125"/>
        <v>1-0.00627617266300583i</v>
      </c>
      <c r="X197" s="17">
        <f t="shared" si="135"/>
        <v>1.0000196949777018</v>
      </c>
      <c r="Y197" s="17">
        <f t="shared" si="136"/>
        <v>-6.2760902580881357E-3</v>
      </c>
      <c r="Z197" s="31" t="str">
        <f t="shared" si="126"/>
        <v>0.999847924241472+0.38299468398141i</v>
      </c>
      <c r="AA197" s="17">
        <f t="shared" si="137"/>
        <v>1.0706917388156127</v>
      </c>
      <c r="AB197" s="17">
        <f t="shared" si="138"/>
        <v>0.36581202051778267</v>
      </c>
      <c r="AC197" s="66" t="str">
        <f t="shared" si="139"/>
        <v>-94.6720017909713-246.595477187248i</v>
      </c>
      <c r="AD197" s="64">
        <f t="shared" si="140"/>
        <v>48.436819022025553</v>
      </c>
      <c r="AE197" s="61">
        <f t="shared" si="141"/>
        <v>-111.00260559686487</v>
      </c>
      <c r="AF197" s="31" t="str">
        <f t="shared" si="127"/>
        <v>-1.33333333333333E-06</v>
      </c>
      <c r="AG197" s="31" t="str">
        <f t="shared" si="128"/>
        <v>0.00387805483683262i</v>
      </c>
      <c r="AH197" s="31">
        <f t="shared" si="142"/>
        <v>3.8780548368326198E-3</v>
      </c>
      <c r="AI197" s="31">
        <f t="shared" si="143"/>
        <v>1.5707963267948966</v>
      </c>
      <c r="AJ197" s="31" t="str">
        <f t="shared" si="129"/>
        <v>1+0.0125398055204912i</v>
      </c>
      <c r="AK197" s="31">
        <f t="shared" si="144"/>
        <v>1.0000786202706724</v>
      </c>
      <c r="AL197" s="31">
        <f t="shared" si="145"/>
        <v>1.2539148301391155E-2</v>
      </c>
      <c r="AM197" s="31" t="str">
        <f t="shared" si="130"/>
        <v>1+12.5523453260117i</v>
      </c>
      <c r="AN197" s="31">
        <f t="shared" si="146"/>
        <v>12.592115516601957</v>
      </c>
      <c r="AO197" s="31">
        <f t="shared" si="147"/>
        <v>1.4912978413559235</v>
      </c>
      <c r="AP197" s="58" t="str">
        <f t="shared" si="148"/>
        <v>-0.00431069510006543+0.000397870254904291i</v>
      </c>
      <c r="AQ197" s="49">
        <f t="shared" si="149"/>
        <v>-47.272213062107944</v>
      </c>
      <c r="AR197" s="61">
        <f t="shared" si="150"/>
        <v>174.72663203030626</v>
      </c>
      <c r="AS197" s="58" t="str">
        <f t="shared" si="151"/>
        <v>0.506215139600461+1.02533074172449i</v>
      </c>
      <c r="AT197" s="64">
        <f t="shared" si="152"/>
        <v>1.1646059599175824</v>
      </c>
      <c r="AU197" s="61">
        <f t="shared" si="153"/>
        <v>63.724026433441331</v>
      </c>
    </row>
    <row r="198" spans="14:47" x14ac:dyDescent="0.3">
      <c r="N198" s="10">
        <v>80</v>
      </c>
      <c r="O198" s="50">
        <f t="shared" si="154"/>
        <v>630.95734448019323</v>
      </c>
      <c r="P198" s="48" t="str">
        <f t="shared" si="122"/>
        <v>51201.9230769231</v>
      </c>
      <c r="Q198" s="17" t="str">
        <f t="shared" si="123"/>
        <v>1+185.260485703786i</v>
      </c>
      <c r="R198" s="17">
        <f t="shared" si="131"/>
        <v>185.26318458669198</v>
      </c>
      <c r="S198" s="17">
        <f t="shared" si="132"/>
        <v>1.5653985740886418</v>
      </c>
      <c r="T198" s="17" t="str">
        <f t="shared" si="124"/>
        <v>1+1.1893265748885E-08i</v>
      </c>
      <c r="U198" s="17">
        <f t="shared" si="133"/>
        <v>1</v>
      </c>
      <c r="V198" s="17">
        <f t="shared" si="134"/>
        <v>1.1893265748885001E-8</v>
      </c>
      <c r="W198" s="31" t="str">
        <f t="shared" si="125"/>
        <v>1-0.0064223635043979i</v>
      </c>
      <c r="X198" s="17">
        <f t="shared" si="135"/>
        <v>1.000020623163834</v>
      </c>
      <c r="Y198" s="17">
        <f t="shared" si="136"/>
        <v>-6.4222752060360917E-3</v>
      </c>
      <c r="Z198" s="31" t="str">
        <f t="shared" si="126"/>
        <v>0.999840757131779+0.391915776198958i</v>
      </c>
      <c r="AA198" s="17">
        <f t="shared" si="137"/>
        <v>1.0739085227594949</v>
      </c>
      <c r="AB198" s="17">
        <f t="shared" si="138"/>
        <v>0.37357195805239085</v>
      </c>
      <c r="AC198" s="66" t="str">
        <f t="shared" si="139"/>
        <v>-94.1667704374603-239.512229134483i</v>
      </c>
      <c r="AD198" s="64">
        <f t="shared" si="140"/>
        <v>48.210776302134228</v>
      </c>
      <c r="AE198" s="61">
        <f t="shared" si="141"/>
        <v>-111.46279667466004</v>
      </c>
      <c r="AF198" s="31" t="str">
        <f t="shared" si="127"/>
        <v>-1.33333333333333E-06</v>
      </c>
      <c r="AG198" s="31" t="str">
        <f t="shared" si="128"/>
        <v>0.00396838633821129i</v>
      </c>
      <c r="AH198" s="31">
        <f t="shared" si="142"/>
        <v>3.9683863382112897E-3</v>
      </c>
      <c r="AI198" s="31">
        <f t="shared" si="143"/>
        <v>1.5707963267948966</v>
      </c>
      <c r="AJ198" s="31" t="str">
        <f t="shared" si="129"/>
        <v>1+0.0128318951136821i</v>
      </c>
      <c r="AK198" s="31">
        <f t="shared" si="144"/>
        <v>1.0000823253773703</v>
      </c>
      <c r="AL198" s="31">
        <f t="shared" si="145"/>
        <v>1.2831190893859524E-2</v>
      </c>
      <c r="AM198" s="31" t="str">
        <f t="shared" si="130"/>
        <v>1+12.8447270087958i</v>
      </c>
      <c r="AN198" s="31">
        <f t="shared" si="146"/>
        <v>12.883594682016673</v>
      </c>
      <c r="AO198" s="31">
        <f t="shared" si="147"/>
        <v>1.4931000897360351</v>
      </c>
      <c r="AP198" s="58" t="str">
        <f t="shared" si="148"/>
        <v>-0.00431066315958354+0.000391302769879019i</v>
      </c>
      <c r="AQ198" s="49">
        <f t="shared" si="149"/>
        <v>-47.273478155192841</v>
      </c>
      <c r="AR198" s="61">
        <f t="shared" si="150"/>
        <v>174.81316044813445</v>
      </c>
      <c r="AS198" s="58" t="str">
        <f t="shared" si="151"/>
        <v>0.499643026861942+0.995608824297007i</v>
      </c>
      <c r="AT198" s="64">
        <f t="shared" si="152"/>
        <v>0.93729814694138502</v>
      </c>
      <c r="AU198" s="61">
        <f t="shared" si="153"/>
        <v>63.350363773474427</v>
      </c>
    </row>
    <row r="199" spans="14:47" x14ac:dyDescent="0.3">
      <c r="N199" s="10">
        <v>81</v>
      </c>
      <c r="O199" s="50">
        <f t="shared" si="154"/>
        <v>645.65422903465594</v>
      </c>
      <c r="P199" s="48" t="str">
        <f t="shared" si="122"/>
        <v>51201.9230769231</v>
      </c>
      <c r="Q199" s="17" t="str">
        <f t="shared" si="123"/>
        <v>1+189.575756767213i</v>
      </c>
      <c r="R199" s="17">
        <f t="shared" si="131"/>
        <v>189.57839421690835</v>
      </c>
      <c r="S199" s="17">
        <f t="shared" si="132"/>
        <v>1.5655214396351465</v>
      </c>
      <c r="T199" s="17" t="str">
        <f t="shared" si="124"/>
        <v>1+1.21702954961667E-08i</v>
      </c>
      <c r="U199" s="17">
        <f t="shared" si="133"/>
        <v>1</v>
      </c>
      <c r="V199" s="17">
        <f t="shared" si="134"/>
        <v>1.21702954961667E-8</v>
      </c>
      <c r="W199" s="31" t="str">
        <f t="shared" si="125"/>
        <v>1-0.00657195956793003i</v>
      </c>
      <c r="X199" s="17">
        <f t="shared" si="135"/>
        <v>1.0000215950931073</v>
      </c>
      <c r="Y199" s="17">
        <f t="shared" si="136"/>
        <v>-6.571864954641079E-3</v>
      </c>
      <c r="Z199" s="31" t="str">
        <f t="shared" si="126"/>
        <v>0.999833252246612+0.401044667348666i</v>
      </c>
      <c r="AA199" s="17">
        <f t="shared" si="137"/>
        <v>1.0772666139386478</v>
      </c>
      <c r="AB199" s="17">
        <f t="shared" si="138"/>
        <v>0.3814642439842405</v>
      </c>
      <c r="AC199" s="66" t="str">
        <f t="shared" si="139"/>
        <v>-93.6385728646826-232.57425034118i</v>
      </c>
      <c r="AD199" s="64">
        <f t="shared" si="140"/>
        <v>47.983672207117785</v>
      </c>
      <c r="AE199" s="61">
        <f t="shared" si="141"/>
        <v>-111.93060187190858</v>
      </c>
      <c r="AF199" s="31" t="str">
        <f t="shared" si="127"/>
        <v>-1.33333333333333E-06</v>
      </c>
      <c r="AG199" s="31" t="str">
        <f t="shared" si="128"/>
        <v>0.0040608219305543i</v>
      </c>
      <c r="AH199" s="31">
        <f t="shared" si="142"/>
        <v>4.0608219305543003E-3</v>
      </c>
      <c r="AI199" s="31">
        <f t="shared" si="143"/>
        <v>1.5707963267948966</v>
      </c>
      <c r="AJ199" s="31" t="str">
        <f t="shared" si="129"/>
        <v>1+0.0131307883475125i</v>
      </c>
      <c r="AK199" s="31">
        <f t="shared" si="144"/>
        <v>1.0000862050856552</v>
      </c>
      <c r="AL199" s="31">
        <f t="shared" si="145"/>
        <v>1.3130033765890361E-2</v>
      </c>
      <c r="AM199" s="31" t="str">
        <f t="shared" si="130"/>
        <v>1+13.1439191358601i</v>
      </c>
      <c r="AN199" s="31">
        <f t="shared" si="146"/>
        <v>13.181904651833488</v>
      </c>
      <c r="AO199" s="31">
        <f t="shared" si="147"/>
        <v>1.4948618027663849</v>
      </c>
      <c r="AP199" s="58" t="str">
        <f t="shared" si="148"/>
        <v>-0.00431062971430042+0.000384942720126336i</v>
      </c>
      <c r="AQ199" s="49">
        <f t="shared" si="149"/>
        <v>-47.274689601173847</v>
      </c>
      <c r="AR199" s="61">
        <f t="shared" si="150"/>
        <v>174.89697673418178</v>
      </c>
      <c r="AS199" s="58" t="str">
        <f t="shared" si="151"/>
        <v>0.493168979152863+0.966495987354556i</v>
      </c>
      <c r="AT199" s="64">
        <f t="shared" si="152"/>
        <v>0.70898260594393547</v>
      </c>
      <c r="AU199" s="61">
        <f t="shared" si="153"/>
        <v>62.966374862273199</v>
      </c>
    </row>
    <row r="200" spans="14:47" x14ac:dyDescent="0.3">
      <c r="N200" s="10">
        <v>82</v>
      </c>
      <c r="O200" s="50">
        <f t="shared" si="154"/>
        <v>660.69344800759643</v>
      </c>
      <c r="P200" s="48" t="str">
        <f t="shared" si="122"/>
        <v>51201.9230769231</v>
      </c>
      <c r="Q200" s="17" t="str">
        <f t="shared" si="123"/>
        <v>1+193.99154340621i</v>
      </c>
      <c r="R200" s="17">
        <f t="shared" si="131"/>
        <v>193.99412082102759</v>
      </c>
      <c r="S200" s="17">
        <f t="shared" si="132"/>
        <v>1.5656415085742552</v>
      </c>
      <c r="T200" s="17" t="str">
        <f t="shared" si="124"/>
        <v>1+1.24537780952135E-08i</v>
      </c>
      <c r="U200" s="17">
        <f t="shared" si="133"/>
        <v>1</v>
      </c>
      <c r="V200" s="17">
        <f t="shared" si="134"/>
        <v>1.24537780952135E-8</v>
      </c>
      <c r="W200" s="31" t="str">
        <f t="shared" si="125"/>
        <v>1-0.00672504017141526i</v>
      </c>
      <c r="X200" s="17">
        <f t="shared" si="135"/>
        <v>1.0000226128269836</v>
      </c>
      <c r="Y200" s="17">
        <f t="shared" si="136"/>
        <v>-6.7249387915734289E-3</v>
      </c>
      <c r="Z200" s="31" t="str">
        <f t="shared" si="126"/>
        <v>0.999825393667104+0.410386197689457i</v>
      </c>
      <c r="AA200" s="17">
        <f t="shared" si="137"/>
        <v>1.0807717839930822</v>
      </c>
      <c r="AB200" s="17">
        <f t="shared" si="138"/>
        <v>0.38948914325206646</v>
      </c>
      <c r="AC200" s="66" t="str">
        <f t="shared" si="139"/>
        <v>-93.0871772511865-225.778809787786i</v>
      </c>
      <c r="AD200" s="64">
        <f t="shared" si="140"/>
        <v>47.755470539885948</v>
      </c>
      <c r="AE200" s="61">
        <f t="shared" si="141"/>
        <v>-112.40604464300192</v>
      </c>
      <c r="AF200" s="31" t="str">
        <f t="shared" si="127"/>
        <v>-1.33333333333333E-06</v>
      </c>
      <c r="AG200" s="31" t="str">
        <f t="shared" si="128"/>
        <v>0.00415541062443622i</v>
      </c>
      <c r="AH200" s="31">
        <f t="shared" si="142"/>
        <v>4.1554106244362198E-3</v>
      </c>
      <c r="AI200" s="31">
        <f t="shared" si="143"/>
        <v>1.5707963267948966</v>
      </c>
      <c r="AJ200" s="31" t="str">
        <f t="shared" si="129"/>
        <v>1+0.0134366436991314i</v>
      </c>
      <c r="AK200" s="31">
        <f t="shared" si="144"/>
        <v>1.0000902676228269</v>
      </c>
      <c r="AL200" s="31">
        <f t="shared" si="145"/>
        <v>1.3435835154297374E-2</v>
      </c>
      <c r="AM200" s="31" t="str">
        <f t="shared" si="130"/>
        <v>1+13.4500803428305i</v>
      </c>
      <c r="AN200" s="31">
        <f t="shared" si="146"/>
        <v>13.487203610407734</v>
      </c>
      <c r="AO200" s="31">
        <f t="shared" si="147"/>
        <v>1.4965838707644066</v>
      </c>
      <c r="AP200" s="58" t="str">
        <f t="shared" si="148"/>
        <v>-0.00431059469334591+0.000378786730701463i</v>
      </c>
      <c r="AQ200" s="49">
        <f t="shared" si="149"/>
        <v>-47.27584992565609</v>
      </c>
      <c r="AR200" s="61">
        <f t="shared" si="150"/>
        <v>174.97812283357797</v>
      </c>
      <c r="AS200" s="58" t="str">
        <f t="shared" si="151"/>
        <v>0.486783109498698+0.937980751799982i</v>
      </c>
      <c r="AT200" s="64">
        <f t="shared" si="152"/>
        <v>0.47962061422985991</v>
      </c>
      <c r="AU200" s="61">
        <f t="shared" si="153"/>
        <v>62.57207819057605</v>
      </c>
    </row>
    <row r="201" spans="14:47" x14ac:dyDescent="0.3">
      <c r="N201" s="10">
        <v>83</v>
      </c>
      <c r="O201" s="50">
        <f t="shared" si="154"/>
        <v>676.08297539198213</v>
      </c>
      <c r="P201" s="48" t="str">
        <f t="shared" si="122"/>
        <v>51201.9230769231</v>
      </c>
      <c r="Q201" s="17" t="str">
        <f t="shared" si="123"/>
        <v>1+198.510186929302i</v>
      </c>
      <c r="R201" s="17">
        <f t="shared" si="131"/>
        <v>198.51270567574866</v>
      </c>
      <c r="S201" s="17">
        <f t="shared" si="132"/>
        <v>1.5657588445542527</v>
      </c>
      <c r="T201" s="17" t="str">
        <f t="shared" si="124"/>
        <v>1+1.27438638522515E-08i</v>
      </c>
      <c r="U201" s="17">
        <f t="shared" si="133"/>
        <v>1</v>
      </c>
      <c r="V201" s="17">
        <f t="shared" si="134"/>
        <v>1.27438638522515E-8</v>
      </c>
      <c r="W201" s="31" t="str">
        <f t="shared" si="125"/>
        <v>1-0.0068816864802158i</v>
      </c>
      <c r="X201" s="17">
        <f t="shared" si="135"/>
        <v>1.0000236785240697</v>
      </c>
      <c r="Y201" s="17">
        <f t="shared" si="136"/>
        <v>-6.8815778498970345E-3</v>
      </c>
      <c r="Z201" s="31" t="str">
        <f t="shared" si="126"/>
        <v>0.999817164724154+0.419945320224365i</v>
      </c>
      <c r="AA201" s="17">
        <f t="shared" si="137"/>
        <v>1.0844300045901489</v>
      </c>
      <c r="AB201" s="17">
        <f t="shared" si="138"/>
        <v>0.39764679032272904</v>
      </c>
      <c r="AC201" s="66" t="str">
        <f t="shared" si="139"/>
        <v>-92.5123637702107-219.123285326646i</v>
      </c>
      <c r="AD201" s="64">
        <f t="shared" si="140"/>
        <v>47.526134441058041</v>
      </c>
      <c r="AE201" s="61">
        <f t="shared" si="141"/>
        <v>-112.88914098767519</v>
      </c>
      <c r="AF201" s="31" t="str">
        <f t="shared" si="127"/>
        <v>-1.33333333333333E-06</v>
      </c>
      <c r="AG201" s="31" t="str">
        <f t="shared" si="128"/>
        <v>0.00425220257203458i</v>
      </c>
      <c r="AH201" s="31">
        <f t="shared" si="142"/>
        <v>4.2522025720345804E-3</v>
      </c>
      <c r="AI201" s="31">
        <f t="shared" si="143"/>
        <v>1.5707963267948966</v>
      </c>
      <c r="AJ201" s="31" t="str">
        <f t="shared" si="129"/>
        <v>1+0.0137496233370945i</v>
      </c>
      <c r="AK201" s="31">
        <f t="shared" si="144"/>
        <v>1.0000945216037891</v>
      </c>
      <c r="AL201" s="31">
        <f t="shared" si="145"/>
        <v>1.3748756970118044E-2</v>
      </c>
      <c r="AM201" s="31" t="str">
        <f t="shared" si="130"/>
        <v>1+13.7633729604316i</v>
      </c>
      <c r="AN201" s="31">
        <f t="shared" si="146"/>
        <v>13.799653446660887</v>
      </c>
      <c r="AO201" s="31">
        <f t="shared" si="147"/>
        <v>1.498267165915891</v>
      </c>
      <c r="AP201" s="58" t="str">
        <f t="shared" si="148"/>
        <v>-0.00431055802251456+0.000372831534657664i</v>
      </c>
      <c r="AQ201" s="49">
        <f t="shared" si="149"/>
        <v>-47.276961549648611</v>
      </c>
      <c r="AR201" s="61">
        <f t="shared" si="150"/>
        <v>175.05663944206879</v>
      </c>
      <c r="AS201" s="58" t="str">
        <f t="shared" si="151"/>
        <v>0.48047598257903+0.910052108925265i</v>
      </c>
      <c r="AT201" s="64">
        <f t="shared" si="152"/>
        <v>0.24917289140942817</v>
      </c>
      <c r="AU201" s="61">
        <f t="shared" si="153"/>
        <v>62.167498454393574</v>
      </c>
    </row>
    <row r="202" spans="14:47" x14ac:dyDescent="0.3">
      <c r="N202" s="10">
        <v>84</v>
      </c>
      <c r="O202" s="50">
        <f t="shared" si="154"/>
        <v>691.83097091893671</v>
      </c>
      <c r="P202" s="48" t="str">
        <f t="shared" si="122"/>
        <v>51201.9230769231</v>
      </c>
      <c r="Q202" s="17" t="str">
        <f t="shared" si="123"/>
        <v>1+203.134083181097i</v>
      </c>
      <c r="R202" s="17">
        <f t="shared" si="131"/>
        <v>203.13654459457763</v>
      </c>
      <c r="S202" s="17">
        <f t="shared" si="132"/>
        <v>1.5658735097752978</v>
      </c>
      <c r="T202" s="17" t="str">
        <f t="shared" si="124"/>
        <v>1+1.3040706574589E-08i</v>
      </c>
      <c r="U202" s="17">
        <f t="shared" si="133"/>
        <v>1</v>
      </c>
      <c r="V202" s="17">
        <f t="shared" si="134"/>
        <v>1.3040706574589E-8</v>
      </c>
      <c r="W202" s="31" t="str">
        <f t="shared" si="125"/>
        <v>1-0.00704198155027803i</v>
      </c>
      <c r="X202" s="17">
        <f t="shared" si="135"/>
        <v>1.0000247944446949</v>
      </c>
      <c r="Y202" s="17">
        <f t="shared" si="136"/>
        <v>-7.0418651509502068E-3</v>
      </c>
      <c r="Z202" s="31" t="str">
        <f t="shared" si="126"/>
        <v>0.999808547963071+0.42972710332669i</v>
      </c>
      <c r="AA202" s="17">
        <f t="shared" si="137"/>
        <v>1.0882474515998517</v>
      </c>
      <c r="AB202" s="17">
        <f t="shared" si="138"/>
        <v>0.40593718231634079</v>
      </c>
      <c r="AC202" s="66" t="str">
        <f t="shared" si="139"/>
        <v>-91.9139272947204-212.605161938992i</v>
      </c>
      <c r="AD202" s="64">
        <f t="shared" si="140"/>
        <v>47.29562642458761</v>
      </c>
      <c r="AE202" s="61">
        <f t="shared" si="141"/>
        <v>-113.37989906149301</v>
      </c>
      <c r="AF202" s="31" t="str">
        <f t="shared" si="127"/>
        <v>-1.33333333333333E-06</v>
      </c>
      <c r="AG202" s="31" t="str">
        <f t="shared" si="128"/>
        <v>0.00435124909372118i</v>
      </c>
      <c r="AH202" s="31">
        <f t="shared" si="142"/>
        <v>4.3512490937211799E-3</v>
      </c>
      <c r="AI202" s="31">
        <f t="shared" si="143"/>
        <v>1.5707963267948966</v>
      </c>
      <c r="AJ202" s="31" t="str">
        <f t="shared" si="129"/>
        <v>1+0.0140698932073487i</v>
      </c>
      <c r="AK202" s="31">
        <f t="shared" si="144"/>
        <v>1.000098976049304</v>
      </c>
      <c r="AL202" s="31">
        <f t="shared" si="145"/>
        <v>1.4068964883369907E-2</v>
      </c>
      <c r="AM202" s="31" t="str">
        <f t="shared" si="130"/>
        <v>1+14.0839631005561i</v>
      </c>
      <c r="AN202" s="31">
        <f t="shared" si="146"/>
        <v>14.119419839987255</v>
      </c>
      <c r="AO202" s="31">
        <f t="shared" si="147"/>
        <v>1.4999125425481288</v>
      </c>
      <c r="AP202" s="58" t="str">
        <f t="shared" si="148"/>
        <v>-0.00431051962410892+0.000367073971299979i</v>
      </c>
      <c r="AQ202" s="49">
        <f t="shared" si="149"/>
        <v>-47.278026794364784</v>
      </c>
      <c r="AR202" s="61">
        <f t="shared" si="150"/>
        <v>175.13256601680942</v>
      </c>
      <c r="AS202" s="58" t="str">
        <f t="shared" si="151"/>
        <v>0.474238608444634+0.882699512415029i</v>
      </c>
      <c r="AT202" s="64">
        <f t="shared" si="152"/>
        <v>1.7599630222823282E-2</v>
      </c>
      <c r="AU202" s="61">
        <f t="shared" si="153"/>
        <v>61.7526669553164</v>
      </c>
    </row>
    <row r="203" spans="14:47" x14ac:dyDescent="0.3">
      <c r="N203" s="10">
        <v>85</v>
      </c>
      <c r="O203" s="50">
        <f t="shared" si="154"/>
        <v>707.94578438413873</v>
      </c>
      <c r="P203" s="48" t="str">
        <f t="shared" si="122"/>
        <v>51201.9230769231</v>
      </c>
      <c r="Q203" s="17" t="str">
        <f t="shared" si="123"/>
        <v>1+207.865683812593i</v>
      </c>
      <c r="R203" s="17">
        <f t="shared" si="131"/>
        <v>207.86808919811835</v>
      </c>
      <c r="S203" s="17">
        <f t="shared" si="132"/>
        <v>1.5659855650223407</v>
      </c>
      <c r="T203" s="17" t="str">
        <f t="shared" si="124"/>
        <v>1+1.33444636521665E-08i</v>
      </c>
      <c r="U203" s="17">
        <f t="shared" si="133"/>
        <v>1</v>
      </c>
      <c r="V203" s="17">
        <f t="shared" si="134"/>
        <v>1.33444636521665E-8</v>
      </c>
      <c r="W203" s="31" t="str">
        <f t="shared" si="125"/>
        <v>1-0.00720601037216988i</v>
      </c>
      <c r="X203" s="17">
        <f t="shared" si="135"/>
        <v>1.0000259629557045</v>
      </c>
      <c r="Y203" s="17">
        <f t="shared" si="136"/>
        <v>-7.2058856482178878E-3</v>
      </c>
      <c r="Z203" s="31" t="str">
        <f t="shared" si="126"/>
        <v>0.999799525106549+0.43973673342731i</v>
      </c>
      <c r="AA203" s="17">
        <f t="shared" si="137"/>
        <v>1.0922305091548221</v>
      </c>
      <c r="AB203" s="17">
        <f t="shared" si="138"/>
        <v>0.41436017215341664</v>
      </c>
      <c r="AC203" s="66" t="str">
        <f t="shared" si="139"/>
        <v>-91.2916801747227-206.222029862497i</v>
      </c>
      <c r="AD203" s="64">
        <f t="shared" si="140"/>
        <v>47.063908417845603</v>
      </c>
      <c r="AE203" s="61">
        <f t="shared" si="141"/>
        <v>-113.87831878761001</v>
      </c>
      <c r="AF203" s="31" t="str">
        <f t="shared" si="127"/>
        <v>-1.33333333333333E-06</v>
      </c>
      <c r="AG203" s="31" t="str">
        <f t="shared" si="128"/>
        <v>0.00445260270527287i</v>
      </c>
      <c r="AH203" s="31">
        <f t="shared" si="142"/>
        <v>4.4526027052728696E-3</v>
      </c>
      <c r="AI203" s="31">
        <f t="shared" si="143"/>
        <v>1.5707963267948966</v>
      </c>
      <c r="AJ203" s="31" t="str">
        <f t="shared" si="129"/>
        <v>1+0.0143976231212185i</v>
      </c>
      <c r="AK203" s="31">
        <f t="shared" si="144"/>
        <v>1.0001036404051036</v>
      </c>
      <c r="AL203" s="31">
        <f t="shared" si="145"/>
        <v>1.4396628409720979E-2</v>
      </c>
      <c r="AM203" s="31" t="str">
        <f t="shared" si="130"/>
        <v>1+14.4120207443398i</v>
      </c>
      <c r="AN203" s="31">
        <f t="shared" si="146"/>
        <v>14.446672348166574</v>
      </c>
      <c r="AO203" s="31">
        <f t="shared" si="147"/>
        <v>1.5015208374058442</v>
      </c>
      <c r="AP203" s="58" t="str">
        <f t="shared" si="148"/>
        <v>-0.00431047941677539+0.000361510984494254i</v>
      </c>
      <c r="AQ203" s="49">
        <f t="shared" si="149"/>
        <v>-47.279047885840136</v>
      </c>
      <c r="AR203" s="61">
        <f t="shared" si="150"/>
        <v>175.20594078720882</v>
      </c>
      <c r="AS203" s="58" t="str">
        <f t="shared" si="151"/>
        <v>0.468062437355979+0.855912869831835i</v>
      </c>
      <c r="AT203" s="64">
        <f t="shared" si="152"/>
        <v>-0.21513946799453337</v>
      </c>
      <c r="AU203" s="61">
        <f t="shared" si="153"/>
        <v>61.327621999598819</v>
      </c>
    </row>
    <row r="204" spans="14:47" x14ac:dyDescent="0.3">
      <c r="N204" s="10">
        <v>86</v>
      </c>
      <c r="O204" s="50">
        <f t="shared" si="154"/>
        <v>724.43596007499025</v>
      </c>
      <c r="P204" s="48" t="str">
        <f t="shared" si="122"/>
        <v>51201.9230769231</v>
      </c>
      <c r="Q204" s="17" t="str">
        <f t="shared" si="123"/>
        <v>1+212.707497581073i</v>
      </c>
      <c r="R204" s="17">
        <f t="shared" si="131"/>
        <v>212.70984821395123</v>
      </c>
      <c r="S204" s="17">
        <f t="shared" si="132"/>
        <v>1.5660950696972937</v>
      </c>
      <c r="T204" s="17" t="str">
        <f t="shared" si="124"/>
        <v>1+1.36552961410072E-08i</v>
      </c>
      <c r="U204" s="17">
        <f t="shared" si="133"/>
        <v>1</v>
      </c>
      <c r="V204" s="17">
        <f t="shared" si="134"/>
        <v>1.3655296141007198E-8</v>
      </c>
      <c r="W204" s="31" t="str">
        <f t="shared" si="125"/>
        <v>1-0.00737385991614386i</v>
      </c>
      <c r="X204" s="17">
        <f t="shared" si="135"/>
        <v>1.0000271865354775</v>
      </c>
      <c r="Y204" s="17">
        <f t="shared" si="136"/>
        <v>-7.3737262722177004E-3</v>
      </c>
      <c r="Z204" s="31" t="str">
        <f t="shared" si="126"/>
        <v>0.9997900770159+0.449979517764596i</v>
      </c>
      <c r="AA204" s="17">
        <f t="shared" si="137"/>
        <v>1.096385773579317</v>
      </c>
      <c r="AB204" s="17">
        <f t="shared" si="138"/>
        <v>0.42291546176060346</v>
      </c>
      <c r="AC204" s="66" t="str">
        <f t="shared" si="139"/>
        <v>-90.6454550773204-199.971582574649i</v>
      </c>
      <c r="AD204" s="64">
        <f t="shared" si="140"/>
        <v>46.83094180630988</v>
      </c>
      <c r="AE204" s="61">
        <f t="shared" si="141"/>
        <v>-114.38439147190229</v>
      </c>
      <c r="AF204" s="31" t="str">
        <f t="shared" si="127"/>
        <v>-1.33333333333333E-06</v>
      </c>
      <c r="AG204" s="31" t="str">
        <f t="shared" si="128"/>
        <v>0.00455631714571605i</v>
      </c>
      <c r="AH204" s="31">
        <f t="shared" si="142"/>
        <v>4.5563171457160502E-3</v>
      </c>
      <c r="AI204" s="31">
        <f t="shared" si="143"/>
        <v>1.5707963267948966</v>
      </c>
      <c r="AJ204" s="31" t="str">
        <f t="shared" si="129"/>
        <v>1+0.0147329868454423i</v>
      </c>
      <c r="AK204" s="31">
        <f t="shared" si="144"/>
        <v>1.0001085245619037</v>
      </c>
      <c r="AL204" s="31">
        <f t="shared" si="145"/>
        <v>1.4731920999116058E-2</v>
      </c>
      <c r="AM204" s="31" t="str">
        <f t="shared" si="130"/>
        <v>1+14.7477198322877i</v>
      </c>
      <c r="AN204" s="31">
        <f t="shared" si="146"/>
        <v>14.781584497328152</v>
      </c>
      <c r="AO204" s="31">
        <f t="shared" si="147"/>
        <v>1.5030928699292874</v>
      </c>
      <c r="AP204" s="58" t="str">
        <f t="shared" si="148"/>
        <v>-0.00431043731533252+0.000356139621030558i</v>
      </c>
      <c r="AQ204" s="49">
        <f t="shared" si="149"/>
        <v>-47.280026959374553</v>
      </c>
      <c r="AR204" s="61">
        <f t="shared" si="150"/>
        <v>175.27680076578505</v>
      </c>
      <c r="AS204" s="58" t="str">
        <f t="shared" si="151"/>
        <v>0.461939355665596+0.829682533516486i</v>
      </c>
      <c r="AT204" s="64">
        <f t="shared" si="152"/>
        <v>-0.4490851530646694</v>
      </c>
      <c r="AU204" s="61">
        <f t="shared" si="153"/>
        <v>60.892409293882771</v>
      </c>
    </row>
    <row r="205" spans="14:47" x14ac:dyDescent="0.3">
      <c r="N205" s="10">
        <v>87</v>
      </c>
      <c r="O205" s="50">
        <f t="shared" si="154"/>
        <v>741.31024130091828</v>
      </c>
      <c r="P205" s="48" t="str">
        <f t="shared" si="122"/>
        <v>51201.9230769231</v>
      </c>
      <c r="Q205" s="17" t="str">
        <f t="shared" si="123"/>
        <v>1+217.662091680287i</v>
      </c>
      <c r="R205" s="17">
        <f t="shared" si="131"/>
        <v>217.66438880679971</v>
      </c>
      <c r="S205" s="17">
        <f t="shared" si="132"/>
        <v>1.5662020818504743</v>
      </c>
      <c r="T205" s="17" t="str">
        <f t="shared" si="124"/>
        <v>1+1.39733688486111E-08i</v>
      </c>
      <c r="U205" s="17">
        <f t="shared" si="133"/>
        <v>1</v>
      </c>
      <c r="V205" s="17">
        <f t="shared" si="134"/>
        <v>1.3973368848611099E-8</v>
      </c>
      <c r="W205" s="31" t="str">
        <f t="shared" si="125"/>
        <v>1-0.00754561917824996i</v>
      </c>
      <c r="X205" s="17">
        <f t="shared" si="135"/>
        <v>1.0000284677791844</v>
      </c>
      <c r="Y205" s="17">
        <f t="shared" si="136"/>
        <v>-7.5454759764232195E-3</v>
      </c>
      <c r="Z205" s="31" t="str">
        <f t="shared" si="126"/>
        <v>0.999780183650457+0.460460887198384i</v>
      </c>
      <c r="AA205" s="17">
        <f t="shared" si="137"/>
        <v>1.1007200571715154</v>
      </c>
      <c r="AB205" s="17">
        <f t="shared" si="138"/>
        <v>0.43160259537440654</v>
      </c>
      <c r="AC205" s="66" t="str">
        <f t="shared" si="139"/>
        <v>-89.9751078781149-193.851614617424i</v>
      </c>
      <c r="AD205" s="64">
        <f t="shared" si="140"/>
        <v>46.596687482984613</v>
      </c>
      <c r="AE205" s="61">
        <f t="shared" si="141"/>
        <v>-114.89809942373275</v>
      </c>
      <c r="AF205" s="31" t="str">
        <f t="shared" si="127"/>
        <v>-1.33333333333333E-06</v>
      </c>
      <c r="AG205" s="31" t="str">
        <f t="shared" si="128"/>
        <v>0.00466244740581989i</v>
      </c>
      <c r="AH205" s="31">
        <f t="shared" si="142"/>
        <v>4.66244740581989E-3</v>
      </c>
      <c r="AI205" s="31">
        <f t="shared" si="143"/>
        <v>1.5707963267948966</v>
      </c>
      <c r="AJ205" s="31" t="str">
        <f t="shared" si="129"/>
        <v>1+0.0150761621943056i</v>
      </c>
      <c r="AK205" s="31">
        <f t="shared" si="144"/>
        <v>1.0001136388763574</v>
      </c>
      <c r="AL205" s="31">
        <f t="shared" si="145"/>
        <v>1.50750201263992E-2</v>
      </c>
      <c r="AM205" s="31" t="str">
        <f t="shared" si="130"/>
        <v>1+15.0912383564999i</v>
      </c>
      <c r="AN205" s="31">
        <f t="shared" si="146"/>
        <v>15.124333874015539</v>
      </c>
      <c r="AO205" s="31">
        <f t="shared" si="147"/>
        <v>1.5046294425339013</v>
      </c>
      <c r="AP205" s="58" t="str">
        <f t="shared" si="148"/>
        <v>-0.00431039323059126+0.000350957029039994i</v>
      </c>
      <c r="AQ205" s="49">
        <f t="shared" si="149"/>
        <v>-47.280966063806048</v>
      </c>
      <c r="AR205" s="61">
        <f t="shared" si="150"/>
        <v>175.34518175899692</v>
      </c>
      <c r="AS205" s="58" t="str">
        <f t="shared" si="151"/>
        <v>0.455861682660282+0.803999290837674i</v>
      </c>
      <c r="AT205" s="64">
        <f t="shared" si="152"/>
        <v>-0.68427858082144355</v>
      </c>
      <c r="AU205" s="61">
        <f t="shared" si="153"/>
        <v>60.447082335264156</v>
      </c>
    </row>
    <row r="206" spans="14:47" x14ac:dyDescent="0.3">
      <c r="N206" s="10">
        <v>88</v>
      </c>
      <c r="O206" s="50">
        <f t="shared" si="154"/>
        <v>758.57757502918378</v>
      </c>
      <c r="P206" s="48" t="str">
        <f t="shared" si="122"/>
        <v>51201.9230769231</v>
      </c>
      <c r="Q206" s="17" t="str">
        <f t="shared" si="123"/>
        <v>1+222.732093101609i</v>
      </c>
      <c r="R206" s="17">
        <f t="shared" si="131"/>
        <v>222.73433793967158</v>
      </c>
      <c r="S206" s="17">
        <f t="shared" si="132"/>
        <v>1.5663066582113332</v>
      </c>
      <c r="T206" s="17" t="str">
        <f t="shared" si="124"/>
        <v>1+1.42988504213379E-08i</v>
      </c>
      <c r="U206" s="17">
        <f t="shared" si="133"/>
        <v>1</v>
      </c>
      <c r="V206" s="17">
        <f t="shared" si="134"/>
        <v>1.4298850421337898E-8</v>
      </c>
      <c r="W206" s="31" t="str">
        <f t="shared" si="125"/>
        <v>1-0.00772137922752245i</v>
      </c>
      <c r="X206" s="17">
        <f t="shared" si="135"/>
        <v>1.0000298094042872</v>
      </c>
      <c r="Y206" s="17">
        <f t="shared" si="136"/>
        <v>-7.7212257842475844E-3</v>
      </c>
      <c r="Z206" s="31" t="str">
        <f t="shared" si="126"/>
        <v>0.999769824025065+0.471186399089485i</v>
      </c>
      <c r="AA206" s="17">
        <f t="shared" si="137"/>
        <v>1.105240391823437</v>
      </c>
      <c r="AB206" s="17">
        <f t="shared" si="138"/>
        <v>0.44042095298511968</v>
      </c>
      <c r="AC206" s="66" t="str">
        <f t="shared" si="139"/>
        <v>-89.2805205907202-187.86001924938i</v>
      </c>
      <c r="AD206" s="64">
        <f t="shared" si="140"/>
        <v>46.361105902654245</v>
      </c>
      <c r="AE206" s="61">
        <f t="shared" si="141"/>
        <v>-115.41941558476759</v>
      </c>
      <c r="AF206" s="31" t="str">
        <f t="shared" si="127"/>
        <v>-1.33333333333333E-06</v>
      </c>
      <c r="AG206" s="31" t="str">
        <f t="shared" si="128"/>
        <v>0.00477104975725307i</v>
      </c>
      <c r="AH206" s="31">
        <f t="shared" si="142"/>
        <v>4.7710497572530696E-3</v>
      </c>
      <c r="AI206" s="31">
        <f t="shared" si="143"/>
        <v>1.5707963267948966</v>
      </c>
      <c r="AJ206" s="31" t="str">
        <f t="shared" si="129"/>
        <v>1+0.015427331123921i</v>
      </c>
      <c r="AK206" s="31">
        <f t="shared" si="144"/>
        <v>1.0001189941929944</v>
      </c>
      <c r="AL206" s="31">
        <f t="shared" si="145"/>
        <v>1.5426107383975041E-2</v>
      </c>
      <c r="AM206" s="31" t="str">
        <f t="shared" si="130"/>
        <v>1+15.4427584550449i</v>
      </c>
      <c r="AN206" s="31">
        <f t="shared" si="146"/>
        <v>15.475102219399417</v>
      </c>
      <c r="AO206" s="31">
        <f t="shared" si="147"/>
        <v>1.5061313408910246</v>
      </c>
      <c r="AP206" s="58" t="str">
        <f t="shared" si="148"/>
        <v>-0.00431034706916666+0.000345960456464023i</v>
      </c>
      <c r="AQ206" s="49">
        <f t="shared" si="149"/>
        <v>-47.281867165623659</v>
      </c>
      <c r="AR206" s="61">
        <f t="shared" si="150"/>
        <v>175.41111837801782</v>
      </c>
      <c r="AS206" s="58" t="str">
        <f t="shared" si="151"/>
        <v>0.44982216827274+0.778854353728246i</v>
      </c>
      <c r="AT206" s="64">
        <f t="shared" si="152"/>
        <v>-0.9207612629694204</v>
      </c>
      <c r="AU206" s="61">
        <f t="shared" si="153"/>
        <v>59.991702793250234</v>
      </c>
    </row>
    <row r="207" spans="14:47" x14ac:dyDescent="0.3">
      <c r="N207" s="10">
        <v>89</v>
      </c>
      <c r="O207" s="50">
        <f t="shared" si="154"/>
        <v>776.24711662869231</v>
      </c>
      <c r="P207" s="48" t="str">
        <f t="shared" si="122"/>
        <v>51201.9230769231</v>
      </c>
      <c r="Q207" s="17" t="str">
        <f t="shared" si="123"/>
        <v>1+227.920190026901i</v>
      </c>
      <c r="R207" s="17">
        <f t="shared" si="131"/>
        <v>227.92238376670829</v>
      </c>
      <c r="S207" s="17">
        <f t="shared" si="132"/>
        <v>1.5664088542184864</v>
      </c>
      <c r="T207" s="17" t="str">
        <f t="shared" si="124"/>
        <v>1+1.46319134338258E-08i</v>
      </c>
      <c r="U207" s="17">
        <f t="shared" si="133"/>
        <v>1</v>
      </c>
      <c r="V207" s="17">
        <f t="shared" si="134"/>
        <v>1.4631913433825798E-8</v>
      </c>
      <c r="W207" s="31" t="str">
        <f t="shared" si="125"/>
        <v>1-0.00790123325426591i</v>
      </c>
      <c r="X207" s="17">
        <f t="shared" si="135"/>
        <v>1.0000312142563041</v>
      </c>
      <c r="Y207" s="17">
        <f t="shared" si="136"/>
        <v>-7.9010688371118042E-3</v>
      </c>
      <c r="Z207" s="31" t="str">
        <f t="shared" si="126"/>
        <v>0.99975897616557+0.482161740246273i</v>
      </c>
      <c r="AA207" s="17">
        <f t="shared" si="137"/>
        <v>1.109954032463031</v>
      </c>
      <c r="AB207" s="17">
        <f t="shared" si="138"/>
        <v>0.44936974396585228</v>
      </c>
      <c r="AC207" s="66" t="str">
        <f t="shared" si="139"/>
        <v>-88.5616043192385-181.994785911953i</v>
      </c>
      <c r="AD207" s="64">
        <f t="shared" si="140"/>
        <v>46.124157141046481</v>
      </c>
      <c r="AE207" s="61">
        <f t="shared" si="141"/>
        <v>-115.94830316842192</v>
      </c>
      <c r="AF207" s="31" t="str">
        <f t="shared" si="127"/>
        <v>-1.33333333333333E-06</v>
      </c>
      <c r="AG207" s="31" t="str">
        <f t="shared" si="128"/>
        <v>0.00488218178241986i</v>
      </c>
      <c r="AH207" s="31">
        <f t="shared" si="142"/>
        <v>4.88218178241986E-3</v>
      </c>
      <c r="AI207" s="31">
        <f t="shared" si="143"/>
        <v>1.5707963267948966</v>
      </c>
      <c r="AJ207" s="31" t="str">
        <f t="shared" si="129"/>
        <v>1+0.0157866798287031i</v>
      </c>
      <c r="AK207" s="31">
        <f t="shared" si="144"/>
        <v>1.0001246018671943</v>
      </c>
      <c r="AL207" s="31">
        <f t="shared" si="145"/>
        <v>1.5785368576549431E-2</v>
      </c>
      <c r="AM207" s="31" t="str">
        <f t="shared" si="130"/>
        <v>1+15.8024665085318i</v>
      </c>
      <c r="AN207" s="31">
        <f t="shared" si="146"/>
        <v>15.83407552569045</v>
      </c>
      <c r="AO207" s="31">
        <f t="shared" si="147"/>
        <v>1.5075993342091405</v>
      </c>
      <c r="AP207" s="58" t="str">
        <f t="shared" si="148"/>
        <v>-0.00431029873328082+0.000341147249575368i</v>
      </c>
      <c r="AQ207" s="49">
        <f t="shared" si="149"/>
        <v>-47.282732152925533</v>
      </c>
      <c r="AR207" s="61">
        <f t="shared" si="150"/>
        <v>175.47464404942193</v>
      </c>
      <c r="AS207" s="58" t="str">
        <f t="shared" si="151"/>
        <v>0.443813991565452+0.754239347448515i</v>
      </c>
      <c r="AT207" s="64">
        <f t="shared" si="152"/>
        <v>-1.1585750118790559</v>
      </c>
      <c r="AU207" s="61">
        <f t="shared" si="153"/>
        <v>59.526340880999975</v>
      </c>
    </row>
    <row r="208" spans="14:47" x14ac:dyDescent="0.3">
      <c r="N208" s="10">
        <v>90</v>
      </c>
      <c r="O208" s="50">
        <f t="shared" si="154"/>
        <v>794.32823472428208</v>
      </c>
      <c r="P208" s="48" t="str">
        <f t="shared" si="122"/>
        <v>51201.9230769231</v>
      </c>
      <c r="Q208" s="17" t="str">
        <f t="shared" si="123"/>
        <v>1+233.229133253826i</v>
      </c>
      <c r="R208" s="17">
        <f t="shared" si="131"/>
        <v>233.23127705848316</v>
      </c>
      <c r="S208" s="17">
        <f t="shared" si="132"/>
        <v>1.5665087240490663</v>
      </c>
      <c r="T208" s="17" t="str">
        <f t="shared" si="124"/>
        <v>1+1.49727344804925E-08i</v>
      </c>
      <c r="U208" s="17">
        <f t="shared" si="133"/>
        <v>1</v>
      </c>
      <c r="V208" s="17">
        <f t="shared" si="134"/>
        <v>1.4972734480492501E-8</v>
      </c>
      <c r="W208" s="31" t="str">
        <f t="shared" si="125"/>
        <v>1-0.00808527661946596i</v>
      </c>
      <c r="X208" s="17">
        <f t="shared" si="135"/>
        <v>1.0000326853148418</v>
      </c>
      <c r="Y208" s="17">
        <f t="shared" si="136"/>
        <v>-8.0851004436222167E-3</v>
      </c>
      <c r="Z208" s="31" t="str">
        <f t="shared" si="126"/>
        <v>0.999747617062208+0.493392729939905i</v>
      </c>
      <c r="AA208" s="17">
        <f t="shared" si="137"/>
        <v>1.114868460303329</v>
      </c>
      <c r="AB208" s="17">
        <f t="shared" si="138"/>
        <v>0.45844800093401511</v>
      </c>
      <c r="AC208" s="66" t="str">
        <f t="shared" si="139"/>
        <v>-87.818302216624-176.25399749779i</v>
      </c>
      <c r="AD208" s="64">
        <f t="shared" si="140"/>
        <v>45.885800958950242</v>
      </c>
      <c r="AE208" s="61">
        <f t="shared" si="141"/>
        <v>-116.48471531264835</v>
      </c>
      <c r="AF208" s="31" t="str">
        <f t="shared" si="127"/>
        <v>-1.33333333333333E-06</v>
      </c>
      <c r="AG208" s="31" t="str">
        <f t="shared" si="128"/>
        <v>0.00499590240499101i</v>
      </c>
      <c r="AH208" s="31">
        <f t="shared" si="142"/>
        <v>4.9959024049910103E-3</v>
      </c>
      <c r="AI208" s="31">
        <f t="shared" si="143"/>
        <v>1.5707963267948966</v>
      </c>
      <c r="AJ208" s="31" t="str">
        <f t="shared" si="129"/>
        <v>1+0.0161543988400918i</v>
      </c>
      <c r="AK208" s="31">
        <f t="shared" si="144"/>
        <v>1.0001304737892376</v>
      </c>
      <c r="AL208" s="31">
        <f t="shared" si="145"/>
        <v>1.6152993817994527E-2</v>
      </c>
      <c r="AM208" s="31" t="str">
        <f t="shared" si="130"/>
        <v>1+16.1705532389319i</v>
      </c>
      <c r="AN208" s="31">
        <f t="shared" si="146"/>
        <v>16.201444134802642</v>
      </c>
      <c r="AO208" s="31">
        <f t="shared" si="147"/>
        <v>1.5090341755152146</v>
      </c>
      <c r="AP208" s="58" t="str">
        <f t="shared" si="148"/>
        <v>-0.00431024812055675+0.00033651485154964i</v>
      </c>
      <c r="AQ208" s="49">
        <f t="shared" si="149"/>
        <v>-47.283562839229035</v>
      </c>
      <c r="AR208" s="61">
        <f t="shared" si="150"/>
        <v>175.5357910257537</v>
      </c>
      <c r="AS208" s="58" t="str">
        <f t="shared" si="151"/>
        <v>0.437830759882688+0.730146298521695i</v>
      </c>
      <c r="AT208" s="64">
        <f t="shared" si="152"/>
        <v>-1.3977618802787948</v>
      </c>
      <c r="AU208" s="61">
        <f t="shared" si="153"/>
        <v>59.051075713105377</v>
      </c>
    </row>
    <row r="209" spans="14:47" x14ac:dyDescent="0.3">
      <c r="N209" s="10">
        <v>91</v>
      </c>
      <c r="O209" s="50">
        <f t="shared" si="154"/>
        <v>812.83051616409978</v>
      </c>
      <c r="P209" s="48" t="str">
        <f t="shared" si="122"/>
        <v>51201.9230769231</v>
      </c>
      <c r="Q209" s="17" t="str">
        <f t="shared" si="123"/>
        <v>1+238.661737654354i</v>
      </c>
      <c r="R209" s="17">
        <f t="shared" si="131"/>
        <v>238.66383266049277</v>
      </c>
      <c r="S209" s="17">
        <f t="shared" si="132"/>
        <v>1.5666063206474055</v>
      </c>
      <c r="T209" s="17" t="str">
        <f t="shared" si="124"/>
        <v>1+1.53214942691684E-08i</v>
      </c>
      <c r="U209" s="17">
        <f t="shared" si="133"/>
        <v>1</v>
      </c>
      <c r="V209" s="17">
        <f t="shared" si="134"/>
        <v>1.53214942691684E-8</v>
      </c>
      <c r="W209" s="31" t="str">
        <f t="shared" si="125"/>
        <v>1-0.00827360690535094i</v>
      </c>
      <c r="X209" s="17">
        <f t="shared" si="135"/>
        <v>1.0000342256999128</v>
      </c>
      <c r="Y209" s="17">
        <f t="shared" si="136"/>
        <v>-8.2734181298821877E-3</v>
      </c>
      <c r="Z209" s="31" t="str">
        <f t="shared" si="126"/>
        <v>0.999735722620797+0.504885322989775i</v>
      </c>
      <c r="AA209" s="17">
        <f t="shared" si="137"/>
        <v>1.1199913858841131</v>
      </c>
      <c r="AB209" s="17">
        <f t="shared" si="138"/>
        <v>0.46765457389488935</v>
      </c>
      <c r="AC209" s="66" t="str">
        <f t="shared" si="139"/>
        <v>-87.0505924299752-170.635827410211i</v>
      </c>
      <c r="AD209" s="64">
        <f t="shared" si="140"/>
        <v>45.645996871301634</v>
      </c>
      <c r="AE209" s="61">
        <f t="shared" si="141"/>
        <v>-117.02859474891339</v>
      </c>
      <c r="AF209" s="31" t="str">
        <f t="shared" si="127"/>
        <v>-1.33333333333333E-06</v>
      </c>
      <c r="AG209" s="31" t="str">
        <f t="shared" si="128"/>
        <v>0.00511227192114586i</v>
      </c>
      <c r="AH209" s="31">
        <f t="shared" si="142"/>
        <v>5.1122719211458599E-3</v>
      </c>
      <c r="AI209" s="31">
        <f t="shared" si="143"/>
        <v>1.5707963267948966</v>
      </c>
      <c r="AJ209" s="31" t="str">
        <f t="shared" si="129"/>
        <v>1+0.0165306831275743i</v>
      </c>
      <c r="AK209" s="31">
        <f t="shared" si="144"/>
        <v>1.0001366224094907</v>
      </c>
      <c r="AL209" s="31">
        <f t="shared" si="145"/>
        <v>1.6529177630379931E-2</v>
      </c>
      <c r="AM209" s="31" t="str">
        <f t="shared" si="130"/>
        <v>1+16.5472138107019i</v>
      </c>
      <c r="AN209" s="31">
        <f t="shared" si="146"/>
        <v>16.577402839319667</v>
      </c>
      <c r="AO209" s="31">
        <f t="shared" si="147"/>
        <v>1.5104366019357054</v>
      </c>
      <c r="AP209" s="58" t="str">
        <f t="shared" si="148"/>
        <v>-0.00431019512380246+0.000332060801086823i</v>
      </c>
      <c r="AQ209" s="49">
        <f t="shared" si="149"/>
        <v>-47.284360967139676</v>
      </c>
      <c r="AR209" s="61">
        <f t="shared" si="150"/>
        <v>175.59459039595467</v>
      </c>
      <c r="AS209" s="58" t="str">
        <f t="shared" si="151"/>
        <v>0.431866508559742+0.70656762179211i</v>
      </c>
      <c r="AT209" s="64">
        <f t="shared" si="152"/>
        <v>-1.6383640958380339</v>
      </c>
      <c r="AU209" s="61">
        <f t="shared" si="153"/>
        <v>58.565995647041291</v>
      </c>
    </row>
    <row r="210" spans="14:47" x14ac:dyDescent="0.3">
      <c r="N210" s="10">
        <v>92</v>
      </c>
      <c r="O210" s="50">
        <f t="shared" si="154"/>
        <v>831.7637711026714</v>
      </c>
      <c r="P210" s="48" t="str">
        <f t="shared" si="122"/>
        <v>51201.9230769231</v>
      </c>
      <c r="Q210" s="17" t="str">
        <f t="shared" si="123"/>
        <v>1+244.220883667248i</v>
      </c>
      <c r="R210" s="17">
        <f t="shared" si="131"/>
        <v>244.22293098562938</v>
      </c>
      <c r="S210" s="17">
        <f t="shared" si="132"/>
        <v>1.5667016957530711</v>
      </c>
      <c r="T210" s="17" t="str">
        <f t="shared" si="124"/>
        <v>1+1.56783777169098E-08i</v>
      </c>
      <c r="U210" s="17">
        <f t="shared" si="133"/>
        <v>1</v>
      </c>
      <c r="V210" s="17">
        <f t="shared" si="134"/>
        <v>1.5678377716909801E-8</v>
      </c>
      <c r="W210" s="31" t="str">
        <f t="shared" si="125"/>
        <v>1-0.00846632396713127i</v>
      </c>
      <c r="X210" s="17">
        <f t="shared" si="135"/>
        <v>1.0000358386785528</v>
      </c>
      <c r="Y210" s="17">
        <f t="shared" si="136"/>
        <v>-8.4661216909636596E-3</v>
      </c>
      <c r="Z210" s="31" t="str">
        <f t="shared" si="126"/>
        <v>0.999723267611632+0.516645612920842i</v>
      </c>
      <c r="AA210" s="17">
        <f t="shared" si="137"/>
        <v>1.1253307518922742</v>
      </c>
      <c r="AB210" s="17">
        <f t="shared" si="138"/>
        <v>0.47698812471887048</v>
      </c>
      <c r="AC210" s="66" t="str">
        <f t="shared" si="139"/>
        <v>-86.2584910119352-165.13853640437i</v>
      </c>
      <c r="AD210" s="64">
        <f t="shared" si="140"/>
        <v>45.404704221211567</v>
      </c>
      <c r="AE210" s="61">
        <f t="shared" si="141"/>
        <v>-117.57987349032265</v>
      </c>
      <c r="AF210" s="31" t="str">
        <f t="shared" si="127"/>
        <v>-1.33333333333333E-06</v>
      </c>
      <c r="AG210" s="31" t="str">
        <f t="shared" si="128"/>
        <v>0.00523135203154223i</v>
      </c>
      <c r="AH210" s="31">
        <f t="shared" si="142"/>
        <v>5.2313520315422296E-3</v>
      </c>
      <c r="AI210" s="31">
        <f t="shared" si="143"/>
        <v>1.5707963267948966</v>
      </c>
      <c r="AJ210" s="31" t="str">
        <f t="shared" si="129"/>
        <v>1+0.0169157322020605i</v>
      </c>
      <c r="AK210" s="31">
        <f t="shared" si="144"/>
        <v>1.0001430607647748</v>
      </c>
      <c r="AL210" s="31">
        <f t="shared" si="145"/>
        <v>1.6914119045214948E-2</v>
      </c>
      <c r="AM210" s="31" t="str">
        <f t="shared" si="130"/>
        <v>1+16.9326479342626i</v>
      </c>
      <c r="AN210" s="31">
        <f t="shared" si="146"/>
        <v>16.962150985818027</v>
      </c>
      <c r="AO210" s="31">
        <f t="shared" si="147"/>
        <v>1.5118073349768677</v>
      </c>
      <c r="AP210" s="58" t="str">
        <f t="shared" si="148"/>
        <v>-0.00431013963078487+0.000327782731081769i</v>
      </c>
      <c r="AQ210" s="49">
        <f t="shared" si="149"/>
        <v>-47.28512821188513</v>
      </c>
      <c r="AR210" s="61">
        <f t="shared" si="150"/>
        <v>175.65107209562251</v>
      </c>
      <c r="AS210" s="58" t="str">
        <f t="shared" si="151"/>
        <v>0.425915701071713+0.683496106563401i</v>
      </c>
      <c r="AT210" s="64">
        <f t="shared" si="152"/>
        <v>-1.880423990673556</v>
      </c>
      <c r="AU210" s="61">
        <f t="shared" si="153"/>
        <v>58.071198605299891</v>
      </c>
    </row>
    <row r="211" spans="14:47" x14ac:dyDescent="0.3">
      <c r="N211" s="10">
        <v>93</v>
      </c>
      <c r="O211" s="50">
        <f t="shared" si="154"/>
        <v>851.13803820237763</v>
      </c>
      <c r="P211" s="48" t="str">
        <f t="shared" ref="P211:P274" si="155">COMPLEX(Adc,0)</f>
        <v>51201.9230769231</v>
      </c>
      <c r="Q211" s="17" t="str">
        <f t="shared" ref="Q211:Q274" si="156">IMSUM(COMPLEX(1,0),IMDIV(COMPLEX(0,2*PI()*O211),COMPLEX(wp_lf,0)))</f>
        <v>1+249.909518825309i</v>
      </c>
      <c r="R211" s="17">
        <f t="shared" si="131"/>
        <v>249.91151954141182</v>
      </c>
      <c r="S211" s="17">
        <f t="shared" si="132"/>
        <v>1.5667948999282619</v>
      </c>
      <c r="T211" s="17" t="str">
        <f t="shared" ref="T211:T274" si="157">IMSUM(COMPLEX(1,0),IMDIV(COMPLEX(0,2*PI()*O211),COMPLEX(wz_esr,0)))</f>
        <v>1+1.60435740480445E-08i</v>
      </c>
      <c r="U211" s="17">
        <f t="shared" si="133"/>
        <v>1</v>
      </c>
      <c r="V211" s="17">
        <f t="shared" si="134"/>
        <v>1.6043574048044501E-8</v>
      </c>
      <c r="W211" s="31" t="str">
        <f t="shared" ref="W211:W274" si="158">IMSUB(COMPLEX(1,0),IMDIV(COMPLEX(0,2*PI()*O211),COMPLEX(wz_rhp,0)))</f>
        <v>1-0.00866352998594404i</v>
      </c>
      <c r="X211" s="17">
        <f t="shared" si="135"/>
        <v>1.0000375276717455</v>
      </c>
      <c r="Y211" s="17">
        <f t="shared" si="136"/>
        <v>-8.6633132435647367E-3</v>
      </c>
      <c r="Z211" s="31" t="str">
        <f t="shared" ref="Z211:Z274" si="159">IMSUM(COMPLEX(1,0),IMDIV(COMPLEX(0,2*PI()*O211),COMPLEX(Q*(wsl/2),0)),IMDIV(IMPOWER(COMPLEX(0,2*PI()*O211),2),IMPOWER(COMPLEX(wsl/2,0),2)))</f>
        <v>0.99971022561597+0.528679835194493i</v>
      </c>
      <c r="AA211" s="17">
        <f t="shared" si="137"/>
        <v>1.1308947357479431</v>
      </c>
      <c r="AB211" s="17">
        <f t="shared" si="138"/>
        <v>0.48644712200559015</v>
      </c>
      <c r="AC211" s="66" t="str">
        <f t="shared" si="139"/>
        <v>-85.4420547756451-159.760469202563i</v>
      </c>
      <c r="AD211" s="64">
        <f t="shared" si="140"/>
        <v>45.161882258872296</v>
      </c>
      <c r="AE211" s="61">
        <f t="shared" si="141"/>
        <v>-118.1384725419442</v>
      </c>
      <c r="AF211" s="31" t="str">
        <f t="shared" ref="AF211:AF274" si="160">COMPLEX(Adc_ea,0)</f>
        <v>-1.33333333333333E-06</v>
      </c>
      <c r="AG211" s="31" t="str">
        <f t="shared" ref="AG211:AG274" si="161">COMPLEX(0,2*PI()*O211*wp0_ea)</f>
        <v>0.00535320587403085i</v>
      </c>
      <c r="AH211" s="31">
        <f t="shared" si="142"/>
        <v>5.3532058740308501E-3</v>
      </c>
      <c r="AI211" s="31">
        <f t="shared" si="143"/>
        <v>1.5707963267948966</v>
      </c>
      <c r="AJ211" s="31" t="str">
        <f t="shared" ref="AJ211:AJ274" si="162">IMSUM(COMPLEX(1,0),IMDIV(COMPLEX(0,2*PI()*O211),COMPLEX(wp1_ea,0)))</f>
        <v>1+0.0173097502216664i</v>
      </c>
      <c r="AK211" s="31">
        <f t="shared" si="144"/>
        <v>1.0001498025059727</v>
      </c>
      <c r="AL211" s="31">
        <f t="shared" si="145"/>
        <v>1.7308021706946564E-2</v>
      </c>
      <c r="AM211" s="31" t="str">
        <f t="shared" ref="AM211:AM274" si="163">IMSUM(COMPLEX(1,0),IMDIV(COMPLEX(0,2*PI()*O211),COMPLEX(wz_ea,0)))</f>
        <v>1+17.3270599718881i</v>
      </c>
      <c r="AN211" s="31">
        <f t="shared" si="146"/>
        <v>17.355892580602326</v>
      </c>
      <c r="AO211" s="31">
        <f t="shared" si="147"/>
        <v>1.5131470808039984</v>
      </c>
      <c r="AP211" s="58" t="str">
        <f t="shared" si="148"/>
        <v>-0.00431008152399346+0.000323678367342894i</v>
      </c>
      <c r="AQ211" s="49">
        <f t="shared" si="149"/>
        <v>-47.285866184719787</v>
      </c>
      <c r="AR211" s="61">
        <f t="shared" si="150"/>
        <v>175.70526491708119</v>
      </c>
      <c r="AS211" s="58" t="str">
        <f t="shared" si="151"/>
        <v>0.419973229497965+0.66092490178229i</v>
      </c>
      <c r="AT211" s="64">
        <f t="shared" si="152"/>
        <v>-2.1239839258474982</v>
      </c>
      <c r="AU211" s="61">
        <f t="shared" si="153"/>
        <v>57.566792375137041</v>
      </c>
    </row>
    <row r="212" spans="14:47" x14ac:dyDescent="0.3">
      <c r="N212" s="10">
        <v>94</v>
      </c>
      <c r="O212" s="50">
        <f t="shared" si="154"/>
        <v>870.96358995608091</v>
      </c>
      <c r="P212" s="48" t="str">
        <f t="shared" si="155"/>
        <v>51201.9230769231</v>
      </c>
      <c r="Q212" s="17" t="str">
        <f t="shared" si="156"/>
        <v>1+255.730659318193i</v>
      </c>
      <c r="R212" s="17">
        <f t="shared" ref="R212:R275" si="164">IMABS(Q212)</f>
        <v>255.73261449278948</v>
      </c>
      <c r="S212" s="17">
        <f t="shared" ref="S212:S275" si="165">IMARGUMENT(Q212)</f>
        <v>1.5668859825845844</v>
      </c>
      <c r="T212" s="17" t="str">
        <f t="shared" si="157"/>
        <v>1+1.64172768945013E-08i</v>
      </c>
      <c r="U212" s="17">
        <f t="shared" ref="U212:U275" si="166">IMABS(T212)</f>
        <v>1</v>
      </c>
      <c r="V212" s="17">
        <f t="shared" ref="V212:V275" si="167">IMARGUMENT(T212)</f>
        <v>1.6417276894501302E-8</v>
      </c>
      <c r="W212" s="31" t="str">
        <f t="shared" si="158"/>
        <v>1-0.0088653295230307i</v>
      </c>
      <c r="X212" s="17">
        <f t="shared" ref="X212:X275" si="168">IMABS(W212)</f>
        <v>1.0000392962616778</v>
      </c>
      <c r="Y212" s="17">
        <f t="shared" ref="Y212:Y275" si="169">IMARGUMENT(W212)</f>
        <v>-8.8650972798798942E-3</v>
      </c>
      <c r="Z212" s="31" t="str">
        <f t="shared" si="159"/>
        <v>0.999696568969988+0.540994370514668i</v>
      </c>
      <c r="AA212" s="17">
        <f t="shared" ref="AA212:AA275" si="170">IMABS(Z212)</f>
        <v>1.1366917519446194</v>
      </c>
      <c r="AB212" s="17">
        <f t="shared" ref="AB212:AB275" si="171">IMARGUMENT(Z212)</f>
        <v>0.4960298363893631</v>
      </c>
      <c r="AC212" s="66" t="str">
        <f t="shared" ref="AC212:AC275" si="172">(IMDIV(IMPRODUCT(P212,T212,W212),IMPRODUCT(Q212,Z212)))</f>
        <v>-84.6013840690298-154.500050878144i</v>
      </c>
      <c r="AD212" s="64">
        <f t="shared" ref="AD212:AD275" si="173">20*LOG(IMABS(AC212))</f>
        <v>44.917490225233614</v>
      </c>
      <c r="AE212" s="61">
        <f t="shared" ref="AE212:AE275" si="174">(180/PI())*IMARGUMENT(AC212)</f>
        <v>-118.70430163645027</v>
      </c>
      <c r="AF212" s="31" t="str">
        <f t="shared" si="160"/>
        <v>-1.33333333333333E-06</v>
      </c>
      <c r="AG212" s="31" t="str">
        <f t="shared" si="161"/>
        <v>0.00547789805713193i</v>
      </c>
      <c r="AH212" s="31">
        <f t="shared" ref="AH212:AH275" si="175">IMABS(AG212)</f>
        <v>5.4778980571319304E-3</v>
      </c>
      <c r="AI212" s="31">
        <f t="shared" ref="AI212:AI275" si="176">IMARGUMENT(AG212)</f>
        <v>1.5707963267948966</v>
      </c>
      <c r="AJ212" s="31" t="str">
        <f t="shared" si="162"/>
        <v>1+0.0177129460999614i</v>
      </c>
      <c r="AK212" s="31">
        <f t="shared" ref="AK212:AK275" si="177">IMABS(AJ212)</f>
        <v>1.0001568619269381</v>
      </c>
      <c r="AL212" s="31">
        <f t="shared" ref="AL212:AL275" si="178">IMARGUMENT(AJ212)</f>
        <v>1.7711093978758079E-2</v>
      </c>
      <c r="AM212" s="31" t="str">
        <f t="shared" si="163"/>
        <v>1+17.7306590460614i</v>
      </c>
      <c r="AN212" s="31">
        <f t="shared" ref="AN212:AN275" si="179">IMABS(AM212)</f>
        <v>17.758836397908478</v>
      </c>
      <c r="AO212" s="31">
        <f t="shared" ref="AO212:AO275" si="180">IMARGUMENT(AM212)</f>
        <v>1.5144565305193085</v>
      </c>
      <c r="AP212" s="58" t="str">
        <f t="shared" ref="AP212:AP275" si="181">IMPRODUCT(AF212,IMDIV(AM212,IMPRODUCT(AG212,AJ212)))</f>
        <v>-0.00431002068039251+0.000319745527358274i</v>
      </c>
      <c r="AQ212" s="49">
        <f t="shared" ref="AQ212:AQ275" si="182">20*LOG(IMABS(AP212))</f>
        <v>-47.286576436207135</v>
      </c>
      <c r="AR212" s="61">
        <f t="shared" ref="AR212:AR275" si="183">(180/PI())*IMARGUMENT(AP212)</f>
        <v>175.75719651923953</v>
      </c>
      <c r="AS212" s="58" t="str">
        <f t="shared" ref="AS212:AS275" si="184">IMPRODUCT(AC212,AP212)</f>
        <v>0.41403441517226+0.638847500242104i</v>
      </c>
      <c r="AT212" s="64">
        <f t="shared" ref="AT212:AT275" si="185">20*LOG(IMABS(AS212))</f>
        <v>-2.3690862109735171</v>
      </c>
      <c r="AU212" s="61">
        <f t="shared" ref="AU212:AU275" si="186">(180/PI())*IMARGUMENT(AS212)</f>
        <v>57.052894882789275</v>
      </c>
    </row>
    <row r="213" spans="14:47" x14ac:dyDescent="0.3">
      <c r="N213" s="10">
        <v>95</v>
      </c>
      <c r="O213" s="50">
        <f t="shared" si="154"/>
        <v>891.25093813374656</v>
      </c>
      <c r="P213" s="48" t="str">
        <f t="shared" si="155"/>
        <v>51201.9230769231</v>
      </c>
      <c r="Q213" s="17" t="str">
        <f t="shared" si="156"/>
        <v>1+261.687391591645i</v>
      </c>
      <c r="R213" s="17">
        <f t="shared" si="164"/>
        <v>261.68930226136291</v>
      </c>
      <c r="S213" s="17">
        <f t="shared" si="165"/>
        <v>1.5669749920092202</v>
      </c>
      <c r="T213" s="17" t="str">
        <f t="shared" si="157"/>
        <v>1+1.6799684398476E-08i</v>
      </c>
      <c r="U213" s="17">
        <f t="shared" si="166"/>
        <v>1</v>
      </c>
      <c r="V213" s="17">
        <f t="shared" si="167"/>
        <v>1.6799684398475999E-8</v>
      </c>
      <c r="W213" s="31" t="str">
        <f t="shared" si="158"/>
        <v>1-0.00907182957517701i</v>
      </c>
      <c r="X213" s="17">
        <f t="shared" si="168"/>
        <v>1.0000411481993334</v>
      </c>
      <c r="Y213" s="17">
        <f t="shared" si="169"/>
        <v>-9.0715807227104289E-3</v>
      </c>
      <c r="Z213" s="31" t="str">
        <f t="shared" si="159"/>
        <v>0.99968226870611+0.553595748210998i</v>
      </c>
      <c r="AA213" s="17">
        <f t="shared" si="170"/>
        <v>1.1427304541328589</v>
      </c>
      <c r="AB213" s="17">
        <f t="shared" si="171"/>
        <v>0.50573433634114762</v>
      </c>
      <c r="AC213" s="66" t="str">
        <f t="shared" si="172"/>
        <v>-83.7366254427541-149.355783004883i</v>
      </c>
      <c r="AD213" s="64">
        <f t="shared" si="173"/>
        <v>44.671487440294456</v>
      </c>
      <c r="AE213" s="61">
        <f t="shared" si="174"/>
        <v>-119.27725899824416</v>
      </c>
      <c r="AF213" s="31" t="str">
        <f t="shared" si="160"/>
        <v>-1.33333333333333E-06</v>
      </c>
      <c r="AG213" s="31" t="str">
        <f t="shared" si="161"/>
        <v>0.00560549469429147i</v>
      </c>
      <c r="AH213" s="31">
        <f t="shared" si="175"/>
        <v>5.6054946942914697E-3</v>
      </c>
      <c r="AI213" s="31">
        <f t="shared" si="176"/>
        <v>1.5707963267948966</v>
      </c>
      <c r="AJ213" s="31" t="str">
        <f t="shared" si="162"/>
        <v>1+0.0181255336167373i</v>
      </c>
      <c r="AK213" s="31">
        <f t="shared" si="177"/>
        <v>1.0001642539947584</v>
      </c>
      <c r="AL213" s="31">
        <f t="shared" si="178"/>
        <v>1.8123549050714578E-2</v>
      </c>
      <c r="AM213" s="31" t="str">
        <f t="shared" si="163"/>
        <v>1+18.143659150354i</v>
      </c>
      <c r="AN213" s="31">
        <f t="shared" si="179"/>
        <v>18.17119609063268</v>
      </c>
      <c r="AO213" s="31">
        <f t="shared" si="180"/>
        <v>1.5157363604381315</v>
      </c>
      <c r="AP213" s="58" t="str">
        <f t="shared" si="181"/>
        <v>-0.00430995697116212+0.00031598211910833i</v>
      </c>
      <c r="AQ213" s="49">
        <f t="shared" si="182"/>
        <v>-47.287260459384335</v>
      </c>
      <c r="AR213" s="61">
        <f t="shared" si="183"/>
        <v>175.80689343722079</v>
      </c>
      <c r="AS213" s="58" t="str">
        <f t="shared" si="184"/>
        <v>0.408095009383556+0.61725772179089i</v>
      </c>
      <c r="AT213" s="64">
        <f t="shared" si="185"/>
        <v>-2.6157730190898771</v>
      </c>
      <c r="AU213" s="61">
        <f t="shared" si="186"/>
        <v>56.529634438976629</v>
      </c>
    </row>
    <row r="214" spans="14:47" x14ac:dyDescent="0.3">
      <c r="N214" s="10">
        <v>96</v>
      </c>
      <c r="O214" s="50">
        <f t="shared" si="154"/>
        <v>912.01083935590987</v>
      </c>
      <c r="P214" s="48" t="str">
        <f t="shared" si="155"/>
        <v>51201.9230769231</v>
      </c>
      <c r="Q214" s="17" t="str">
        <f t="shared" si="156"/>
        <v>1+267.782873983959i</v>
      </c>
      <c r="R214" s="17">
        <f t="shared" si="164"/>
        <v>267.78474116183105</v>
      </c>
      <c r="S214" s="17">
        <f t="shared" si="165"/>
        <v>1.5670619753904993</v>
      </c>
      <c r="T214" s="17" t="str">
        <f t="shared" si="157"/>
        <v>1+1.71909993174887E-08i</v>
      </c>
      <c r="U214" s="17">
        <f t="shared" si="166"/>
        <v>1</v>
      </c>
      <c r="V214" s="17">
        <f t="shared" si="167"/>
        <v>1.7190999317488696E-8</v>
      </c>
      <c r="W214" s="31" t="str">
        <f t="shared" si="158"/>
        <v>1-0.0092831396314439i</v>
      </c>
      <c r="X214" s="17">
        <f t="shared" si="168"/>
        <v>1.000043087412446</v>
      </c>
      <c r="Y214" s="17">
        <f t="shared" si="169"/>
        <v>-9.2828729818422943E-3</v>
      </c>
      <c r="Z214" s="31" t="str">
        <f t="shared" si="159"/>
        <v>0.999667294491559+0.566490649700734i</v>
      </c>
      <c r="AA214" s="17">
        <f t="shared" si="170"/>
        <v>1.1490197369385928</v>
      </c>
      <c r="AB214" s="17">
        <f t="shared" si="171"/>
        <v>0.51555848452245467</v>
      </c>
      <c r="AC214" s="66" t="str">
        <f t="shared" si="172"/>
        <v>-82.8479741849523-144.326239571269i</v>
      </c>
      <c r="AD214" s="64">
        <f t="shared" si="173"/>
        <v>44.423833395809488</v>
      </c>
      <c r="AE214" s="61">
        <f t="shared" si="174"/>
        <v>-119.85723113925066</v>
      </c>
      <c r="AF214" s="31" t="str">
        <f t="shared" si="160"/>
        <v>-1.33333333333333E-06</v>
      </c>
      <c r="AG214" s="31" t="str">
        <f t="shared" si="161"/>
        <v>0.0057360634389354i</v>
      </c>
      <c r="AH214" s="31">
        <f t="shared" si="175"/>
        <v>5.7360634389353998E-3</v>
      </c>
      <c r="AI214" s="31">
        <f t="shared" si="176"/>
        <v>1.5707963267948966</v>
      </c>
      <c r="AJ214" s="31" t="str">
        <f t="shared" si="162"/>
        <v>1+0.0185477315313564i</v>
      </c>
      <c r="AK214" s="31">
        <f t="shared" si="177"/>
        <v>1.000171994381446</v>
      </c>
      <c r="AL214" s="31">
        <f t="shared" si="178"/>
        <v>1.8545605050300187E-2</v>
      </c>
      <c r="AM214" s="31" t="str">
        <f t="shared" si="163"/>
        <v>1+18.5662792628878i</v>
      </c>
      <c r="AN214" s="31">
        <f t="shared" si="179"/>
        <v>18.593190303644437</v>
      </c>
      <c r="AO214" s="31">
        <f t="shared" si="180"/>
        <v>1.5169872323632048</v>
      </c>
      <c r="AP214" s="58" t="str">
        <f t="shared" si="181"/>
        <v>-0.00430989026142687+0.000312386139924358i</v>
      </c>
      <c r="AQ214" s="49">
        <f t="shared" si="182"/>
        <v>-47.287919692816004</v>
      </c>
      <c r="AR214" s="61">
        <f t="shared" si="183"/>
        <v>175.85438109174444</v>
      </c>
      <c r="AS214" s="58" t="str">
        <f t="shared" si="184"/>
        <v>0.402151193988138+0.596149695540384i</v>
      </c>
      <c r="AT214" s="64">
        <f t="shared" si="185"/>
        <v>-2.8640862970065091</v>
      </c>
      <c r="AU214" s="61">
        <f t="shared" si="186"/>
        <v>55.997149952493771</v>
      </c>
    </row>
    <row r="215" spans="14:47" x14ac:dyDescent="0.3">
      <c r="N215" s="10">
        <v>97</v>
      </c>
      <c r="O215" s="50">
        <f t="shared" si="154"/>
        <v>933.25430079699106</v>
      </c>
      <c r="P215" s="48" t="str">
        <f t="shared" si="155"/>
        <v>51201.9230769231</v>
      </c>
      <c r="Q215" s="17" t="str">
        <f t="shared" si="156"/>
        <v>1+274.020338400586i</v>
      </c>
      <c r="R215" s="17">
        <f t="shared" si="164"/>
        <v>274.02216307658705</v>
      </c>
      <c r="S215" s="17">
        <f t="shared" si="165"/>
        <v>1.567146978842894</v>
      </c>
      <c r="T215" s="17" t="str">
        <f t="shared" si="157"/>
        <v>1+1.75914291318894E-08i</v>
      </c>
      <c r="U215" s="17">
        <f t="shared" si="166"/>
        <v>1</v>
      </c>
      <c r="V215" s="17">
        <f t="shared" si="167"/>
        <v>1.7591429131889395E-8</v>
      </c>
      <c r="W215" s="31" t="str">
        <f t="shared" si="158"/>
        <v>1-0.00949937173122029i</v>
      </c>
      <c r="X215" s="17">
        <f t="shared" si="168"/>
        <v>1.0000451180138263</v>
      </c>
      <c r="Y215" s="17">
        <f t="shared" si="169"/>
        <v>-9.4990860117206369E-3</v>
      </c>
      <c r="Z215" s="31" t="str">
        <f t="shared" si="159"/>
        <v>0.999651614564018+0.579685912031333i</v>
      </c>
      <c r="AA215" s="17">
        <f t="shared" si="170"/>
        <v>1.1555687375089576</v>
      </c>
      <c r="AB215" s="17">
        <f t="shared" si="171"/>
        <v>0.52549993474633827</v>
      </c>
      <c r="AC215" s="66" t="str">
        <f t="shared" si="172"/>
        <v>-81.9356766947951-139.410062662053i</v>
      </c>
      <c r="AD215" s="64">
        <f t="shared" si="173"/>
        <v>44.174487852155565</v>
      </c>
      <c r="AE215" s="61">
        <f t="shared" si="174"/>
        <v>-120.44409268952951</v>
      </c>
      <c r="AF215" s="31" t="str">
        <f t="shared" si="160"/>
        <v>-1.33333333333333E-06</v>
      </c>
      <c r="AG215" s="31" t="str">
        <f t="shared" si="161"/>
        <v>0.00586967352034044i</v>
      </c>
      <c r="AH215" s="31">
        <f t="shared" si="175"/>
        <v>5.8696735203404397E-3</v>
      </c>
      <c r="AI215" s="31">
        <f t="shared" si="176"/>
        <v>1.5707963267948966</v>
      </c>
      <c r="AJ215" s="31" t="str">
        <f t="shared" si="162"/>
        <v>1+0.0189797636987418i</v>
      </c>
      <c r="AK215" s="31">
        <f t="shared" si="177"/>
        <v>1.0001800994971157</v>
      </c>
      <c r="AL215" s="31">
        <f t="shared" si="178"/>
        <v>1.8977485155396819E-2</v>
      </c>
      <c r="AM215" s="31" t="str">
        <f t="shared" si="163"/>
        <v>1+18.9987434624406i</v>
      </c>
      <c r="AN215" s="31">
        <f t="shared" si="179"/>
        <v>19.025042789745033</v>
      </c>
      <c r="AO215" s="31">
        <f t="shared" si="180"/>
        <v>1.5182097938567876</v>
      </c>
      <c r="AP215" s="58" t="str">
        <f t="shared" si="181"/>
        <v>-0.00430982040997198+0.000308955675392133i</v>
      </c>
      <c r="AQ215" s="49">
        <f t="shared" si="182"/>
        <v>-47.288555523541845</v>
      </c>
      <c r="AR215" s="61">
        <f t="shared" si="183"/>
        <v>175.89968379824427</v>
      </c>
      <c r="AS215" s="58" t="str">
        <f t="shared" si="184"/>
        <v>0.396199581790308+0.575517841084437i</v>
      </c>
      <c r="AT215" s="64">
        <f t="shared" si="185"/>
        <v>-3.1140676713862709</v>
      </c>
      <c r="AU215" s="61">
        <f t="shared" si="186"/>
        <v>55.455591108714721</v>
      </c>
    </row>
    <row r="216" spans="14:47" x14ac:dyDescent="0.3">
      <c r="N216" s="10">
        <v>98</v>
      </c>
      <c r="O216" s="50">
        <f t="shared" si="154"/>
        <v>954.99258602143675</v>
      </c>
      <c r="P216" s="48" t="str">
        <f t="shared" si="155"/>
        <v>51201.9230769231</v>
      </c>
      <c r="Q216" s="17" t="str">
        <f t="shared" si="156"/>
        <v>1+280.40309202772i</v>
      </c>
      <c r="R216" s="17">
        <f t="shared" si="164"/>
        <v>280.40487516929159</v>
      </c>
      <c r="S216" s="17">
        <f t="shared" si="165"/>
        <v>1.5672300474314436</v>
      </c>
      <c r="T216" s="17" t="str">
        <f t="shared" si="157"/>
        <v>1+1.8001186154866E-08i</v>
      </c>
      <c r="U216" s="17">
        <f t="shared" si="166"/>
        <v>1</v>
      </c>
      <c r="V216" s="17">
        <f t="shared" si="167"/>
        <v>1.8001186154865998E-8</v>
      </c>
      <c r="W216" s="31" t="str">
        <f t="shared" si="158"/>
        <v>1-0.00972064052362763i</v>
      </c>
      <c r="X216" s="17">
        <f t="shared" si="168"/>
        <v>1.0000472443100823</v>
      </c>
      <c r="Y216" s="17">
        <f t="shared" si="169"/>
        <v>-9.7203343704490124E-3</v>
      </c>
      <c r="Z216" s="31" t="str">
        <f t="shared" si="159"/>
        <v>0.999635195664258+0.593188531505541i</v>
      </c>
      <c r="AA216" s="17">
        <f t="shared" si="170"/>
        <v>1.1623868367804324</v>
      </c>
      <c r="AB216" s="17">
        <f t="shared" si="171"/>
        <v>0.53555612959960575</v>
      </c>
      <c r="AC216" s="66" t="str">
        <f t="shared" si="172"/>
        <v>-81.0000326663222-134.605957912513i</v>
      </c>
      <c r="AD216" s="64">
        <f t="shared" si="173"/>
        <v>43.923410939055721</v>
      </c>
      <c r="AE216" s="61">
        <f t="shared" si="174"/>
        <v>-121.03770626581917</v>
      </c>
      <c r="AF216" s="31" t="str">
        <f t="shared" si="160"/>
        <v>-1.33333333333333E-06</v>
      </c>
      <c r="AG216" s="31" t="str">
        <f t="shared" si="161"/>
        <v>0.00600639578034028i</v>
      </c>
      <c r="AH216" s="31">
        <f t="shared" si="175"/>
        <v>6.0063957803402797E-3</v>
      </c>
      <c r="AI216" s="31">
        <f t="shared" si="176"/>
        <v>1.5707963267948966</v>
      </c>
      <c r="AJ216" s="31" t="str">
        <f t="shared" si="162"/>
        <v>1+0.0194218591880672i</v>
      </c>
      <c r="AK216" s="31">
        <f t="shared" si="177"/>
        <v>1.0001885865247218</v>
      </c>
      <c r="AL216" s="31">
        <f t="shared" si="178"/>
        <v>1.9419417709747418E-2</v>
      </c>
      <c r="AM216" s="31" t="str">
        <f t="shared" si="163"/>
        <v>1+19.4412810472553i</v>
      </c>
      <c r="AN216" s="31">
        <f t="shared" si="179"/>
        <v>19.466982528331606</v>
      </c>
      <c r="AO216" s="31">
        <f t="shared" si="180"/>
        <v>1.5194046785103998</v>
      </c>
      <c r="AP216" s="58" t="str">
        <f t="shared" si="181"/>
        <v>-0.00430974726894618+0.000305688898299843i</v>
      </c>
      <c r="AQ216" s="49">
        <f t="shared" si="182"/>
        <v>-47.289169289923912</v>
      </c>
      <c r="AR216" s="61">
        <f t="shared" si="183"/>
        <v>175.94282477570746</v>
      </c>
      <c r="AS216" s="58" t="str">
        <f t="shared" si="184"/>
        <v>0.390237216547105+0.555356848749318i</v>
      </c>
      <c r="AT216" s="64">
        <f t="shared" si="185"/>
        <v>-3.3657583508681839</v>
      </c>
      <c r="AU216" s="61">
        <f t="shared" si="186"/>
        <v>54.905118509888261</v>
      </c>
    </row>
    <row r="217" spans="14:47" x14ac:dyDescent="0.3">
      <c r="N217" s="10">
        <v>99</v>
      </c>
      <c r="O217" s="50">
        <f t="shared" si="154"/>
        <v>977.23722095581138</v>
      </c>
      <c r="P217" s="48" t="str">
        <f t="shared" si="155"/>
        <v>51201.9230769231</v>
      </c>
      <c r="Q217" s="17" t="str">
        <f t="shared" si="156"/>
        <v>1+286.934519085822i</v>
      </c>
      <c r="R217" s="17">
        <f t="shared" si="164"/>
        <v>286.93626163838536</v>
      </c>
      <c r="S217" s="17">
        <f t="shared" si="165"/>
        <v>1.5673112251956247</v>
      </c>
      <c r="T217" s="17" t="str">
        <f t="shared" si="157"/>
        <v>1+1.84204876450157E-08i</v>
      </c>
      <c r="U217" s="17">
        <f t="shared" si="166"/>
        <v>1.0000000000000002</v>
      </c>
      <c r="V217" s="17">
        <f t="shared" si="167"/>
        <v>1.8420487645015697E-8</v>
      </c>
      <c r="W217" s="31" t="str">
        <f t="shared" si="158"/>
        <v>1-0.00994706332830848i</v>
      </c>
      <c r="X217" s="17">
        <f t="shared" si="168"/>
        <v>1.0000494708107481</v>
      </c>
      <c r="Y217" s="17">
        <f t="shared" si="169"/>
        <v>-9.9467352801436842E-3</v>
      </c>
      <c r="Z217" s="31" t="str">
        <f t="shared" si="159"/>
        <v>0.999618002965591+0.607005667390932i</v>
      </c>
      <c r="AA217" s="17">
        <f t="shared" si="170"/>
        <v>1.1694836604662877</v>
      </c>
      <c r="AB217" s="17">
        <f t="shared" si="171"/>
        <v>0.54572429877883011</v>
      </c>
      <c r="AC217" s="66" t="str">
        <f t="shared" si="172"/>
        <v>-80.0413970535742-129.912689744171i</v>
      </c>
      <c r="AD217" s="64">
        <f t="shared" si="173"/>
        <v>43.670563259801852</v>
      </c>
      <c r="AE217" s="61">
        <f t="shared" si="174"/>
        <v>-121.63792238102064</v>
      </c>
      <c r="AF217" s="31" t="str">
        <f t="shared" si="160"/>
        <v>-1.33333333333333E-06</v>
      </c>
      <c r="AG217" s="31" t="str">
        <f t="shared" si="161"/>
        <v>0.00614630271088691i</v>
      </c>
      <c r="AH217" s="31">
        <f t="shared" si="175"/>
        <v>6.1463027108869103E-3</v>
      </c>
      <c r="AI217" s="31">
        <f t="shared" si="176"/>
        <v>1.5707963267948966</v>
      </c>
      <c r="AJ217" s="31" t="str">
        <f t="shared" si="162"/>
        <v>1+0.0198742524042127i</v>
      </c>
      <c r="AK217" s="31">
        <f t="shared" si="177"/>
        <v>1.0001974734564301</v>
      </c>
      <c r="AL217" s="31">
        <f t="shared" si="178"/>
        <v>1.9871636340954877E-2</v>
      </c>
      <c r="AM217" s="31" t="str">
        <f t="shared" si="163"/>
        <v>1+19.894126656617i</v>
      </c>
      <c r="AN217" s="31">
        <f t="shared" si="179"/>
        <v>19.919243846831112</v>
      </c>
      <c r="AO217" s="31">
        <f t="shared" si="180"/>
        <v>1.5205725062119921</v>
      </c>
      <c r="AP217" s="58" t="str">
        <f t="shared" si="181"/>
        <v>-0.00430967068355075+0.000302584067629609i</v>
      </c>
      <c r="AQ217" s="49">
        <f t="shared" si="182"/>
        <v>-47.289762284398655</v>
      </c>
      <c r="AR217" s="61">
        <f t="shared" si="183"/>
        <v>175.98382615522178</v>
      </c>
      <c r="AS217" s="58" t="str">
        <f t="shared" si="184"/>
        <v>0.384261572451729+0.535661658912451i</v>
      </c>
      <c r="AT217" s="64">
        <f t="shared" si="185"/>
        <v>-3.619199024596806</v>
      </c>
      <c r="AU217" s="61">
        <f t="shared" si="186"/>
        <v>54.345903774201133</v>
      </c>
    </row>
    <row r="218" spans="14:47" x14ac:dyDescent="0.3">
      <c r="N218" s="10">
        <v>100</v>
      </c>
      <c r="O218" s="50">
        <f t="shared" si="154"/>
        <v>1000</v>
      </c>
      <c r="P218" s="48" t="str">
        <f t="shared" si="155"/>
        <v>51201.9230769231</v>
      </c>
      <c r="Q218" s="17" t="str">
        <f t="shared" si="156"/>
        <v>1+293.618082623969i</v>
      </c>
      <c r="R218" s="17">
        <f t="shared" si="164"/>
        <v>293.61978551142613</v>
      </c>
      <c r="S218" s="17">
        <f t="shared" si="165"/>
        <v>1.5673905551726806</v>
      </c>
      <c r="T218" s="17" t="str">
        <f t="shared" si="157"/>
        <v>1+1.88495559215388E-08i</v>
      </c>
      <c r="U218" s="17">
        <f t="shared" si="166"/>
        <v>1.0000000000000002</v>
      </c>
      <c r="V218" s="17">
        <f t="shared" si="167"/>
        <v>1.8849555921538796E-8</v>
      </c>
      <c r="W218" s="31" t="str">
        <f t="shared" si="158"/>
        <v>1-0.0101787601976309i</v>
      </c>
      <c r="X218" s="17">
        <f t="shared" si="168"/>
        <v>1.0000518022378446</v>
      </c>
      <c r="Y218" s="17">
        <f t="shared" si="169"/>
        <v>-1.0178408688672662E-2</v>
      </c>
      <c r="Z218" s="31" t="str">
        <f t="shared" si="159"/>
        <v>0.9996+0.621144645715842i</v>
      </c>
      <c r="AA218" s="17">
        <f t="shared" si="170"/>
        <v>1.1768690797626808</v>
      </c>
      <c r="AB218" s="17">
        <f t="shared" si="171"/>
        <v>0.55600145819037439</v>
      </c>
      <c r="AC218" s="66" t="str">
        <f t="shared" si="172"/>
        <v>-79.0601817881466-125.329076394174i</v>
      </c>
      <c r="AD218" s="64">
        <f t="shared" si="173"/>
        <v>43.415905998566686</v>
      </c>
      <c r="AE218" s="61">
        <f t="shared" si="174"/>
        <v>-122.24457939750978</v>
      </c>
      <c r="AF218" s="31" t="str">
        <f t="shared" si="160"/>
        <v>-1.33333333333333E-06</v>
      </c>
      <c r="AG218" s="31" t="str">
        <f t="shared" si="161"/>
        <v>0.00628946849248677i</v>
      </c>
      <c r="AH218" s="31">
        <f t="shared" si="175"/>
        <v>6.2894684924867704E-3</v>
      </c>
      <c r="AI218" s="31">
        <f t="shared" si="176"/>
        <v>1.5707963267948966</v>
      </c>
      <c r="AJ218" s="31" t="str">
        <f t="shared" si="162"/>
        <v>1+0.0203371832120498i</v>
      </c>
      <c r="AK218" s="31">
        <f t="shared" si="177"/>
        <v>1.0002067791316955</v>
      </c>
      <c r="AL218" s="31">
        <f t="shared" si="178"/>
        <v>2.033438008106337E-2</v>
      </c>
      <c r="AM218" s="31" t="str">
        <f t="shared" si="163"/>
        <v>1+20.3575203952619i</v>
      </c>
      <c r="AN218" s="31">
        <f t="shared" si="179"/>
        <v>20.382066544968009</v>
      </c>
      <c r="AO218" s="31">
        <f t="shared" si="180"/>
        <v>1.5217138834103676</v>
      </c>
      <c r="AP218" s="58" t="str">
        <f t="shared" si="181"/>
        <v>-0.0043095904917141+0.000299639527591898i</v>
      </c>
      <c r="AQ218" s="49">
        <f t="shared" si="182"/>
        <v>-47.290335756138873</v>
      </c>
      <c r="AR218" s="61">
        <f t="shared" si="183"/>
        <v>176.02270898821686</v>
      </c>
      <c r="AS218" s="58" t="str">
        <f t="shared" si="184"/>
        <v>0.378270552951664+0.516427440441313i</v>
      </c>
      <c r="AT218" s="64">
        <f t="shared" si="185"/>
        <v>-3.8744297575721869</v>
      </c>
      <c r="AU218" s="61">
        <f t="shared" si="186"/>
        <v>53.778129590707081</v>
      </c>
    </row>
    <row r="219" spans="14:47" x14ac:dyDescent="0.3">
      <c r="N219" s="10">
        <v>1</v>
      </c>
      <c r="O219" s="50">
        <f>10^(3+(N219/100))</f>
        <v>1023.2929922807547</v>
      </c>
      <c r="P219" s="48" t="str">
        <f t="shared" si="155"/>
        <v>51201.9230769231</v>
      </c>
      <c r="Q219" s="17" t="str">
        <f t="shared" si="156"/>
        <v>1+300.457326356019i</v>
      </c>
      <c r="R219" s="17">
        <f t="shared" si="164"/>
        <v>300.45899048124244</v>
      </c>
      <c r="S219" s="17">
        <f t="shared" si="165"/>
        <v>1.5674680794204188</v>
      </c>
      <c r="T219" s="17" t="str">
        <f t="shared" si="157"/>
        <v>1+1.92886184821148E-08i</v>
      </c>
      <c r="U219" s="17">
        <f t="shared" si="166"/>
        <v>1.0000000000000002</v>
      </c>
      <c r="V219" s="17">
        <f t="shared" si="167"/>
        <v>1.9288618482114797E-8</v>
      </c>
      <c r="W219" s="31" t="str">
        <f t="shared" si="158"/>
        <v>1-0.010415853980342i</v>
      </c>
      <c r="X219" s="17">
        <f t="shared" si="168"/>
        <v>1.0000542435358892</v>
      </c>
      <c r="Y219" s="17">
        <f t="shared" si="169"/>
        <v>-1.0415477332810659E-2</v>
      </c>
      <c r="Z219" s="31" t="str">
        <f t="shared" si="159"/>
        <v>0.99958114858078+0.635612963153733i</v>
      </c>
      <c r="AA219" s="17">
        <f t="shared" si="170"/>
        <v>1.1845532117752835</v>
      </c>
      <c r="AB219" s="17">
        <f t="shared" si="171"/>
        <v>0.56638440986163729</v>
      </c>
      <c r="AC219" s="66" t="str">
        <f t="shared" si="172"/>
        <v>-78.0568572206935-120.853984754127i</v>
      </c>
      <c r="AD219" s="64">
        <f t="shared" si="173"/>
        <v>43.159401030341122</v>
      </c>
      <c r="AE219" s="61">
        <f t="shared" si="174"/>
        <v>-122.85750352697437</v>
      </c>
      <c r="AF219" s="31" t="str">
        <f t="shared" si="160"/>
        <v>-1.33333333333333E-06</v>
      </c>
      <c r="AG219" s="31" t="str">
        <f t="shared" si="161"/>
        <v>0.00643596903353231i</v>
      </c>
      <c r="AH219" s="31">
        <f t="shared" si="175"/>
        <v>6.4359690335323103E-3</v>
      </c>
      <c r="AI219" s="31">
        <f t="shared" si="176"/>
        <v>1.5707963267948966</v>
      </c>
      <c r="AJ219" s="31" t="str">
        <f t="shared" si="162"/>
        <v>1+0.0208108970636203i</v>
      </c>
      <c r="AK219" s="31">
        <f t="shared" si="177"/>
        <v>1.0002165232771316</v>
      </c>
      <c r="AL219" s="31">
        <f t="shared" si="178"/>
        <v>2.0807893489769261E-2</v>
      </c>
      <c r="AM219" s="31" t="str">
        <f t="shared" si="163"/>
        <v>1+20.831707960684i</v>
      </c>
      <c r="AN219" s="31">
        <f t="shared" si="179"/>
        <v>20.85569602193188</v>
      </c>
      <c r="AO219" s="31">
        <f t="shared" si="180"/>
        <v>1.5228294033767096</v>
      </c>
      <c r="AP219" s="58" t="str">
        <f t="shared" si="181"/>
        <v>-0.00430950652375118+0.000296853706702083i</v>
      </c>
      <c r="AQ219" s="49">
        <f t="shared" si="182"/>
        <v>-47.290890913630577</v>
      </c>
      <c r="AR219" s="61">
        <f t="shared" si="183"/>
        <v>176.05949325438914</v>
      </c>
      <c r="AS219" s="58" t="str">
        <f t="shared" si="184"/>
        <v>0.372262488760073+0.497649568319758i</v>
      </c>
      <c r="AT219" s="64">
        <f t="shared" si="185"/>
        <v>-4.1314898832894524</v>
      </c>
      <c r="AU219" s="61">
        <f t="shared" si="186"/>
        <v>53.201989727414748</v>
      </c>
    </row>
    <row r="220" spans="14:47" x14ac:dyDescent="0.3">
      <c r="N220" s="10">
        <v>2</v>
      </c>
      <c r="O220" s="50">
        <f t="shared" ref="O220:O283" si="187">10^(3+(N220/100))</f>
        <v>1047.1285480509</v>
      </c>
      <c r="P220" s="48" t="str">
        <f t="shared" si="155"/>
        <v>51201.9230769231</v>
      </c>
      <c r="Q220" s="17" t="str">
        <f t="shared" si="156"/>
        <v>1+307.455876539526i</v>
      </c>
      <c r="R220" s="17">
        <f t="shared" si="164"/>
        <v>307.45750278483729</v>
      </c>
      <c r="S220" s="17">
        <f t="shared" si="165"/>
        <v>1.567543839039492</v>
      </c>
      <c r="T220" s="17" t="str">
        <f t="shared" si="157"/>
        <v>1+1.97379081235251E-08i</v>
      </c>
      <c r="U220" s="17">
        <f t="shared" si="166"/>
        <v>1.0000000000000002</v>
      </c>
      <c r="V220" s="17">
        <f t="shared" si="167"/>
        <v>1.9737908123525096E-8</v>
      </c>
      <c r="W220" s="31" t="str">
        <f t="shared" si="158"/>
        <v>1-0.0106584703867036i</v>
      </c>
      <c r="X220" s="17">
        <f t="shared" si="168"/>
        <v>1.0000567998823788</v>
      </c>
      <c r="Y220" s="17">
        <f t="shared" si="169"/>
        <v>-1.0658066802840494E-2</v>
      </c>
      <c r="Z220" s="31" t="str">
        <f t="shared" si="159"/>
        <v>0.999561408721543+0.650418290998021i</v>
      </c>
      <c r="AA220" s="17">
        <f t="shared" si="170"/>
        <v>1.1925464196710256</v>
      </c>
      <c r="AB220" s="17">
        <f t="shared" si="171"/>
        <v>0.57686974270687474</v>
      </c>
      <c r="AC220" s="66" t="str">
        <f t="shared" si="172"/>
        <v>-77.0319532588866-116.486325037812i</v>
      </c>
      <c r="AD220" s="64">
        <f t="shared" si="173"/>
        <v>42.901011032983803</v>
      </c>
      <c r="AE220" s="61">
        <f t="shared" si="174"/>
        <v>-123.47650887927145</v>
      </c>
      <c r="AF220" s="31" t="str">
        <f t="shared" si="160"/>
        <v>-1.33333333333333E-06</v>
      </c>
      <c r="AG220" s="31" t="str">
        <f t="shared" si="161"/>
        <v>0.00658588201054955i</v>
      </c>
      <c r="AH220" s="31">
        <f t="shared" si="175"/>
        <v>6.5858820105495503E-3</v>
      </c>
      <c r="AI220" s="31">
        <f t="shared" si="176"/>
        <v>1.5707963267948966</v>
      </c>
      <c r="AJ220" s="31" t="str">
        <f t="shared" si="162"/>
        <v>1+0.0212956451282788i</v>
      </c>
      <c r="AK220" s="31">
        <f t="shared" si="177"/>
        <v>1.000226726548251</v>
      </c>
      <c r="AL220" s="31">
        <f t="shared" si="178"/>
        <v>2.1292426780312422E-2</v>
      </c>
      <c r="AM220" s="31" t="str">
        <f t="shared" si="163"/>
        <v>1+21.3169407734071i</v>
      </c>
      <c r="AN220" s="31">
        <f t="shared" si="179"/>
        <v>21.340383406512316</v>
      </c>
      <c r="AO220" s="31">
        <f t="shared" si="180"/>
        <v>1.5239196464630702</v>
      </c>
      <c r="AP220" s="58" t="str">
        <f t="shared" si="181"/>
        <v>-0.004309418602007+0.000294225116898469i</v>
      </c>
      <c r="AQ220" s="49">
        <f t="shared" si="182"/>
        <v>-47.291428927169704</v>
      </c>
      <c r="AR220" s="61">
        <f t="shared" si="183"/>
        <v>176.09419786929917</v>
      </c>
      <c r="AS220" s="58" t="str">
        <f t="shared" si="184"/>
        <v>0.366236134924103+0.479323600544868i</v>
      </c>
      <c r="AT220" s="64">
        <f t="shared" si="185"/>
        <v>-4.3904178941858945</v>
      </c>
      <c r="AU220" s="61">
        <f t="shared" si="186"/>
        <v>52.617688990027752</v>
      </c>
    </row>
    <row r="221" spans="14:47" x14ac:dyDescent="0.3">
      <c r="N221" s="10">
        <v>3</v>
      </c>
      <c r="O221" s="50">
        <f t="shared" si="187"/>
        <v>1071.5193052376069</v>
      </c>
      <c r="P221" s="48" t="str">
        <f t="shared" si="155"/>
        <v>51201.9230769231</v>
      </c>
      <c r="Q221" s="17" t="str">
        <f t="shared" si="156"/>
        <v>1+314.617443898434i</v>
      </c>
      <c r="R221" s="17">
        <f t="shared" si="164"/>
        <v>314.61903312607177</v>
      </c>
      <c r="S221" s="17">
        <f t="shared" si="165"/>
        <v>1.567617874195173</v>
      </c>
      <c r="T221" s="17" t="str">
        <f t="shared" si="157"/>
        <v>1+2.01976630650847E-08i</v>
      </c>
      <c r="U221" s="17">
        <f t="shared" si="166"/>
        <v>1.0000000000000002</v>
      </c>
      <c r="V221" s="17">
        <f t="shared" si="167"/>
        <v>2.0197663065084696E-8</v>
      </c>
      <c r="W221" s="31" t="str">
        <f t="shared" si="158"/>
        <v>1-0.0109067380551457i</v>
      </c>
      <c r="X221" s="17">
        <f t="shared" si="168"/>
        <v>1.0000594766987629</v>
      </c>
      <c r="Y221" s="17">
        <f t="shared" si="169"/>
        <v>-1.0906305608634145E-2</v>
      </c>
      <c r="Z221" s="31" t="str">
        <f t="shared" si="159"/>
        <v>0.999540738551401+0.665568479229499i</v>
      </c>
      <c r="AA221" s="17">
        <f t="shared" si="170"/>
        <v>1.2008593125623619</v>
      </c>
      <c r="AB221" s="17">
        <f t="shared" si="171"/>
        <v>0.58745383418644515</v>
      </c>
      <c r="AC221" s="66" t="str">
        <f t="shared" si="172"/>
        <v>-75.9860601756798-112.225045300848i</v>
      </c>
      <c r="AD221" s="64">
        <f t="shared" si="173"/>
        <v>42.640699600818465</v>
      </c>
      <c r="AE221" s="61">
        <f t="shared" si="174"/>
        <v>-124.10139756252865</v>
      </c>
      <c r="AF221" s="31" t="str">
        <f t="shared" si="160"/>
        <v>-1.33333333333333E-06</v>
      </c>
      <c r="AG221" s="31" t="str">
        <f t="shared" si="161"/>
        <v>0.00673928690938324i</v>
      </c>
      <c r="AH221" s="31">
        <f t="shared" si="175"/>
        <v>6.7392869093832403E-3</v>
      </c>
      <c r="AI221" s="31">
        <f t="shared" si="176"/>
        <v>1.5707963267948966</v>
      </c>
      <c r="AJ221" s="31" t="str">
        <f t="shared" si="162"/>
        <v>1+0.0217916844258655i</v>
      </c>
      <c r="AK221" s="31">
        <f t="shared" si="177"/>
        <v>1.0002374105731682</v>
      </c>
      <c r="AL221" s="31">
        <f t="shared" si="178"/>
        <v>2.1788235948094446E-2</v>
      </c>
      <c r="AM221" s="31" t="str">
        <f t="shared" si="163"/>
        <v>1+21.8134761102914i</v>
      </c>
      <c r="AN221" s="31">
        <f t="shared" si="179"/>
        <v>21.836385690270575</v>
      </c>
      <c r="AO221" s="31">
        <f t="shared" si="180"/>
        <v>1.5249851803577057</v>
      </c>
      <c r="AP221" s="58" t="str">
        <f t="shared" si="181"/>
        <v>-0.00430932654048374+0.000291752352701067i</v>
      </c>
      <c r="AQ221" s="49">
        <f t="shared" si="182"/>
        <v>-47.291950931283047</v>
      </c>
      <c r="AR221" s="61">
        <f t="shared" si="183"/>
        <v>176.12684069163217</v>
      </c>
      <c r="AS221" s="58" t="str">
        <f t="shared" si="184"/>
        <v>0.360190666820358+0.461445254393195i</v>
      </c>
      <c r="AT221" s="64">
        <f t="shared" si="185"/>
        <v>-4.6512513304645866</v>
      </c>
      <c r="AU221" s="61">
        <f t="shared" si="186"/>
        <v>52.025443129103493</v>
      </c>
    </row>
    <row r="222" spans="14:47" x14ac:dyDescent="0.3">
      <c r="N222" s="10">
        <v>4</v>
      </c>
      <c r="O222" s="50">
        <f t="shared" si="187"/>
        <v>1096.4781961431863</v>
      </c>
      <c r="P222" s="48" t="str">
        <f t="shared" si="155"/>
        <v>51201.9230769231</v>
      </c>
      <c r="Q222" s="17" t="str">
        <f t="shared" si="156"/>
        <v>1+321.945825590551i</v>
      </c>
      <c r="R222" s="17">
        <f t="shared" si="164"/>
        <v>321.94737864312776</v>
      </c>
      <c r="S222" s="17">
        <f t="shared" si="165"/>
        <v>1.5676902241386323</v>
      </c>
      <c r="T222" s="17" t="str">
        <f t="shared" si="157"/>
        <v>1+2.06681270749489E-08i</v>
      </c>
      <c r="U222" s="17">
        <f t="shared" si="166"/>
        <v>1.0000000000000002</v>
      </c>
      <c r="V222" s="17">
        <f t="shared" si="167"/>
        <v>2.0668127074948897E-8</v>
      </c>
      <c r="W222" s="31" t="str">
        <f t="shared" si="158"/>
        <v>1-0.0111607886204724i</v>
      </c>
      <c r="X222" s="17">
        <f t="shared" si="168"/>
        <v>1.0000622796619372</v>
      </c>
      <c r="Y222" s="17">
        <f t="shared" si="169"/>
        <v>-1.1160325247245308E-2</v>
      </c>
      <c r="Z222" s="31" t="str">
        <f t="shared" si="159"/>
        <v>0.999519094226153+0.681071560678505i</v>
      </c>
      <c r="AA222" s="17">
        <f t="shared" si="170"/>
        <v>1.2095027451344307</v>
      </c>
      <c r="AB222" s="17">
        <f t="shared" si="171"/>
        <v>0.59813285289298435</v>
      </c>
      <c r="AC222" s="66" t="str">
        <f t="shared" si="172"/>
        <v>-74.9198290636464-108.069125838936i</v>
      </c>
      <c r="AD222" s="64">
        <f t="shared" si="173"/>
        <v>42.378431359169596</v>
      </c>
      <c r="AE222" s="61">
        <f t="shared" si="174"/>
        <v>-124.73195983641287</v>
      </c>
      <c r="AF222" s="31" t="str">
        <f t="shared" si="160"/>
        <v>-1.33333333333333E-06</v>
      </c>
      <c r="AG222" s="31" t="str">
        <f t="shared" si="161"/>
        <v>0.0068962650673413i</v>
      </c>
      <c r="AH222" s="31">
        <f t="shared" si="175"/>
        <v>6.8962650673412996E-3</v>
      </c>
      <c r="AI222" s="31">
        <f t="shared" si="176"/>
        <v>1.5707963267948966</v>
      </c>
      <c r="AJ222" s="31" t="str">
        <f t="shared" si="162"/>
        <v>1+0.0222992779629818i</v>
      </c>
      <c r="AK222" s="31">
        <f t="shared" si="177"/>
        <v>1.0002485979983529</v>
      </c>
      <c r="AL222" s="31">
        <f t="shared" si="178"/>
        <v>2.2295582902074704E-2</v>
      </c>
      <c r="AM222" s="31" t="str">
        <f t="shared" si="163"/>
        <v>1+22.3215772409448i</v>
      </c>
      <c r="AN222" s="31">
        <f t="shared" si="179"/>
        <v>22.343965863818021</v>
      </c>
      <c r="AO222" s="31">
        <f t="shared" si="180"/>
        <v>1.5260265603371483</v>
      </c>
      <c r="AP222" s="58" t="str">
        <f t="shared" si="181"/>
        <v>-0.00430923014445027+0.000289434090410451i</v>
      </c>
      <c r="AQ222" s="49">
        <f t="shared" si="182"/>
        <v>-47.292458027078858</v>
      </c>
      <c r="AR222" s="61">
        <f t="shared" si="183"/>
        <v>176.15743853011176</v>
      </c>
      <c r="AS222" s="58" t="str">
        <f t="shared" si="184"/>
        <v>0.354125674956772+0.44401038217079i</v>
      </c>
      <c r="AT222" s="64">
        <f t="shared" si="185"/>
        <v>-4.9140266679092512</v>
      </c>
      <c r="AU222" s="61">
        <f t="shared" si="186"/>
        <v>51.425478693698864</v>
      </c>
    </row>
    <row r="223" spans="14:47" x14ac:dyDescent="0.3">
      <c r="N223" s="10">
        <v>5</v>
      </c>
      <c r="O223" s="50">
        <f t="shared" si="187"/>
        <v>1122.0184543019636</v>
      </c>
      <c r="P223" s="48" t="str">
        <f t="shared" si="155"/>
        <v>51201.9230769231</v>
      </c>
      <c r="Q223" s="17" t="str">
        <f t="shared" si="156"/>
        <v>1+329.444907220852i</v>
      </c>
      <c r="R223" s="17">
        <f t="shared" si="164"/>
        <v>329.44642492180088</v>
      </c>
      <c r="S223" s="17">
        <f t="shared" si="165"/>
        <v>1.5677609272277366</v>
      </c>
      <c r="T223" s="17" t="str">
        <f t="shared" si="157"/>
        <v>1+2.11495495993634E-08i</v>
      </c>
      <c r="U223" s="17">
        <f t="shared" si="166"/>
        <v>1.0000000000000002</v>
      </c>
      <c r="V223" s="17">
        <f t="shared" si="167"/>
        <v>2.1149549599363398E-8</v>
      </c>
      <c r="W223" s="31" t="str">
        <f t="shared" si="158"/>
        <v>1-0.0114207567836562i</v>
      </c>
      <c r="X223" s="17">
        <f t="shared" si="168"/>
        <v>1.0000652147162761</v>
      </c>
      <c r="Y223" s="17">
        <f t="shared" si="169"/>
        <v>-1.1420260272046517E-2</v>
      </c>
      <c r="Z223" s="31" t="str">
        <f t="shared" si="159"/>
        <v>0.999496429835282+0.69693575528403i</v>
      </c>
      <c r="AA223" s="17">
        <f t="shared" si="170"/>
        <v>1.2184878170284659</v>
      </c>
      <c r="AB223" s="17">
        <f t="shared" si="171"/>
        <v>0.60890276209197547</v>
      </c>
      <c r="AC223" s="66" t="str">
        <f t="shared" si="172"/>
        <v>-73.8339719135441-104.017573494777i</v>
      </c>
      <c r="AD223" s="64">
        <f t="shared" si="173"/>
        <v>42.114172079184939</v>
      </c>
      <c r="AE223" s="61">
        <f t="shared" si="174"/>
        <v>-125.36797432014366</v>
      </c>
      <c r="AF223" s="31" t="str">
        <f t="shared" si="160"/>
        <v>-1.33333333333333E-06</v>
      </c>
      <c r="AG223" s="31" t="str">
        <f t="shared" si="161"/>
        <v>0.0070568997163209i</v>
      </c>
      <c r="AH223" s="31">
        <f t="shared" si="175"/>
        <v>7.0568997163209003E-3</v>
      </c>
      <c r="AI223" s="31">
        <f t="shared" si="176"/>
        <v>1.5707963267948966</v>
      </c>
      <c r="AJ223" s="31" t="str">
        <f t="shared" si="162"/>
        <v>1+0.02281869487244i</v>
      </c>
      <c r="AK223" s="31">
        <f t="shared" si="177"/>
        <v>1.0002603125365324</v>
      </c>
      <c r="AL223" s="31">
        <f t="shared" si="178"/>
        <v>2.2814735598992376E-2</v>
      </c>
      <c r="AM223" s="31" t="str">
        <f t="shared" si="163"/>
        <v>1+22.8415135673124i</v>
      </c>
      <c r="AN223" s="31">
        <f t="shared" si="179"/>
        <v>22.863393056274838</v>
      </c>
      <c r="AO223" s="31">
        <f t="shared" si="180"/>
        <v>1.5270443295149243</v>
      </c>
      <c r="AP223" s="58" t="str">
        <f t="shared" si="181"/>
        <v>-0.00430912921003387+0.000287269087345978i</v>
      </c>
      <c r="AQ223" s="49">
        <f t="shared" si="182"/>
        <v>-47.292951284530325</v>
      </c>
      <c r="AR223" s="61">
        <f t="shared" si="183"/>
        <v>176.18600715006056</v>
      </c>
      <c r="AS223" s="58" t="str">
        <f t="shared" si="184"/>
        <v>0.348041158471261+0.427014946576456i</v>
      </c>
      <c r="AT223" s="64">
        <f t="shared" si="185"/>
        <v>-5.1787792053453874</v>
      </c>
      <c r="AU223" s="61">
        <f t="shared" si="186"/>
        <v>50.818032829916916</v>
      </c>
    </row>
    <row r="224" spans="14:47" x14ac:dyDescent="0.3">
      <c r="N224" s="10">
        <v>6</v>
      </c>
      <c r="O224" s="50">
        <f t="shared" si="187"/>
        <v>1148.1536214968839</v>
      </c>
      <c r="P224" s="48" t="str">
        <f t="shared" si="155"/>
        <v>51201.9230769231</v>
      </c>
      <c r="Q224" s="17" t="str">
        <f t="shared" si="156"/>
        <v>1+337.118664901681i</v>
      </c>
      <c r="R224" s="17">
        <f t="shared" si="164"/>
        <v>337.12014805569225</v>
      </c>
      <c r="S224" s="17">
        <f t="shared" si="165"/>
        <v>1.5678300209473701</v>
      </c>
      <c r="T224" s="17" t="str">
        <f t="shared" si="157"/>
        <v>1+2.16421858949228E-08i</v>
      </c>
      <c r="U224" s="17">
        <f t="shared" si="166"/>
        <v>1.0000000000000002</v>
      </c>
      <c r="V224" s="17">
        <f t="shared" si="167"/>
        <v>2.1642185894922796E-8</v>
      </c>
      <c r="W224" s="31" t="str">
        <f t="shared" si="158"/>
        <v>1-0.0116867803832583i</v>
      </c>
      <c r="X224" s="17">
        <f t="shared" si="168"/>
        <v>1.0000682880862319</v>
      </c>
      <c r="Y224" s="17">
        <f t="shared" si="169"/>
        <v>-1.1686248363445279E-2</v>
      </c>
      <c r="Z224" s="31" t="str">
        <f t="shared" si="159"/>
        <v>0.999472697304577+0.713169474452043i</v>
      </c>
      <c r="AA224" s="17">
        <f t="shared" si="170"/>
        <v>1.2278258719979354</v>
      </c>
      <c r="AB224" s="17">
        <f t="shared" si="171"/>
        <v>0.61975932423745805</v>
      </c>
      <c r="AC224" s="66" t="str">
        <f t="shared" si="172"/>
        <v>-72.7292612981401-100.069415906969i</v>
      </c>
      <c r="AD224" s="64">
        <f t="shared" si="173"/>
        <v>41.8478887922548</v>
      </c>
      <c r="AE224" s="61">
        <f t="shared" si="174"/>
        <v>-126.00920825643934</v>
      </c>
      <c r="AF224" s="31" t="str">
        <f t="shared" si="160"/>
        <v>-1.33333333333333E-06</v>
      </c>
      <c r="AG224" s="31" t="str">
        <f t="shared" si="161"/>
        <v>0.00722127602693923i</v>
      </c>
      <c r="AH224" s="31">
        <f t="shared" si="175"/>
        <v>7.2212760269392299E-3</v>
      </c>
      <c r="AI224" s="31">
        <f t="shared" si="176"/>
        <v>1.5707963267948966</v>
      </c>
      <c r="AJ224" s="31" t="str">
        <f t="shared" si="162"/>
        <v>1+0.0233502105559606i</v>
      </c>
      <c r="AK224" s="31">
        <f t="shared" si="177"/>
        <v>1.0002725790168436</v>
      </c>
      <c r="AL224" s="31">
        <f t="shared" si="178"/>
        <v>2.3345968180463101E-2</v>
      </c>
      <c r="AM224" s="31" t="str">
        <f t="shared" si="163"/>
        <v>1+23.3735607665166i</v>
      </c>
      <c r="AN224" s="31">
        <f t="shared" si="179"/>
        <v>23.394942677981582</v>
      </c>
      <c r="AO224" s="31">
        <f t="shared" si="180"/>
        <v>1.5280390190868387</v>
      </c>
      <c r="AP224" s="58" t="str">
        <f t="shared" si="181"/>
        <v>-0.00430902352379271+0.000285256181122693i</v>
      </c>
      <c r="AQ224" s="49">
        <f t="shared" si="182"/>
        <v>-47.29343174469787</v>
      </c>
      <c r="AR224" s="61">
        <f t="shared" si="183"/>
        <v>176.21256127959882</v>
      </c>
      <c r="AS224" s="58" t="str">
        <f t="shared" si="184"/>
        <v>0.341937517230553+0.410454995821544i</v>
      </c>
      <c r="AT224" s="64">
        <f t="shared" si="185"/>
        <v>-5.4455429524430619</v>
      </c>
      <c r="AU224" s="61">
        <f t="shared" si="186"/>
        <v>50.203353023159501</v>
      </c>
    </row>
    <row r="225" spans="14:47" x14ac:dyDescent="0.3">
      <c r="N225" s="10">
        <v>7</v>
      </c>
      <c r="O225" s="50">
        <f t="shared" si="187"/>
        <v>1174.8975549395295</v>
      </c>
      <c r="P225" s="48" t="str">
        <f t="shared" si="155"/>
        <v>51201.9230769231</v>
      </c>
      <c r="Q225" s="17" t="str">
        <f t="shared" si="156"/>
        <v>1+344.971167360934i</v>
      </c>
      <c r="R225" s="17">
        <f t="shared" si="164"/>
        <v>344.9726167543817</v>
      </c>
      <c r="S225" s="17">
        <f t="shared" si="165"/>
        <v>1.5678975419292978</v>
      </c>
      <c r="T225" s="17" t="str">
        <f t="shared" si="157"/>
        <v>1+2.21462971639118E-08i</v>
      </c>
      <c r="U225" s="17">
        <f t="shared" si="166"/>
        <v>1.0000000000000002</v>
      </c>
      <c r="V225" s="17">
        <f t="shared" si="167"/>
        <v>2.2146297163911798E-8</v>
      </c>
      <c r="W225" s="31" t="str">
        <f t="shared" si="158"/>
        <v>1-0.0119590004685124i</v>
      </c>
      <c r="X225" s="17">
        <f t="shared" si="168"/>
        <v>1.0000715062895282</v>
      </c>
      <c r="Y225" s="17">
        <f t="shared" si="169"/>
        <v>-1.1958430401213395E-2</v>
      </c>
      <c r="Z225" s="31" t="str">
        <f t="shared" si="159"/>
        <v>0.999447846294159+0.729781325515323i</v>
      </c>
      <c r="AA225" s="17">
        <f t="shared" si="170"/>
        <v>1.2375284968569147</v>
      </c>
      <c r="AB225" s="17">
        <f t="shared" si="171"/>
        <v>0.63069810647622093</v>
      </c>
      <c r="AC225" s="66" t="str">
        <f t="shared" si="172"/>
        <v>-71.6065296457177-96.2236957371424i</v>
      </c>
      <c r="AD225" s="64">
        <f t="shared" si="173"/>
        <v>41.579549903307566</v>
      </c>
      <c r="AE225" s="61">
        <f t="shared" si="174"/>
        <v>-126.65541783216595</v>
      </c>
      <c r="AF225" s="31" t="str">
        <f t="shared" si="160"/>
        <v>-1.33333333333333E-06</v>
      </c>
      <c r="AG225" s="31" t="str">
        <f t="shared" si="161"/>
        <v>0.00738948115369191i</v>
      </c>
      <c r="AH225" s="31">
        <f t="shared" si="175"/>
        <v>7.3894811536919097E-3</v>
      </c>
      <c r="AI225" s="31">
        <f t="shared" si="176"/>
        <v>1.5707963267948966</v>
      </c>
      <c r="AJ225" s="31" t="str">
        <f t="shared" si="162"/>
        <v>1+0.0238941068301945i</v>
      </c>
      <c r="AK225" s="31">
        <f t="shared" si="177"/>
        <v>1.0002854234373371</v>
      </c>
      <c r="AL225" s="31">
        <f t="shared" si="178"/>
        <v>2.3889561113001088E-2</v>
      </c>
      <c r="AM225" s="31" t="str">
        <f t="shared" si="163"/>
        <v>1+23.9180009370248i</v>
      </c>
      <c r="AN225" s="31">
        <f t="shared" si="179"/>
        <v>23.938896566540393</v>
      </c>
      <c r="AO225" s="31">
        <f t="shared" si="180"/>
        <v>1.5290111485727593</v>
      </c>
      <c r="AP225" s="58" t="str">
        <f t="shared" si="181"/>
        <v>-0.00430891286226868+0.000283394288966262i</v>
      </c>
      <c r="AQ225" s="49">
        <f t="shared" si="182"/>
        <v>-47.293900421893355</v>
      </c>
      <c r="AR225" s="61">
        <f t="shared" si="183"/>
        <v>176.23711461547475</v>
      </c>
      <c r="AS225" s="58" t="str">
        <f t="shared" si="184"/>
        <v>0.33581554244799+0.394326638662511i</v>
      </c>
      <c r="AT225" s="64">
        <f t="shared" si="185"/>
        <v>-5.714350518585789</v>
      </c>
      <c r="AU225" s="61">
        <f t="shared" si="186"/>
        <v>49.581696783308793</v>
      </c>
    </row>
    <row r="226" spans="14:47" x14ac:dyDescent="0.3">
      <c r="N226" s="10">
        <v>8</v>
      </c>
      <c r="O226" s="50">
        <f t="shared" si="187"/>
        <v>1202.2644346174138</v>
      </c>
      <c r="P226" s="48" t="str">
        <f t="shared" si="155"/>
        <v>51201.9230769231</v>
      </c>
      <c r="Q226" s="17" t="str">
        <f t="shared" si="156"/>
        <v>1+353.006578099356i</v>
      </c>
      <c r="R226" s="17">
        <f t="shared" si="164"/>
        <v>353.00799450071486</v>
      </c>
      <c r="S226" s="17">
        <f t="shared" si="165"/>
        <v>1.5679635259715734</v>
      </c>
      <c r="T226" s="17" t="str">
        <f t="shared" si="157"/>
        <v>1+2.26621506927982E-08i</v>
      </c>
      <c r="U226" s="17">
        <f t="shared" si="166"/>
        <v>1.0000000000000002</v>
      </c>
      <c r="V226" s="17">
        <f t="shared" si="167"/>
        <v>2.2662150692798196E-8</v>
      </c>
      <c r="W226" s="31" t="str">
        <f t="shared" si="158"/>
        <v>1-0.012237561374111i</v>
      </c>
      <c r="X226" s="17">
        <f t="shared" si="168"/>
        <v>1.0000748761509735</v>
      </c>
      <c r="Y226" s="17">
        <f t="shared" si="169"/>
        <v>-1.2236950538464835E-2</v>
      </c>
      <c r="Z226" s="31" t="str">
        <f t="shared" si="159"/>
        <v>0.999421824091702+0.746780116297191i</v>
      </c>
      <c r="AA226" s="17">
        <f t="shared" si="170"/>
        <v>1.2476075202432979</v>
      </c>
      <c r="AB226" s="17">
        <f t="shared" si="171"/>
        <v>0.64171448714590185</v>
      </c>
      <c r="AC226" s="66" t="str">
        <f t="shared" si="172"/>
        <v>-70.4666680914988-92.4794649141572i</v>
      </c>
      <c r="AD226" s="64">
        <f t="shared" si="173"/>
        <v>41.309125302233767</v>
      </c>
      <c r="AE226" s="61">
        <f t="shared" si="174"/>
        <v>-127.30634855600353</v>
      </c>
      <c r="AF226" s="31" t="str">
        <f t="shared" si="160"/>
        <v>-1.33333333333333E-06</v>
      </c>
      <c r="AG226" s="31" t="str">
        <f t="shared" si="161"/>
        <v>0.00756160428116364i</v>
      </c>
      <c r="AH226" s="31">
        <f t="shared" si="175"/>
        <v>7.5616042811636397E-3</v>
      </c>
      <c r="AI226" s="31">
        <f t="shared" si="176"/>
        <v>1.5707963267948966</v>
      </c>
      <c r="AJ226" s="31" t="str">
        <f t="shared" si="162"/>
        <v>1+0.0244506720761458i</v>
      </c>
      <c r="AK226" s="31">
        <f t="shared" si="177"/>
        <v>1.0002988730199465</v>
      </c>
      <c r="AL226" s="31">
        <f t="shared" si="178"/>
        <v>2.4445801331013838E-2</v>
      </c>
      <c r="AM226" s="31" t="str">
        <f t="shared" si="163"/>
        <v>1+24.475122748222i</v>
      </c>
      <c r="AN226" s="31">
        <f t="shared" si="179"/>
        <v>24.495543136263258</v>
      </c>
      <c r="AO226" s="31">
        <f t="shared" si="180"/>
        <v>1.529961226054843</v>
      </c>
      <c r="AP226" s="58" t="str">
        <f t="shared" si="181"/>
        <v>-0.00430879699151954+0.000281682407065206i</v>
      </c>
      <c r="AQ226" s="49">
        <f t="shared" si="182"/>
        <v>-47.294358305790844</v>
      </c>
      <c r="AR226" s="61">
        <f t="shared" si="183"/>
        <v>176.259679828521</v>
      </c>
      <c r="AS226" s="58" t="str">
        <f t="shared" si="184"/>
        <v>0.329676405756178+0.378626019513579i</v>
      </c>
      <c r="AT226" s="64">
        <f t="shared" si="185"/>
        <v>-5.9852330035570684</v>
      </c>
      <c r="AU226" s="61">
        <f t="shared" si="186"/>
        <v>48.953331272517438</v>
      </c>
    </row>
    <row r="227" spans="14:47" x14ac:dyDescent="0.3">
      <c r="N227" s="10">
        <v>9</v>
      </c>
      <c r="O227" s="50">
        <f t="shared" si="187"/>
        <v>1230.2687708123824</v>
      </c>
      <c r="P227" s="48" t="str">
        <f t="shared" si="155"/>
        <v>51201.9230769231</v>
      </c>
      <c r="Q227" s="17" t="str">
        <f t="shared" si="156"/>
        <v>1+361.229157598079i</v>
      </c>
      <c r="R227" s="17">
        <f t="shared" si="164"/>
        <v>361.23054175833164</v>
      </c>
      <c r="S227" s="17">
        <f t="shared" si="165"/>
        <v>1.56802800805751</v>
      </c>
      <c r="T227" s="17" t="str">
        <f t="shared" si="157"/>
        <v>1+2.31900199939508E-08i</v>
      </c>
      <c r="U227" s="17">
        <f t="shared" si="166"/>
        <v>1.0000000000000002</v>
      </c>
      <c r="V227" s="17">
        <f t="shared" si="167"/>
        <v>2.3190019993950796E-8</v>
      </c>
      <c r="W227" s="31" t="str">
        <f t="shared" si="158"/>
        <v>1-0.0125226107967334i</v>
      </c>
      <c r="X227" s="17">
        <f t="shared" si="168"/>
        <v>1.0000784048169256</v>
      </c>
      <c r="Y227" s="17">
        <f t="shared" si="169"/>
        <v>-1.2521956277317569E-2</v>
      </c>
      <c r="Z227" s="31" t="str">
        <f t="shared" si="159"/>
        <v>0.999394575500625+0.764174859781522i</v>
      </c>
      <c r="AA227" s="17">
        <f t="shared" si="170"/>
        <v>1.2580750112223766</v>
      </c>
      <c r="AB227" s="17">
        <f t="shared" si="171"/>
        <v>0.65280366326391426</v>
      </c>
      <c r="AC227" s="66" t="str">
        <f t="shared" si="172"/>
        <v>-69.3106248994601-88.8357789363723i</v>
      </c>
      <c r="AD227" s="64">
        <f t="shared" si="173"/>
        <v>41.036586472676007</v>
      </c>
      <c r="AE227" s="61">
        <f t="shared" si="174"/>
        <v>-127.96173569294983</v>
      </c>
      <c r="AF227" s="31" t="str">
        <f t="shared" si="160"/>
        <v>-1.33333333333333E-06</v>
      </c>
      <c r="AG227" s="31" t="str">
        <f t="shared" si="161"/>
        <v>0.0077377366713149i</v>
      </c>
      <c r="AH227" s="31">
        <f t="shared" si="175"/>
        <v>7.7377366713148998E-3</v>
      </c>
      <c r="AI227" s="31">
        <f t="shared" si="176"/>
        <v>1.5707963267948966</v>
      </c>
      <c r="AJ227" s="31" t="str">
        <f t="shared" si="162"/>
        <v>1+0.0250202013920747i</v>
      </c>
      <c r="AK227" s="31">
        <f t="shared" si="177"/>
        <v>1.0003129562680371</v>
      </c>
      <c r="AL227" s="31">
        <f t="shared" si="178"/>
        <v>2.501498238281865E-2</v>
      </c>
      <c r="AM227" s="31" t="str">
        <f t="shared" si="163"/>
        <v>1+25.0452215934668i</v>
      </c>
      <c r="AN227" s="31">
        <f t="shared" si="179"/>
        <v>25.065177531105888</v>
      </c>
      <c r="AO227" s="31">
        <f t="shared" si="180"/>
        <v>1.5308897484121571</v>
      </c>
      <c r="AP227" s="58" t="str">
        <f t="shared" si="181"/>
        <v>-0.00430867566662924+0.000280119609959751i</v>
      </c>
      <c r="AQ227" s="49">
        <f t="shared" si="182"/>
        <v>-47.294806363488497</v>
      </c>
      <c r="AR227" s="61">
        <f t="shared" si="183"/>
        <v>176.2802685687314</v>
      </c>
      <c r="AS227" s="58" t="str">
        <f t="shared" si="184"/>
        <v>0.323521646689298+0.363349293816298i</v>
      </c>
      <c r="AT227" s="64">
        <f t="shared" si="185"/>
        <v>-6.25821989081249</v>
      </c>
      <c r="AU227" s="61">
        <f t="shared" si="186"/>
        <v>48.318532875781521</v>
      </c>
    </row>
    <row r="228" spans="14:47" x14ac:dyDescent="0.3">
      <c r="N228" s="10">
        <v>10</v>
      </c>
      <c r="O228" s="50">
        <f t="shared" si="187"/>
        <v>1258.925411794168</v>
      </c>
      <c r="P228" s="48" t="str">
        <f t="shared" si="155"/>
        <v>51201.9230769231</v>
      </c>
      <c r="Q228" s="17" t="str">
        <f t="shared" si="156"/>
        <v>1+369.643265577595i</v>
      </c>
      <c r="R228" s="17">
        <f t="shared" si="164"/>
        <v>369.64461823063033</v>
      </c>
      <c r="S228" s="17">
        <f t="shared" si="165"/>
        <v>1.568091022374217</v>
      </c>
      <c r="T228" s="17" t="str">
        <f t="shared" si="157"/>
        <v>1+2.37301849506604E-08i</v>
      </c>
      <c r="U228" s="17">
        <f t="shared" si="166"/>
        <v>1.0000000000000004</v>
      </c>
      <c r="V228" s="17">
        <f t="shared" si="167"/>
        <v>2.3730184950660398E-8</v>
      </c>
      <c r="W228" s="31" t="str">
        <f t="shared" si="158"/>
        <v>1-0.0128142998733566i</v>
      </c>
      <c r="X228" s="17">
        <f t="shared" si="168"/>
        <v>1.0000820997704361</v>
      </c>
      <c r="Y228" s="17">
        <f t="shared" si="169"/>
        <v>-1.2813598546276372E-2</v>
      </c>
      <c r="Z228" s="31" t="str">
        <f t="shared" si="159"/>
        <v>0.999366042723016+0.78197477889156i</v>
      </c>
      <c r="AA228" s="17">
        <f t="shared" si="170"/>
        <v>1.2689432777592407</v>
      </c>
      <c r="AB228" s="17">
        <f t="shared" si="171"/>
        <v>0.66396065899535006</v>
      </c>
      <c r="AC228" s="66" t="str">
        <f t="shared" si="172"/>
        <v>-68.1394034516307-85.2916912745884i</v>
      </c>
      <c r="AD228" s="64">
        <f t="shared" si="173"/>
        <v>40.761906597408867</v>
      </c>
      <c r="AE228" s="61">
        <f t="shared" si="174"/>
        <v>-128.62130475499256</v>
      </c>
      <c r="AF228" s="31" t="str">
        <f t="shared" si="160"/>
        <v>-1.33333333333333E-06</v>
      </c>
      <c r="AG228" s="31" t="str">
        <f t="shared" si="161"/>
        <v>0.00791797171187035i</v>
      </c>
      <c r="AH228" s="31">
        <f t="shared" si="175"/>
        <v>7.9179717118703502E-3</v>
      </c>
      <c r="AI228" s="31">
        <f t="shared" si="176"/>
        <v>1.5707963267948966</v>
      </c>
      <c r="AJ228" s="31" t="str">
        <f t="shared" si="162"/>
        <v>1+0.0256029967499632i</v>
      </c>
      <c r="AK228" s="31">
        <f t="shared" si="177"/>
        <v>1.0003277030266524</v>
      </c>
      <c r="AL228" s="31">
        <f t="shared" si="178"/>
        <v>2.5597404579730837E-2</v>
      </c>
      <c r="AM228" s="31" t="str">
        <f t="shared" si="163"/>
        <v>1+25.6285997467132i</v>
      </c>
      <c r="AN228" s="31">
        <f t="shared" si="179"/>
        <v>25.648101781169458</v>
      </c>
      <c r="AO228" s="31">
        <f t="shared" si="180"/>
        <v>1.5317972015516625</v>
      </c>
      <c r="AP228" s="58" t="str">
        <f t="shared" si="181"/>
        <v>-0.0043085486311958+0.000278705049966637i</v>
      </c>
      <c r="AQ228" s="49">
        <f t="shared" si="182"/>
        <v>-47.295245541524821</v>
      </c>
      <c r="AR228" s="61">
        <f t="shared" si="183"/>
        <v>176.29889146995316</v>
      </c>
      <c r="AS228" s="58" t="str">
        <f t="shared" si="184"/>
        <v>0.317353158550445+0.348492603849819i</v>
      </c>
      <c r="AT228" s="64">
        <f t="shared" si="185"/>
        <v>-6.5333389441159548</v>
      </c>
      <c r="AU228" s="61">
        <f t="shared" si="186"/>
        <v>47.677586714960562</v>
      </c>
    </row>
    <row r="229" spans="14:47" x14ac:dyDescent="0.3">
      <c r="N229" s="10">
        <v>11</v>
      </c>
      <c r="O229" s="50">
        <f t="shared" si="187"/>
        <v>1288.2495516931347</v>
      </c>
      <c r="P229" s="48" t="str">
        <f t="shared" si="155"/>
        <v>51201.9230769231</v>
      </c>
      <c r="Q229" s="17" t="str">
        <f t="shared" si="156"/>
        <v>1+378.253363309326i</v>
      </c>
      <c r="R229" s="17">
        <f t="shared" si="164"/>
        <v>378.25468517232798</v>
      </c>
      <c r="S229" s="17">
        <f t="shared" si="165"/>
        <v>1.5681526023307166</v>
      </c>
      <c r="T229" s="17" t="str">
        <f t="shared" si="157"/>
        <v>1+2.4282931965537E-08i</v>
      </c>
      <c r="U229" s="17">
        <f t="shared" si="166"/>
        <v>1.0000000000000004</v>
      </c>
      <c r="V229" s="17">
        <f t="shared" si="167"/>
        <v>2.4282931965536997E-8</v>
      </c>
      <c r="W229" s="31" t="str">
        <f t="shared" si="158"/>
        <v>1-0.01311278326139i</v>
      </c>
      <c r="X229" s="17">
        <f t="shared" si="168"/>
        <v>1.0000859688471089</v>
      </c>
      <c r="Y229" s="17">
        <f t="shared" si="169"/>
        <v>-1.3112031779373114E-2</v>
      </c>
      <c r="Z229" s="31" t="str">
        <f t="shared" si="159"/>
        <v>0.999336165237025+0.800189311380024i</v>
      </c>
      <c r="AA229" s="17">
        <f t="shared" si="170"/>
        <v>1.2802248650910821</v>
      </c>
      <c r="AB229" s="17">
        <f t="shared" si="171"/>
        <v>0.6751803350788218</v>
      </c>
      <c r="AC229" s="66" t="str">
        <f t="shared" si="172"/>
        <v>-66.9540598068472-81.8462479193886i</v>
      </c>
      <c r="AD229" s="64">
        <f t="shared" si="173"/>
        <v>40.485060659534604</v>
      </c>
      <c r="AE229" s="61">
        <f t="shared" si="174"/>
        <v>-129.28477204674223</v>
      </c>
      <c r="AF229" s="31" t="str">
        <f t="shared" si="160"/>
        <v>-1.33333333333333E-06</v>
      </c>
      <c r="AG229" s="31" t="str">
        <f t="shared" si="161"/>
        <v>0.00810240496583417i</v>
      </c>
      <c r="AH229" s="31">
        <f t="shared" si="175"/>
        <v>8.1024049658341701E-3</v>
      </c>
      <c r="AI229" s="31">
        <f t="shared" si="176"/>
        <v>1.5707963267948966</v>
      </c>
      <c r="AJ229" s="31" t="str">
        <f t="shared" si="162"/>
        <v>1+0.0261993671556243i</v>
      </c>
      <c r="AK229" s="31">
        <f t="shared" si="177"/>
        <v>1.0003431445455881</v>
      </c>
      <c r="AL229" s="31">
        <f t="shared" si="178"/>
        <v>2.6193375148269544E-2</v>
      </c>
      <c r="AM229" s="31" t="str">
        <f t="shared" si="163"/>
        <v>1+26.2255665227799i</v>
      </c>
      <c r="AN229" s="31">
        <f t="shared" si="179"/>
        <v>26.244624962851994</v>
      </c>
      <c r="AO229" s="31">
        <f t="shared" si="180"/>
        <v>1.532684060635523</v>
      </c>
      <c r="AP229" s="58" t="str">
        <f t="shared" si="181"/>
        <v>-0.0043084156167954+0.000277437956639129i</v>
      </c>
      <c r="AQ229" s="49">
        <f t="shared" si="182"/>
        <v>-47.295676767853898</v>
      </c>
      <c r="AR229" s="61">
        <f t="shared" si="183"/>
        <v>176.31555815418989</v>
      </c>
      <c r="AS229" s="58" t="str">
        <f t="shared" si="184"/>
        <v>0.311173172661008+0.334052055170496i</v>
      </c>
      <c r="AT229" s="64">
        <f t="shared" si="185"/>
        <v>-6.8106161083193033</v>
      </c>
      <c r="AU229" s="61">
        <f t="shared" si="186"/>
        <v>47.03078610744771</v>
      </c>
    </row>
    <row r="230" spans="14:47" x14ac:dyDescent="0.3">
      <c r="N230" s="10">
        <v>12</v>
      </c>
      <c r="O230" s="50">
        <f t="shared" si="187"/>
        <v>1318.2567385564089</v>
      </c>
      <c r="P230" s="48" t="str">
        <f t="shared" si="155"/>
        <v>51201.9230769231</v>
      </c>
      <c r="Q230" s="17" t="str">
        <f t="shared" si="156"/>
        <v>1+387.06401598106i</v>
      </c>
      <c r="R230" s="17">
        <f t="shared" si="164"/>
        <v>387.06530775488812</v>
      </c>
      <c r="S230" s="17">
        <f t="shared" si="165"/>
        <v>1.5682127805756474</v>
      </c>
      <c r="T230" s="17" t="str">
        <f t="shared" si="157"/>
        <v>1+2.48485541123644E-08i</v>
      </c>
      <c r="U230" s="17">
        <f t="shared" si="166"/>
        <v>1.0000000000000004</v>
      </c>
      <c r="V230" s="17">
        <f t="shared" si="167"/>
        <v>2.4848554112364393E-8</v>
      </c>
      <c r="W230" s="31" t="str">
        <f t="shared" si="158"/>
        <v>1-0.0134182192206767i</v>
      </c>
      <c r="X230" s="17">
        <f t="shared" si="168"/>
        <v>1.0000900202517042</v>
      </c>
      <c r="Y230" s="17">
        <f t="shared" si="169"/>
        <v>-1.3417413997102596E-2</v>
      </c>
      <c r="Z230" s="31" t="str">
        <f t="shared" si="159"/>
        <v>0.9993048796685+0.818828114833142i</v>
      </c>
      <c r="AA230" s="17">
        <f t="shared" si="170"/>
        <v>1.2919325540330937</v>
      </c>
      <c r="AB230" s="17">
        <f t="shared" si="171"/>
        <v>0.68645739917996451</v>
      </c>
      <c r="AC230" s="66" t="str">
        <f t="shared" si="172"/>
        <v>-65.7556998360646-78.4984821170247i</v>
      </c>
      <c r="AD230" s="64">
        <f t="shared" si="173"/>
        <v>40.206025538726131</v>
      </c>
      <c r="AE230" s="61">
        <f t="shared" si="174"/>
        <v>-129.95184526429566</v>
      </c>
      <c r="AF230" s="31" t="str">
        <f t="shared" si="160"/>
        <v>-1.33333333333333E-06</v>
      </c>
      <c r="AG230" s="31" t="str">
        <f t="shared" si="161"/>
        <v>0.0082911342221589i</v>
      </c>
      <c r="AH230" s="31">
        <f t="shared" si="175"/>
        <v>8.2911342221588993E-3</v>
      </c>
      <c r="AI230" s="31">
        <f t="shared" si="176"/>
        <v>1.5707963267948966</v>
      </c>
      <c r="AJ230" s="31" t="str">
        <f t="shared" si="162"/>
        <v>1+0.0268096288125409i</v>
      </c>
      <c r="AK230" s="31">
        <f t="shared" si="177"/>
        <v>1.0003593135454212</v>
      </c>
      <c r="AL230" s="31">
        <f t="shared" si="178"/>
        <v>2.6803208385529877E-2</v>
      </c>
      <c r="AM230" s="31" t="str">
        <f t="shared" si="163"/>
        <v>1+26.8364384413535i</v>
      </c>
      <c r="AN230" s="31">
        <f t="shared" si="179"/>
        <v>26.855063362735823</v>
      </c>
      <c r="AO230" s="31">
        <f t="shared" si="180"/>
        <v>1.5335507903047279</v>
      </c>
      <c r="AP230" s="58" t="str">
        <f t="shared" si="181"/>
        <v>-0.00430827634242178+0.000276317636261557i</v>
      </c>
      <c r="AQ230" s="49">
        <f t="shared" si="182"/>
        <v>-47.296100953783331</v>
      </c>
      <c r="AR230" s="61">
        <f t="shared" si="183"/>
        <v>176.33027723551228</v>
      </c>
      <c r="AS230" s="58" t="str">
        <f t="shared" si="184"/>
        <v>0.304984241011801+0.320023693871371i</v>
      </c>
      <c r="AT230" s="64">
        <f t="shared" si="185"/>
        <v>-7.0900754150572016</v>
      </c>
      <c r="AU230" s="61">
        <f t="shared" si="186"/>
        <v>46.378431971216671</v>
      </c>
    </row>
    <row r="231" spans="14:47" x14ac:dyDescent="0.3">
      <c r="N231" s="10">
        <v>13</v>
      </c>
      <c r="O231" s="50">
        <f t="shared" si="187"/>
        <v>1348.9628825916541</v>
      </c>
      <c r="P231" s="48" t="str">
        <f t="shared" si="155"/>
        <v>51201.9230769231</v>
      </c>
      <c r="Q231" s="17" t="str">
        <f t="shared" si="156"/>
        <v>1+396.079895117464i</v>
      </c>
      <c r="R231" s="17">
        <f t="shared" si="164"/>
        <v>396.08115748702465</v>
      </c>
      <c r="S231" s="17">
        <f t="shared" si="165"/>
        <v>1.5682715890145669</v>
      </c>
      <c r="T231" s="17" t="str">
        <f t="shared" si="157"/>
        <v>1+2.54273512914915E-08i</v>
      </c>
      <c r="U231" s="17">
        <f t="shared" si="166"/>
        <v>1.0000000000000004</v>
      </c>
      <c r="V231" s="17">
        <f t="shared" si="167"/>
        <v>2.5427351291491492E-8</v>
      </c>
      <c r="W231" s="31" t="str">
        <f t="shared" si="158"/>
        <v>1-0.0137307696974054i</v>
      </c>
      <c r="X231" s="17">
        <f t="shared" si="168"/>
        <v>1.0000942625755249</v>
      </c>
      <c r="Y231" s="17">
        <f t="shared" si="169"/>
        <v>-1.3729906889192834E-2</v>
      </c>
      <c r="Z231" s="31" t="str">
        <f t="shared" si="159"/>
        <v>0.999272119656556+0.837901071791214i</v>
      </c>
      <c r="AA231" s="17">
        <f t="shared" si="170"/>
        <v>1.3040793592537885</v>
      </c>
      <c r="AB231" s="17">
        <f t="shared" si="171"/>
        <v>0.69778641713297962</v>
      </c>
      <c r="AC231" s="66" t="str">
        <f t="shared" si="172"/>
        <v>-64.545475946579-75.2474093378175i</v>
      </c>
      <c r="AD231" s="64">
        <f t="shared" si="173"/>
        <v>39.924780101767858</v>
      </c>
      <c r="AE231" s="61">
        <f t="shared" si="174"/>
        <v>-130.62222414506311</v>
      </c>
      <c r="AF231" s="31" t="str">
        <f t="shared" si="160"/>
        <v>-1.33333333333333E-06</v>
      </c>
      <c r="AG231" s="31" t="str">
        <f t="shared" si="161"/>
        <v>0.00848425954759434i</v>
      </c>
      <c r="AH231" s="31">
        <f t="shared" si="175"/>
        <v>8.4842595475943406E-3</v>
      </c>
      <c r="AI231" s="31">
        <f t="shared" si="176"/>
        <v>1.5707963267948966</v>
      </c>
      <c r="AJ231" s="31" t="str">
        <f t="shared" si="162"/>
        <v>1+0.0274341052895213i</v>
      </c>
      <c r="AK231" s="31">
        <f t="shared" si="177"/>
        <v>1.0003762442866366</v>
      </c>
      <c r="AL231" s="31">
        <f t="shared" si="178"/>
        <v>2.7427225817768235E-2</v>
      </c>
      <c r="AM231" s="31" t="str">
        <f t="shared" si="163"/>
        <v>1+27.4615393948108i</v>
      </c>
      <c r="AN231" s="31">
        <f t="shared" si="179"/>
        <v>27.479740645296229</v>
      </c>
      <c r="AO231" s="31">
        <f t="shared" si="180"/>
        <v>1.5343978448990072</v>
      </c>
      <c r="AP231" s="58" t="str">
        <f t="shared" si="181"/>
        <v>-0.00430813051389974+0.000275343471377649i</v>
      </c>
      <c r="AQ231" s="49">
        <f t="shared" si="182"/>
        <v>-47.296518995878728</v>
      </c>
      <c r="AR231" s="61">
        <f t="shared" si="183"/>
        <v>176.34305632357183</v>
      </c>
      <c r="AS231" s="58" t="str">
        <f t="shared" si="184"/>
        <v>0.298789217358888+0.306403484851302i</v>
      </c>
      <c r="AT231" s="64">
        <f t="shared" si="185"/>
        <v>-7.3717388941108855</v>
      </c>
      <c r="AU231" s="61">
        <f t="shared" si="186"/>
        <v>45.720832178508687</v>
      </c>
    </row>
    <row r="232" spans="14:47" x14ac:dyDescent="0.3">
      <c r="N232" s="10">
        <v>14</v>
      </c>
      <c r="O232" s="50">
        <f t="shared" si="187"/>
        <v>1380.3842646028863</v>
      </c>
      <c r="P232" s="48" t="str">
        <f t="shared" si="155"/>
        <v>51201.9230769231</v>
      </c>
      <c r="Q232" s="17" t="str">
        <f t="shared" si="156"/>
        <v>1+405.305781056997i</v>
      </c>
      <c r="R232" s="17">
        <f t="shared" si="164"/>
        <v>405.30701469160681</v>
      </c>
      <c r="S232" s="17">
        <f t="shared" si="165"/>
        <v>1.5683290588268597</v>
      </c>
      <c r="T232" s="17" t="str">
        <f t="shared" si="157"/>
        <v>1+2.60196303888443E-08i</v>
      </c>
      <c r="U232" s="17">
        <f t="shared" si="166"/>
        <v>1.0000000000000004</v>
      </c>
      <c r="V232" s="17">
        <f t="shared" si="167"/>
        <v>2.6019630388844294E-8</v>
      </c>
      <c r="W232" s="31" t="str">
        <f t="shared" si="158"/>
        <v>1-0.0140506004099759i</v>
      </c>
      <c r="X232" s="17">
        <f t="shared" si="168"/>
        <v>1.0000987048146202</v>
      </c>
      <c r="Y232" s="17">
        <f t="shared" si="169"/>
        <v>-1.4049675899247398E-2</v>
      </c>
      <c r="Z232" s="31" t="str">
        <f t="shared" si="159"/>
        <v>0.999237815712815+0.857418294988483i</v>
      </c>
      <c r="AA232" s="17">
        <f t="shared" si="170"/>
        <v>1.3166785275576856</v>
      </c>
      <c r="AB232" s="17">
        <f t="shared" si="171"/>
        <v>0.70916182502146019</v>
      </c>
      <c r="AC232" s="66" t="str">
        <f t="shared" si="172"/>
        <v>-63.3245834127992-72.0920225201221i</v>
      </c>
      <c r="AD232" s="64">
        <f t="shared" si="173"/>
        <v>39.641305286670033</v>
      </c>
      <c r="AE232" s="61">
        <f t="shared" si="174"/>
        <v>-131.29560116576684</v>
      </c>
      <c r="AF232" s="31" t="str">
        <f t="shared" si="160"/>
        <v>-1.33333333333333E-06</v>
      </c>
      <c r="AG232" s="31" t="str">
        <f t="shared" si="161"/>
        <v>0.00868188333974437i</v>
      </c>
      <c r="AH232" s="31">
        <f t="shared" si="175"/>
        <v>8.6818833397443694E-3</v>
      </c>
      <c r="AI232" s="31">
        <f t="shared" si="176"/>
        <v>1.5707963267948966</v>
      </c>
      <c r="AJ232" s="31" t="str">
        <f t="shared" si="162"/>
        <v>1+0.0280731276922595i</v>
      </c>
      <c r="AK232" s="31">
        <f t="shared" si="177"/>
        <v>1.0003939726419915</v>
      </c>
      <c r="AL232" s="31">
        <f t="shared" si="178"/>
        <v>2.8065756362246116E-2</v>
      </c>
      <c r="AM232" s="31" t="str">
        <f t="shared" si="163"/>
        <v>1+28.1012008199518i</v>
      </c>
      <c r="AN232" s="31">
        <f t="shared" si="179"/>
        <v>28.118988024522857</v>
      </c>
      <c r="AO232" s="31">
        <f t="shared" si="180"/>
        <v>1.5352256686730401</v>
      </c>
      <c r="AP232" s="58" t="str">
        <f t="shared" si="181"/>
        <v>-0.00430797782327183+0.000274514920351918i</v>
      </c>
      <c r="AQ232" s="49">
        <f t="shared" si="182"/>
        <v>-47.296931777838232</v>
      </c>
      <c r="AR232" s="61">
        <f t="shared" si="183"/>
        <v>176.35390202671573</v>
      </c>
      <c r="AS232" s="58" t="str">
        <f t="shared" si="184"/>
        <v>0.292591236830386+0.293187291279616i</v>
      </c>
      <c r="AT232" s="64">
        <f t="shared" si="185"/>
        <v>-7.6556264911682117</v>
      </c>
      <c r="AU232" s="61">
        <f t="shared" si="186"/>
        <v>45.058300860948883</v>
      </c>
    </row>
    <row r="233" spans="14:47" x14ac:dyDescent="0.3">
      <c r="N233" s="10">
        <v>15</v>
      </c>
      <c r="O233" s="50">
        <f t="shared" si="187"/>
        <v>1412.5375446227545</v>
      </c>
      <c r="P233" s="48" t="str">
        <f t="shared" si="155"/>
        <v>51201.9230769231</v>
      </c>
      <c r="Q233" s="17" t="str">
        <f t="shared" si="156"/>
        <v>1+414.746565486503i</v>
      </c>
      <c r="R233" s="17">
        <f t="shared" si="164"/>
        <v>414.74777104024338</v>
      </c>
      <c r="S233" s="17">
        <f t="shared" si="165"/>
        <v>1.5683852204822619</v>
      </c>
      <c r="T233" s="17" t="str">
        <f t="shared" si="157"/>
        <v>1+2.66257054386397E-08i</v>
      </c>
      <c r="U233" s="17">
        <f t="shared" si="166"/>
        <v>1.0000000000000004</v>
      </c>
      <c r="V233" s="17">
        <f t="shared" si="167"/>
        <v>2.6625705438639693E-8</v>
      </c>
      <c r="W233" s="31" t="str">
        <f t="shared" si="158"/>
        <v>1-0.0143778809368654i</v>
      </c>
      <c r="X233" s="17">
        <f t="shared" si="168"/>
        <v>1.0001033563888457</v>
      </c>
      <c r="Y233" s="17">
        <f t="shared" si="169"/>
        <v>-1.437689031130112E-2</v>
      </c>
      <c r="Z233" s="31" t="str">
        <f t="shared" si="159"/>
        <v>0.999201895074012+0.877390132715026i</v>
      </c>
      <c r="AA233" s="17">
        <f t="shared" si="170"/>
        <v>1.3297435362148551</v>
      </c>
      <c r="AB233" s="17">
        <f t="shared" si="171"/>
        <v>0.72057794204073766</v>
      </c>
      <c r="AC233" s="66" t="str">
        <f t="shared" si="172"/>
        <v>-62.0942563364515-69.0312876313353i</v>
      </c>
      <c r="AD233" s="64">
        <f t="shared" si="173"/>
        <v>39.355584179670934</v>
      </c>
      <c r="AE233" s="61">
        <f t="shared" si="174"/>
        <v>-131.97166228530492</v>
      </c>
      <c r="AF233" s="31" t="str">
        <f t="shared" si="160"/>
        <v>-1.33333333333333E-06</v>
      </c>
      <c r="AG233" s="31" t="str">
        <f t="shared" si="161"/>
        <v>0.00888411038135943i</v>
      </c>
      <c r="AH233" s="31">
        <f t="shared" si="175"/>
        <v>8.8841103813594308E-3</v>
      </c>
      <c r="AI233" s="31">
        <f t="shared" si="176"/>
        <v>1.5707963267948966</v>
      </c>
      <c r="AJ233" s="31" t="str">
        <f t="shared" si="162"/>
        <v>1+0.0287270348388919i</v>
      </c>
      <c r="AK233" s="31">
        <f t="shared" si="177"/>
        <v>1.0004125361722709</v>
      </c>
      <c r="AL233" s="31">
        <f t="shared" si="178"/>
        <v>2.8719136492378061E-2</v>
      </c>
      <c r="AM233" s="31" t="str">
        <f t="shared" si="163"/>
        <v>1+28.7557618737308i</v>
      </c>
      <c r="AN233" s="31">
        <f t="shared" si="179"/>
        <v>28.773144439541362</v>
      </c>
      <c r="AO233" s="31">
        <f t="shared" si="180"/>
        <v>1.5360346960089479</v>
      </c>
      <c r="AP233" s="58" t="str">
        <f t="shared" si="181"/>
        <v>-0.00430781794815651+0.000273831516963349i</v>
      </c>
      <c r="AQ233" s="49">
        <f t="shared" si="182"/>
        <v>-47.297340172341656</v>
      </c>
      <c r="AR233" s="61">
        <f t="shared" si="183"/>
        <v>176.36281995469969</v>
      </c>
      <c r="AS233" s="58" t="str">
        <f t="shared" si="184"/>
        <v>0.286393694133619+0.280370855435299i</v>
      </c>
      <c r="AT233" s="64">
        <f t="shared" si="185"/>
        <v>-7.9417559926707266</v>
      </c>
      <c r="AU233" s="61">
        <f t="shared" si="186"/>
        <v>44.391157669394723</v>
      </c>
    </row>
    <row r="234" spans="14:47" x14ac:dyDescent="0.3">
      <c r="N234" s="10">
        <v>16</v>
      </c>
      <c r="O234" s="50">
        <f t="shared" si="187"/>
        <v>1445.4397707459289</v>
      </c>
      <c r="P234" s="48" t="str">
        <f t="shared" si="155"/>
        <v>51201.9230769231</v>
      </c>
      <c r="Q234" s="17" t="str">
        <f t="shared" si="156"/>
        <v>1+424.407254034849i</v>
      </c>
      <c r="R234" s="17">
        <f t="shared" si="164"/>
        <v>424.40843214691301</v>
      </c>
      <c r="S234" s="17">
        <f t="shared" si="165"/>
        <v>1.5684401037570088</v>
      </c>
      <c r="T234" s="17" t="str">
        <f t="shared" si="157"/>
        <v>1+2.72458977898916E-08i</v>
      </c>
      <c r="U234" s="17">
        <f t="shared" si="166"/>
        <v>1.0000000000000004</v>
      </c>
      <c r="V234" s="17">
        <f t="shared" si="167"/>
        <v>2.7245897789891593E-8</v>
      </c>
      <c r="W234" s="31" t="str">
        <f t="shared" si="158"/>
        <v>1-0.0147127848065414i</v>
      </c>
      <c r="X234" s="17">
        <f t="shared" si="168"/>
        <v>1.0001082271618225</v>
      </c>
      <c r="Y234" s="17">
        <f t="shared" si="169"/>
        <v>-1.4711723338328804E-2</v>
      </c>
      <c r="Z234" s="31" t="str">
        <f t="shared" si="159"/>
        <v>0.999164281547658+0.897827174303568i</v>
      </c>
      <c r="AA234" s="17">
        <f t="shared" si="170"/>
        <v>1.3432880913782335</v>
      </c>
      <c r="AB234" s="17">
        <f t="shared" si="171"/>
        <v>0.73202898407554717</v>
      </c>
      <c r="AC234" s="66" t="str">
        <f t="shared" si="172"/>
        <v>-60.8557632641577-66.0641395850939i</v>
      </c>
      <c r="AD234" s="64">
        <f t="shared" si="173"/>
        <v>39.067602084484669</v>
      </c>
      <c r="AE234" s="61">
        <f t="shared" si="174"/>
        <v>-132.65008772869109</v>
      </c>
      <c r="AF234" s="31" t="str">
        <f t="shared" si="160"/>
        <v>-1.33333333333333E-06</v>
      </c>
      <c r="AG234" s="31" t="str">
        <f t="shared" si="161"/>
        <v>0.00909104789589382i</v>
      </c>
      <c r="AH234" s="31">
        <f t="shared" si="175"/>
        <v>9.0910478958938206E-3</v>
      </c>
      <c r="AI234" s="31">
        <f t="shared" si="176"/>
        <v>1.5707963267948966</v>
      </c>
      <c r="AJ234" s="31" t="str">
        <f t="shared" si="162"/>
        <v>1+0.0293961734396432i</v>
      </c>
      <c r="AK234" s="31">
        <f t="shared" si="177"/>
        <v>1.0004319742055896</v>
      </c>
      <c r="AL234" s="31">
        <f t="shared" si="178"/>
        <v>2.9387710406227379E-2</v>
      </c>
      <c r="AM234" s="31" t="str">
        <f t="shared" si="163"/>
        <v>1+29.4255696130829i</v>
      </c>
      <c r="AN234" s="31">
        <f t="shared" si="179"/>
        <v>29.442556734332499</v>
      </c>
      <c r="AO234" s="31">
        <f t="shared" si="180"/>
        <v>1.5368253516250827</v>
      </c>
      <c r="AP234" s="58" t="str">
        <f t="shared" si="181"/>
        <v>-0.00430765055107707+0.000273292870030607i</v>
      </c>
      <c r="AQ234" s="49">
        <f t="shared" si="182"/>
        <v>-47.297745042877004</v>
      </c>
      <c r="AR234" s="61">
        <f t="shared" si="183"/>
        <v>176.36981472099643</v>
      </c>
      <c r="AS234" s="58" t="str">
        <f t="shared" si="184"/>
        <v>0.280200220474378+0.267949781089797i</v>
      </c>
      <c r="AT234" s="64">
        <f t="shared" si="185"/>
        <v>-8.2301429583923404</v>
      </c>
      <c r="AU234" s="61">
        <f t="shared" si="186"/>
        <v>43.719726992305269</v>
      </c>
    </row>
    <row r="235" spans="14:47" x14ac:dyDescent="0.3">
      <c r="N235" s="10">
        <v>17</v>
      </c>
      <c r="O235" s="50">
        <f t="shared" si="187"/>
        <v>1479.1083881682086</v>
      </c>
      <c r="P235" s="48" t="str">
        <f t="shared" si="155"/>
        <v>51201.9230769231</v>
      </c>
      <c r="Q235" s="17" t="str">
        <f t="shared" si="156"/>
        <v>1+434.292968926979i</v>
      </c>
      <c r="R235" s="17">
        <f t="shared" si="164"/>
        <v>434.29412022201029</v>
      </c>
      <c r="S235" s="17">
        <f t="shared" si="165"/>
        <v>1.5684937377496153</v>
      </c>
      <c r="T235" s="17" t="str">
        <f t="shared" si="157"/>
        <v>1+2.78805362767937E-08i</v>
      </c>
      <c r="U235" s="17">
        <f t="shared" si="166"/>
        <v>1.0000000000000004</v>
      </c>
      <c r="V235" s="17">
        <f t="shared" si="167"/>
        <v>2.7880536276793692E-8</v>
      </c>
      <c r="W235" s="31" t="str">
        <f t="shared" si="158"/>
        <v>1-0.0150554895894686i</v>
      </c>
      <c r="X235" s="17">
        <f t="shared" si="168"/>
        <v>1.0001133274618326</v>
      </c>
      <c r="Y235" s="17">
        <f t="shared" si="169"/>
        <v>-1.5054352212747578E-2</v>
      </c>
      <c r="Z235" s="31" t="str">
        <f t="shared" si="159"/>
        <v>0.99912489535042+0.918740255744072i</v>
      </c>
      <c r="AA235" s="17">
        <f t="shared" si="170"/>
        <v>1.3573261266304686</v>
      </c>
      <c r="AB235" s="17">
        <f t="shared" si="171"/>
        <v>0.74350907791877896</v>
      </c>
      <c r="AC235" s="66" t="str">
        <f t="shared" si="172"/>
        <v>-59.6104024951377-63.1894785508486i</v>
      </c>
      <c r="AD235" s="64">
        <f t="shared" si="173"/>
        <v>38.777346583209237</v>
      </c>
      <c r="AE235" s="61">
        <f t="shared" si="174"/>
        <v>-133.33055280781866</v>
      </c>
      <c r="AF235" s="31" t="str">
        <f t="shared" si="160"/>
        <v>-1.33333333333333E-06</v>
      </c>
      <c r="AG235" s="31" t="str">
        <f t="shared" si="161"/>
        <v>0.00930280560435684i</v>
      </c>
      <c r="AH235" s="31">
        <f t="shared" si="175"/>
        <v>9.3028056043568397E-3</v>
      </c>
      <c r="AI235" s="31">
        <f t="shared" si="176"/>
        <v>1.5707963267948966</v>
      </c>
      <c r="AJ235" s="31" t="str">
        <f t="shared" si="162"/>
        <v>1+0.0300808982806565i</v>
      </c>
      <c r="AK235" s="31">
        <f t="shared" si="177"/>
        <v>1.0004523279204118</v>
      </c>
      <c r="AL235" s="31">
        <f t="shared" si="178"/>
        <v>3.0071830198391939E-2</v>
      </c>
      <c r="AM235" s="31" t="str">
        <f t="shared" si="163"/>
        <v>1+30.1109791789372i</v>
      </c>
      <c r="AN235" s="31">
        <f t="shared" si="179"/>
        <v>30.127579841639946</v>
      </c>
      <c r="AO235" s="31">
        <f t="shared" si="180"/>
        <v>1.537598050781118</v>
      </c>
      <c r="AP235" s="58" t="str">
        <f t="shared" si="181"/>
        <v>-0.00430747527875963+0.000272898663067995i</v>
      </c>
      <c r="AQ235" s="49">
        <f t="shared" si="182"/>
        <v>-47.29814724554867</v>
      </c>
      <c r="AR235" s="61">
        <f t="shared" si="183"/>
        <v>176.3748899446982</v>
      </c>
      <c r="AS235" s="58" t="str">
        <f t="shared" si="184"/>
        <v>0.274014659321207+0.255919517589624i</v>
      </c>
      <c r="AT235" s="64">
        <f t="shared" si="185"/>
        <v>-8.5208006623394326</v>
      </c>
      <c r="AU235" s="61">
        <f t="shared" si="186"/>
        <v>43.044337136879541</v>
      </c>
    </row>
    <row r="236" spans="14:47" x14ac:dyDescent="0.3">
      <c r="N236" s="10">
        <v>18</v>
      </c>
      <c r="O236" s="50">
        <f t="shared" si="187"/>
        <v>1513.5612484362093</v>
      </c>
      <c r="P236" s="48" t="str">
        <f t="shared" si="155"/>
        <v>51201.9230769231</v>
      </c>
      <c r="Q236" s="17" t="str">
        <f t="shared" si="156"/>
        <v>1+444.408951699781i</v>
      </c>
      <c r="R236" s="17">
        <f t="shared" si="164"/>
        <v>444.410076788205</v>
      </c>
      <c r="S236" s="17">
        <f t="shared" si="165"/>
        <v>1.5685461508962997</v>
      </c>
      <c r="T236" s="17" t="str">
        <f t="shared" si="157"/>
        <v>1+2.85299573930724E-08i</v>
      </c>
      <c r="U236" s="17">
        <f t="shared" si="166"/>
        <v>1.0000000000000004</v>
      </c>
      <c r="V236" s="17">
        <f t="shared" si="167"/>
        <v>2.8529957393072393E-8</v>
      </c>
      <c r="W236" s="31" t="str">
        <f t="shared" si="158"/>
        <v>1-0.0154061769922591i</v>
      </c>
      <c r="X236" s="17">
        <f t="shared" si="168"/>
        <v>1.0001186681036989</v>
      </c>
      <c r="Y236" s="17">
        <f t="shared" si="169"/>
        <v>-1.5404958278955079E-2</v>
      </c>
      <c r="Z236" s="31" t="str">
        <f t="shared" si="159"/>
        <v>0.999083652938893+0.940140465429137i</v>
      </c>
      <c r="AA236" s="17">
        <f t="shared" si="170"/>
        <v>1.3718718017027089</v>
      </c>
      <c r="AB236" s="17">
        <f t="shared" si="171"/>
        <v>0.75501227604986587</v>
      </c>
      <c r="AC236" s="66" t="str">
        <f t="shared" si="172"/>
        <v>-58.3594971162165-60.4061666883497i</v>
      </c>
      <c r="AD236" s="64">
        <f t="shared" si="173"/>
        <v>38.484807588371517</v>
      </c>
      <c r="AE236" s="61">
        <f t="shared" si="174"/>
        <v>-134.01272877438504</v>
      </c>
      <c r="AF236" s="31" t="str">
        <f t="shared" si="160"/>
        <v>-1.33333333333333E-06</v>
      </c>
      <c r="AG236" s="31" t="str">
        <f t="shared" si="161"/>
        <v>0.00951949578348847i</v>
      </c>
      <c r="AH236" s="31">
        <f t="shared" si="175"/>
        <v>9.5194957834884696E-3</v>
      </c>
      <c r="AI236" s="31">
        <f t="shared" si="176"/>
        <v>1.5707963267948966</v>
      </c>
      <c r="AJ236" s="31" t="str">
        <f t="shared" si="162"/>
        <v>1+0.030781572412106i</v>
      </c>
      <c r="AK236" s="31">
        <f t="shared" si="177"/>
        <v>1.0004736404324512</v>
      </c>
      <c r="AL236" s="31">
        <f t="shared" si="178"/>
        <v>3.0771856035322113E-2</v>
      </c>
      <c r="AM236" s="31" t="str">
        <f t="shared" si="163"/>
        <v>1+30.8123539845181i</v>
      </c>
      <c r="AN236" s="31">
        <f t="shared" si="179"/>
        <v>30.828576971168296</v>
      </c>
      <c r="AO236" s="31">
        <f t="shared" si="180"/>
        <v>1.5383531994794581</v>
      </c>
      <c r="AP236" s="58" t="str">
        <f t="shared" si="181"/>
        <v>-0.00430729176139902+0.000272648653971303i</v>
      </c>
      <c r="AQ236" s="49">
        <f t="shared" si="182"/>
        <v>-47.298547630870601</v>
      </c>
      <c r="AR236" s="61">
        <f t="shared" si="183"/>
        <v>176.37804825201164</v>
      </c>
      <c r="AS236" s="58" t="str">
        <f t="shared" si="184"/>
        <v>0.267841041167214+0.244275345779246i</v>
      </c>
      <c r="AT236" s="64">
        <f t="shared" si="185"/>
        <v>-8.8137400424990808</v>
      </c>
      <c r="AU236" s="61">
        <f t="shared" si="186"/>
        <v>42.365319477626592</v>
      </c>
    </row>
    <row r="237" spans="14:47" x14ac:dyDescent="0.3">
      <c r="N237" s="10">
        <v>19</v>
      </c>
      <c r="O237" s="50">
        <f t="shared" si="187"/>
        <v>1548.8166189124822</v>
      </c>
      <c r="P237" s="48" t="str">
        <f t="shared" si="155"/>
        <v>51201.9230769231</v>
      </c>
      <c r="Q237" s="17" t="str">
        <f t="shared" si="156"/>
        <v>1+454.760565981222i</v>
      </c>
      <c r="R237" s="17">
        <f t="shared" si="164"/>
        <v>454.76166545956954</v>
      </c>
      <c r="S237" s="17">
        <f t="shared" si="165"/>
        <v>1.5685973709860535</v>
      </c>
      <c r="T237" s="17" t="str">
        <f t="shared" si="157"/>
        <v>1+2.91945054703994E-08i</v>
      </c>
      <c r="U237" s="17">
        <f t="shared" si="166"/>
        <v>1.0000000000000004</v>
      </c>
      <c r="V237" s="17">
        <f t="shared" si="167"/>
        <v>2.9194505470399389E-8</v>
      </c>
      <c r="W237" s="31" t="str">
        <f t="shared" si="158"/>
        <v>1-0.0157650329540157i</v>
      </c>
      <c r="X237" s="17">
        <f t="shared" si="168"/>
        <v>1.0001242604116956</v>
      </c>
      <c r="Y237" s="17">
        <f t="shared" si="169"/>
        <v>-1.576372708794559E-2</v>
      </c>
      <c r="Z237" s="31" t="str">
        <f t="shared" si="159"/>
        <v>0.999040466832392+0.962039150033202i</v>
      </c>
      <c r="AA237" s="17">
        <f t="shared" si="170"/>
        <v>1.3869395014077901</v>
      </c>
      <c r="AB237" s="17">
        <f t="shared" si="171"/>
        <v>0.76653257188486279</v>
      </c>
      <c r="AC237" s="66" t="str">
        <f t="shared" si="172"/>
        <v>-57.1043898052826-57.7130253353488i</v>
      </c>
      <c r="AD237" s="64">
        <f t="shared" si="173"/>
        <v>38.189977385656746</v>
      </c>
      <c r="AE237" s="61">
        <f t="shared" si="174"/>
        <v>-134.69628369994192</v>
      </c>
      <c r="AF237" s="31" t="str">
        <f t="shared" si="160"/>
        <v>-1.33333333333333E-06</v>
      </c>
      <c r="AG237" s="31" t="str">
        <f t="shared" si="161"/>
        <v>0.00974123332528994i</v>
      </c>
      <c r="AH237" s="31">
        <f t="shared" si="175"/>
        <v>9.7412333252899393E-3</v>
      </c>
      <c r="AI237" s="31">
        <f t="shared" si="176"/>
        <v>1.5707963267948966</v>
      </c>
      <c r="AJ237" s="31" t="str">
        <f t="shared" si="162"/>
        <v>1+0.0314985673406906i</v>
      </c>
      <c r="AK237" s="31">
        <f t="shared" si="177"/>
        <v>1.0004959568856417</v>
      </c>
      <c r="AL237" s="31">
        <f t="shared" si="178"/>
        <v>3.148815633410873E-2</v>
      </c>
      <c r="AM237" s="31" t="str">
        <f t="shared" si="163"/>
        <v>1+31.5300659080314i</v>
      </c>
      <c r="AN237" s="31">
        <f t="shared" si="179"/>
        <v>31.545919802167827</v>
      </c>
      <c r="AO237" s="31">
        <f t="shared" si="180"/>
        <v>1.5390911946629837</v>
      </c>
      <c r="AP237" s="58" t="str">
        <f t="shared" si="181"/>
        <v>-0.00430709961189103+0.000272542674732717i</v>
      </c>
      <c r="AQ237" s="49">
        <f t="shared" si="182"/>
        <v>-47.298947045548303</v>
      </c>
      <c r="AR237" s="61">
        <f t="shared" si="183"/>
        <v>176.37929127734421</v>
      </c>
      <c r="AS237" s="58" t="str">
        <f t="shared" si="184"/>
        <v>0.26168355745942+0.233012365886427i</v>
      </c>
      <c r="AT237" s="64">
        <f t="shared" si="185"/>
        <v>-9.1089696598915424</v>
      </c>
      <c r="AU237" s="61">
        <f t="shared" si="186"/>
        <v>41.683007577402307</v>
      </c>
    </row>
    <row r="238" spans="14:47" x14ac:dyDescent="0.3">
      <c r="N238" s="10">
        <v>20</v>
      </c>
      <c r="O238" s="50">
        <f t="shared" si="187"/>
        <v>1584.8931924611156</v>
      </c>
      <c r="P238" s="48" t="str">
        <f t="shared" si="155"/>
        <v>51201.9230769231</v>
      </c>
      <c r="Q238" s="17" t="str">
        <f t="shared" si="156"/>
        <v>1+465.353300334214i</v>
      </c>
      <c r="R238" s="17">
        <f t="shared" si="164"/>
        <v>465.35437478543724</v>
      </c>
      <c r="S238" s="17">
        <f t="shared" si="165"/>
        <v>1.5686474251753701</v>
      </c>
      <c r="T238" s="17" t="str">
        <f t="shared" si="157"/>
        <v>1+2.98745328609619E-08i</v>
      </c>
      <c r="U238" s="17">
        <f t="shared" si="166"/>
        <v>1.0000000000000004</v>
      </c>
      <c r="V238" s="17">
        <f t="shared" si="167"/>
        <v>2.9874532860961892E-8</v>
      </c>
      <c r="W238" s="31" t="str">
        <f t="shared" si="158"/>
        <v>1-0.0161322477449194i</v>
      </c>
      <c r="X238" s="17">
        <f t="shared" si="168"/>
        <v>1.0001301162435332</v>
      </c>
      <c r="Y238" s="17">
        <f t="shared" si="169"/>
        <v>-1.6130848494046966E-2</v>
      </c>
      <c r="Z238" s="31" t="str">
        <f t="shared" si="159"/>
        <v>0.998995245427396+0.98444792052871i</v>
      </c>
      <c r="AA238" s="17">
        <f t="shared" si="170"/>
        <v>1.4025438348300721</v>
      </c>
      <c r="AB238" s="17">
        <f t="shared" si="171"/>
        <v>0.77806391540480924</v>
      </c>
      <c r="AC238" s="66" t="str">
        <f t="shared" si="172"/>
        <v>-55.8464374477613-55.1088326720638i</v>
      </c>
      <c r="AD238" s="64">
        <f t="shared" si="173"/>
        <v>37.89285066694854</v>
      </c>
      <c r="AE238" s="61">
        <f t="shared" si="174"/>
        <v>-135.38088337772101</v>
      </c>
      <c r="AF238" s="31" t="str">
        <f t="shared" si="160"/>
        <v>-1.33333333333333E-06</v>
      </c>
      <c r="AG238" s="31" t="str">
        <f t="shared" si="161"/>
        <v>0.00996813579794095i</v>
      </c>
      <c r="AH238" s="31">
        <f t="shared" si="175"/>
        <v>9.9681357979409507E-3</v>
      </c>
      <c r="AI238" s="31">
        <f t="shared" si="176"/>
        <v>1.5707963267948966</v>
      </c>
      <c r="AJ238" s="31" t="str">
        <f t="shared" si="162"/>
        <v>1+0.0322322632266122i</v>
      </c>
      <c r="AK238" s="31">
        <f t="shared" si="177"/>
        <v>1.000519324547362</v>
      </c>
      <c r="AL238" s="31">
        <f t="shared" si="178"/>
        <v>3.2221107944780267E-2</v>
      </c>
      <c r="AM238" s="31" t="str">
        <f t="shared" si="163"/>
        <v>1+32.2644954898388i</v>
      </c>
      <c r="AN238" s="31">
        <f t="shared" si="179"/>
        <v>32.279988680509604</v>
      </c>
      <c r="AO238" s="31">
        <f t="shared" si="180"/>
        <v>1.5398124244091556</v>
      </c>
      <c r="AP238" s="58" t="str">
        <f t="shared" si="181"/>
        <v>-0.00430689842502951+0.000272580631183919i</v>
      </c>
      <c r="AQ238" s="49">
        <f t="shared" si="182"/>
        <v>-47.299346334253187</v>
      </c>
      <c r="AR238" s="61">
        <f t="shared" si="183"/>
        <v>176.37861966398037</v>
      </c>
      <c r="AS238" s="58" t="str">
        <f t="shared" si="184"/>
        <v>0.255546533880832+0.222125487471642i</v>
      </c>
      <c r="AT238" s="64">
        <f t="shared" si="185"/>
        <v>-9.4064956673046574</v>
      </c>
      <c r="AU238" s="61">
        <f t="shared" si="186"/>
        <v>40.997736286259361</v>
      </c>
    </row>
    <row r="239" spans="14:47" x14ac:dyDescent="0.3">
      <c r="N239" s="10">
        <v>21</v>
      </c>
      <c r="O239" s="50">
        <f t="shared" si="187"/>
        <v>1621.8100973589308</v>
      </c>
      <c r="P239" s="48" t="str">
        <f t="shared" si="155"/>
        <v>51201.9230769231</v>
      </c>
      <c r="Q239" s="17" t="str">
        <f t="shared" si="156"/>
        <v>1+476.192771166721i</v>
      </c>
      <c r="R239" s="17">
        <f t="shared" si="164"/>
        <v>476.19382116050292</v>
      </c>
      <c r="S239" s="17">
        <f t="shared" si="165"/>
        <v>1.5686963400026404</v>
      </c>
      <c r="T239" s="17" t="str">
        <f t="shared" si="157"/>
        <v>1+3.05704001242833E-08i</v>
      </c>
      <c r="U239" s="17">
        <f t="shared" si="166"/>
        <v>1.0000000000000004</v>
      </c>
      <c r="V239" s="17">
        <f t="shared" si="167"/>
        <v>3.0570400124283295E-8</v>
      </c>
      <c r="W239" s="31" t="str">
        <f t="shared" si="158"/>
        <v>1-0.016508016067113i</v>
      </c>
      <c r="X239" s="17">
        <f t="shared" si="168"/>
        <v>1.0001362480154752</v>
      </c>
      <c r="Y239" s="17">
        <f t="shared" si="169"/>
        <v>-1.6506516753821528E-2</v>
      </c>
      <c r="Z239" s="31" t="str">
        <f t="shared" si="159"/>
        <v>0.998947892803242+1.00737865834239i</v>
      </c>
      <c r="AA239" s="17">
        <f t="shared" si="170"/>
        <v>1.4186996348134271</v>
      </c>
      <c r="AB239" s="17">
        <f t="shared" si="171"/>
        <v>0.78960022906447536</v>
      </c>
      <c r="AC239" s="66" t="str">
        <f t="shared" si="172"/>
        <v>-54.5870056134449-52.5923218807352i</v>
      </c>
      <c r="AD239" s="64">
        <f t="shared" si="173"/>
        <v>37.593424553387614</v>
      </c>
      <c r="AE239" s="61">
        <f t="shared" si="174"/>
        <v>-136.06619224062902</v>
      </c>
      <c r="AF239" s="31" t="str">
        <f t="shared" si="160"/>
        <v>-1.33333333333333E-06</v>
      </c>
      <c r="AG239" s="31" t="str">
        <f t="shared" si="161"/>
        <v>0.0102003235081359i</v>
      </c>
      <c r="AH239" s="31">
        <f t="shared" si="175"/>
        <v>1.02003235081359E-2</v>
      </c>
      <c r="AI239" s="31">
        <f t="shared" si="176"/>
        <v>1.5707963267948966</v>
      </c>
      <c r="AJ239" s="31" t="str">
        <f t="shared" si="162"/>
        <v>1+0.0329830490851408i</v>
      </c>
      <c r="AK239" s="31">
        <f t="shared" si="177"/>
        <v>1.0005437929081129</v>
      </c>
      <c r="AL239" s="31">
        <f t="shared" si="178"/>
        <v>3.2971096336142126E-2</v>
      </c>
      <c r="AM239" s="31" t="str">
        <f t="shared" si="163"/>
        <v>1+33.016032134226i</v>
      </c>
      <c r="AN239" s="31">
        <f t="shared" si="179"/>
        <v>33.031172820356289</v>
      </c>
      <c r="AO239" s="31">
        <f t="shared" si="180"/>
        <v>1.5405172681205053</v>
      </c>
      <c r="AP239" s="58" t="str">
        <f t="shared" si="181"/>
        <v>-0.00430668777666696+0.000272762502766429i</v>
      </c>
      <c r="AQ239" s="49">
        <f t="shared" si="182"/>
        <v>-47.299746341392613</v>
      </c>
      <c r="AR239" s="61">
        <f t="shared" si="183"/>
        <v>176.37603306434821</v>
      </c>
      <c r="AS239" s="58" t="str">
        <f t="shared" si="184"/>
        <v>0.249434403182761+0.211609421520648i</v>
      </c>
      <c r="AT239" s="64">
        <f t="shared" si="185"/>
        <v>-9.7063217880049972</v>
      </c>
      <c r="AU239" s="61">
        <f t="shared" si="186"/>
        <v>40.309840823719107</v>
      </c>
    </row>
    <row r="240" spans="14:47" x14ac:dyDescent="0.3">
      <c r="N240" s="10">
        <v>22</v>
      </c>
      <c r="O240" s="50">
        <f t="shared" si="187"/>
        <v>1659.5869074375626</v>
      </c>
      <c r="P240" s="48" t="str">
        <f t="shared" si="155"/>
        <v>51201.9230769231</v>
      </c>
      <c r="Q240" s="17" t="str">
        <f t="shared" si="156"/>
        <v>1+487.28472570966i</v>
      </c>
      <c r="R240" s="17">
        <f t="shared" si="164"/>
        <v>487.2857518027165</v>
      </c>
      <c r="S240" s="17">
        <f t="shared" si="165"/>
        <v>1.5687441414022156</v>
      </c>
      <c r="T240" s="17" t="str">
        <f t="shared" si="157"/>
        <v>1+3.12824762183979E-08i</v>
      </c>
      <c r="U240" s="17">
        <f t="shared" si="166"/>
        <v>1.0000000000000004</v>
      </c>
      <c r="V240" s="17">
        <f t="shared" si="167"/>
        <v>3.1282476218397885E-8</v>
      </c>
      <c r="W240" s="31" t="str">
        <f t="shared" si="158"/>
        <v>1-0.0168925371579349i</v>
      </c>
      <c r="X240" s="17">
        <f t="shared" si="168"/>
        <v>1.000142668728633</v>
      </c>
      <c r="Y240" s="17">
        <f t="shared" si="169"/>
        <v>-1.6890930627175491E-2</v>
      </c>
      <c r="Z240" s="31" t="str">
        <f t="shared" si="159"/>
        <v>0.998898308518665+1.03084352165495i</v>
      </c>
      <c r="AA240" s="17">
        <f t="shared" si="170"/>
        <v>1.435421957787824</v>
      </c>
      <c r="AB240" s="17">
        <f t="shared" si="171"/>
        <v>0.80113542388028502</v>
      </c>
      <c r="AC240" s="66" t="str">
        <f t="shared" si="172"/>
        <v>-53.3274629431083-50.1621798130343i</v>
      </c>
      <c r="AD240" s="64">
        <f t="shared" si="173"/>
        <v>37.291698608245241</v>
      </c>
      <c r="AE240" s="61">
        <f t="shared" si="174"/>
        <v>-136.75187428961712</v>
      </c>
      <c r="AF240" s="31" t="str">
        <f t="shared" si="160"/>
        <v>-1.33333333333333E-06</v>
      </c>
      <c r="AG240" s="31" t="str">
        <f t="shared" si="161"/>
        <v>0.0104379195648721i</v>
      </c>
      <c r="AH240" s="31">
        <f t="shared" si="175"/>
        <v>1.0437919564872101E-2</v>
      </c>
      <c r="AI240" s="31">
        <f t="shared" si="176"/>
        <v>1.5707963267948966</v>
      </c>
      <c r="AJ240" s="31" t="str">
        <f t="shared" si="162"/>
        <v>1+0.0337513229928768i</v>
      </c>
      <c r="AK240" s="31">
        <f t="shared" si="177"/>
        <v>1.000569413785855</v>
      </c>
      <c r="AL240" s="31">
        <f t="shared" si="178"/>
        <v>3.3738515785194434E-2</v>
      </c>
      <c r="AM240" s="31" t="str">
        <f t="shared" si="163"/>
        <v>1+33.7850743158697i</v>
      </c>
      <c r="AN240" s="31">
        <f t="shared" si="179"/>
        <v>33.799870510533594</v>
      </c>
      <c r="AO240" s="31">
        <f t="shared" si="180"/>
        <v>1.5412060967115386</v>
      </c>
      <c r="AP240" s="58" t="str">
        <f t="shared" si="181"/>
        <v>-0.00430646722283678+0.000273088342328257i</v>
      </c>
      <c r="AQ240" s="49">
        <f t="shared" si="182"/>
        <v>-47.300147912879503</v>
      </c>
      <c r="AR240" s="61">
        <f t="shared" si="183"/>
        <v>176.3715301398754</v>
      </c>
      <c r="AS240" s="58" t="str">
        <f t="shared" si="184"/>
        <v>0.243351677774252+0.201458674735172i</v>
      </c>
      <c r="AT240" s="64">
        <f t="shared" si="185"/>
        <v>-10.008449304634265</v>
      </c>
      <c r="AU240" s="61">
        <f t="shared" si="186"/>
        <v>39.619655850258312</v>
      </c>
    </row>
    <row r="241" spans="14:47" x14ac:dyDescent="0.3">
      <c r="N241" s="10">
        <v>23</v>
      </c>
      <c r="O241" s="50">
        <f t="shared" si="187"/>
        <v>1698.2436524617447</v>
      </c>
      <c r="P241" s="48" t="str">
        <f t="shared" si="155"/>
        <v>51201.9230769231</v>
      </c>
      <c r="Q241" s="17" t="str">
        <f t="shared" si="156"/>
        <v>1+498.635045064143i</v>
      </c>
      <c r="R241" s="17">
        <f t="shared" si="164"/>
        <v>498.63604780051742</v>
      </c>
      <c r="S241" s="17">
        <f t="shared" si="165"/>
        <v>1.5687908547181564</v>
      </c>
      <c r="T241" s="17" t="str">
        <f t="shared" si="157"/>
        <v>1+3.20111386954758E-08i</v>
      </c>
      <c r="U241" s="17">
        <f t="shared" si="166"/>
        <v>1.0000000000000004</v>
      </c>
      <c r="V241" s="17">
        <f t="shared" si="167"/>
        <v>3.2011138695475789E-8</v>
      </c>
      <c r="W241" s="31" t="str">
        <f t="shared" si="158"/>
        <v>1-0.0172860148955569i</v>
      </c>
      <c r="X241" s="17">
        <f t="shared" si="168"/>
        <v>1.0001493919965003</v>
      </c>
      <c r="Y241" s="17">
        <f t="shared" si="169"/>
        <v>-1.7284293480720695E-2</v>
      </c>
      <c r="Z241" s="31" t="str">
        <f t="shared" si="159"/>
        <v>0.998846387398749+1.05485495184753i</v>
      </c>
      <c r="AA241" s="17">
        <f t="shared" si="170"/>
        <v>1.4527260839734333</v>
      </c>
      <c r="AB241" s="17">
        <f t="shared" si="171"/>
        <v>0.81266341559406241</v>
      </c>
      <c r="AC241" s="66" t="str">
        <f t="shared" si="172"/>
        <v>-52.0691754956896-47.8170461722734i</v>
      </c>
      <c r="AD241" s="64">
        <f t="shared" si="173"/>
        <v>36.98767483949937</v>
      </c>
      <c r="AE241" s="61">
        <f t="shared" si="174"/>
        <v>-137.43759402650485</v>
      </c>
      <c r="AF241" s="31" t="str">
        <f t="shared" si="160"/>
        <v>-1.33333333333333E-06</v>
      </c>
      <c r="AG241" s="31" t="str">
        <f t="shared" si="161"/>
        <v>0.0106810499447238i</v>
      </c>
      <c r="AH241" s="31">
        <f t="shared" si="175"/>
        <v>1.0681049944723801E-2</v>
      </c>
      <c r="AI241" s="31">
        <f t="shared" si="176"/>
        <v>1.5707963267948966</v>
      </c>
      <c r="AJ241" s="31" t="str">
        <f t="shared" si="162"/>
        <v>1+0.034537492298815i</v>
      </c>
      <c r="AK241" s="31">
        <f t="shared" si="177"/>
        <v>1.0005962414352207</v>
      </c>
      <c r="AL241" s="31">
        <f t="shared" si="178"/>
        <v>3.4523769570153393E-2</v>
      </c>
      <c r="AM241" s="31" t="str">
        <f t="shared" si="163"/>
        <v>1+34.5720297911139i</v>
      </c>
      <c r="AN241" s="31">
        <f t="shared" si="179"/>
        <v>34.586489325713103</v>
      </c>
      <c r="AO241" s="31">
        <f t="shared" si="180"/>
        <v>1.5418792727920869</v>
      </c>
      <c r="AP241" s="58" t="str">
        <f t="shared" si="181"/>
        <v>-0.00430623629883554+0.000273558275945829i</v>
      </c>
      <c r="AQ241" s="49">
        <f t="shared" si="182"/>
        <v>-47.300551897905159</v>
      </c>
      <c r="AR241" s="61">
        <f t="shared" si="183"/>
        <v>176.36510856043512</v>
      </c>
      <c r="AS241" s="58" t="str">
        <f t="shared" si="184"/>
        <v>0.237302922281686+0.191667546051617i</v>
      </c>
      <c r="AT241" s="64">
        <f t="shared" si="185"/>
        <v>-10.312877058405785</v>
      </c>
      <c r="AU241" s="61">
        <f t="shared" si="186"/>
        <v>38.927514533930243</v>
      </c>
    </row>
    <row r="242" spans="14:47" x14ac:dyDescent="0.3">
      <c r="N242" s="10">
        <v>24</v>
      </c>
      <c r="O242" s="50">
        <f t="shared" si="187"/>
        <v>1737.8008287493772</v>
      </c>
      <c r="P242" s="48" t="str">
        <f t="shared" si="155"/>
        <v>51201.9230769231</v>
      </c>
      <c r="Q242" s="17" t="str">
        <f t="shared" si="156"/>
        <v>1+510.249747319737i</v>
      </c>
      <c r="R242" s="17">
        <f t="shared" si="164"/>
        <v>510.25072723108929</v>
      </c>
      <c r="S242" s="17">
        <f t="shared" si="165"/>
        <v>1.5688365047176656</v>
      </c>
      <c r="T242" s="17" t="str">
        <f t="shared" si="157"/>
        <v>1+3.27567739020078E-08i</v>
      </c>
      <c r="U242" s="17">
        <f t="shared" si="166"/>
        <v>1.0000000000000004</v>
      </c>
      <c r="V242" s="17">
        <f t="shared" si="167"/>
        <v>3.2756773902007785E-8</v>
      </c>
      <c r="W242" s="31" t="str">
        <f t="shared" si="158"/>
        <v>1-0.0176886579070842i</v>
      </c>
      <c r="X242" s="17">
        <f t="shared" si="168"/>
        <v>1.0001564320737801</v>
      </c>
      <c r="Y242" s="17">
        <f t="shared" si="169"/>
        <v>-1.7686813393436009E-2</v>
      </c>
      <c r="Z242" s="31" t="str">
        <f t="shared" si="159"/>
        <v>0.998792019311839+1.07942568009823i</v>
      </c>
      <c r="AA242" s="17">
        <f t="shared" si="170"/>
        <v>1.4706275179992203</v>
      </c>
      <c r="AB242" s="17">
        <f t="shared" si="171"/>
        <v>0.82417814080828777</v>
      </c>
      <c r="AC242" s="66" t="str">
        <f t="shared" si="172"/>
        <v>-50.8135011073676-45.5555132113991i</v>
      </c>
      <c r="AD242" s="64">
        <f t="shared" si="173"/>
        <v>36.681357692091865</v>
      </c>
      <c r="AE242" s="61">
        <f t="shared" si="174"/>
        <v>-138.12301738528632</v>
      </c>
      <c r="AF242" s="31" t="str">
        <f t="shared" si="160"/>
        <v>-1.33333333333333E-06</v>
      </c>
      <c r="AG242" s="31" t="str">
        <f t="shared" si="161"/>
        <v>0.0109298435586366i</v>
      </c>
      <c r="AH242" s="31">
        <f t="shared" si="175"/>
        <v>1.09298435586366E-2</v>
      </c>
      <c r="AI242" s="31">
        <f t="shared" si="176"/>
        <v>1.5707963267948966</v>
      </c>
      <c r="AJ242" s="31" t="str">
        <f t="shared" si="162"/>
        <v>1+0.035341973840328i</v>
      </c>
      <c r="AK242" s="31">
        <f t="shared" si="177"/>
        <v>1.0006243326618289</v>
      </c>
      <c r="AL242" s="31">
        <f t="shared" si="178"/>
        <v>3.5327270167109272E-2</v>
      </c>
      <c r="AM242" s="31" t="str">
        <f t="shared" si="163"/>
        <v>1+35.3773158141684i</v>
      </c>
      <c r="AN242" s="31">
        <f t="shared" si="179"/>
        <v>35.391446342519117</v>
      </c>
      <c r="AO242" s="31">
        <f t="shared" si="180"/>
        <v>1.5425371508471375</v>
      </c>
      <c r="AP242" s="58" t="str">
        <f t="shared" si="181"/>
        <v>-0.00430599451826366+0.000274172502770186i</v>
      </c>
      <c r="AQ242" s="49">
        <f t="shared" si="182"/>
        <v>-47.300959150718462</v>
      </c>
      <c r="AR242" s="61">
        <f t="shared" si="183"/>
        <v>176.35676500338201</v>
      </c>
      <c r="AS242" s="58" t="str">
        <f t="shared" si="184"/>
        <v>0.231292726294259+0.18223012539185i</v>
      </c>
      <c r="AT242" s="64">
        <f t="shared" si="185"/>
        <v>-10.61960145862659</v>
      </c>
      <c r="AU242" s="61">
        <f t="shared" si="186"/>
        <v>38.233747618095727</v>
      </c>
    </row>
    <row r="243" spans="14:47" x14ac:dyDescent="0.3">
      <c r="N243" s="10">
        <v>25</v>
      </c>
      <c r="O243" s="50">
        <f t="shared" si="187"/>
        <v>1778.2794100389244</v>
      </c>
      <c r="P243" s="48" t="str">
        <f t="shared" si="155"/>
        <v>51201.9230769231</v>
      </c>
      <c r="Q243" s="17" t="str">
        <f t="shared" si="156"/>
        <v>1+522.134990745314i</v>
      </c>
      <c r="R243" s="17">
        <f t="shared" si="164"/>
        <v>522.13594835120205</v>
      </c>
      <c r="S243" s="17">
        <f t="shared" si="165"/>
        <v>1.5688811156042153</v>
      </c>
      <c r="T243" s="17" t="str">
        <f t="shared" si="157"/>
        <v>1+3.35197771836498E-08i</v>
      </c>
      <c r="U243" s="17">
        <f t="shared" si="166"/>
        <v>1.0000000000000004</v>
      </c>
      <c r="V243" s="17">
        <f t="shared" si="167"/>
        <v>3.3519777183649789E-8</v>
      </c>
      <c r="W243" s="31" t="str">
        <f t="shared" si="158"/>
        <v>1-0.0181006796791709i</v>
      </c>
      <c r="X243" s="17">
        <f t="shared" si="168"/>
        <v>1.0001638038865674</v>
      </c>
      <c r="Y243" s="17">
        <f t="shared" si="169"/>
        <v>-1.8098703264670037E-2</v>
      </c>
      <c r="Z243" s="31" t="str">
        <f t="shared" si="159"/>
        <v>0.998735088935933+1.10456873413241i</v>
      </c>
      <c r="AA243" s="17">
        <f t="shared" si="170"/>
        <v>1.4891419899709835</v>
      </c>
      <c r="AB243" s="17">
        <f t="shared" si="171"/>
        <v>0.83567357298903944</v>
      </c>
      <c r="AC243" s="66" t="str">
        <f t="shared" si="172"/>
        <v>-49.5617838136643-43.3761259417673i</v>
      </c>
      <c r="AD243" s="64">
        <f t="shared" si="173"/>
        <v>36.372754029939941</v>
      </c>
      <c r="AE243" s="61">
        <f t="shared" si="174"/>
        <v>-138.80781265597093</v>
      </c>
      <c r="AF243" s="31" t="str">
        <f t="shared" si="160"/>
        <v>-1.33333333333333E-06</v>
      </c>
      <c r="AG243" s="31" t="str">
        <f t="shared" si="161"/>
        <v>0.0111844323202778i</v>
      </c>
      <c r="AH243" s="31">
        <f t="shared" si="175"/>
        <v>1.11844323202778E-2</v>
      </c>
      <c r="AI243" s="31">
        <f t="shared" si="176"/>
        <v>1.5707963267948966</v>
      </c>
      <c r="AJ243" s="31" t="str">
        <f t="shared" si="162"/>
        <v>1+0.0361651941641776i</v>
      </c>
      <c r="AK243" s="31">
        <f t="shared" si="177"/>
        <v>1.0006537469419343</v>
      </c>
      <c r="AL243" s="31">
        <f t="shared" si="178"/>
        <v>3.6149439450338494E-2</v>
      </c>
      <c r="AM243" s="31" t="str">
        <f t="shared" si="163"/>
        <v>1+36.2013593583418i</v>
      </c>
      <c r="AN243" s="31">
        <f t="shared" si="179"/>
        <v>36.215168360671761</v>
      </c>
      <c r="AO243" s="31">
        <f t="shared" si="180"/>
        <v>1.5431800774131843</v>
      </c>
      <c r="AP243" s="58" t="str">
        <f t="shared" si="181"/>
        <v>-0.00430574137202258+0.000274931294896293i</v>
      </c>
      <c r="AQ243" s="49">
        <f t="shared" si="182"/>
        <v>-47.301370532415362</v>
      </c>
      <c r="AR243" s="61">
        <f t="shared" si="183"/>
        <v>176.34649515217899</v>
      </c>
      <c r="AS243" s="58" t="str">
        <f t="shared" si="184"/>
        <v>0.225325677510488+0.173140294624268i</v>
      </c>
      <c r="AT243" s="64">
        <f t="shared" si="185"/>
        <v>-10.928616502475432</v>
      </c>
      <c r="AU243" s="61">
        <f t="shared" si="186"/>
        <v>37.538682496208004</v>
      </c>
    </row>
    <row r="244" spans="14:47" x14ac:dyDescent="0.3">
      <c r="N244" s="10">
        <v>26</v>
      </c>
      <c r="O244" s="50">
        <f t="shared" si="187"/>
        <v>1819.7008586099832</v>
      </c>
      <c r="P244" s="48" t="str">
        <f t="shared" si="155"/>
        <v>51201.9230769231</v>
      </c>
      <c r="Q244" s="17" t="str">
        <f t="shared" si="156"/>
        <v>1+534.297077054253i</v>
      </c>
      <c r="R244" s="17">
        <f t="shared" si="164"/>
        <v>534.29801286240843</v>
      </c>
      <c r="S244" s="17">
        <f t="shared" si="165"/>
        <v>1.5689247110303775</v>
      </c>
      <c r="T244" s="17" t="str">
        <f t="shared" si="157"/>
        <v>1+3.43005530948409E-08i</v>
      </c>
      <c r="U244" s="17">
        <f t="shared" si="166"/>
        <v>1.0000000000000004</v>
      </c>
      <c r="V244" s="17">
        <f t="shared" si="167"/>
        <v>3.4300553094840886E-8</v>
      </c>
      <c r="W244" s="31" t="str">
        <f t="shared" si="158"/>
        <v>1-0.0185222986712141i</v>
      </c>
      <c r="X244" s="17">
        <f t="shared" si="168"/>
        <v>1.0001715230639521</v>
      </c>
      <c r="Y244" s="17">
        <f t="shared" si="169"/>
        <v>-1.8520180924535921E-2</v>
      </c>
      <c r="Z244" s="31" t="str">
        <f t="shared" si="159"/>
        <v>0.99867547551407+1.13029744513011i</v>
      </c>
      <c r="AA244" s="17">
        <f t="shared" si="170"/>
        <v>1.5082854570209538</v>
      </c>
      <c r="AB244" s="17">
        <f t="shared" si="171"/>
        <v>0.84714373823417188</v>
      </c>
      <c r="AC244" s="66" t="str">
        <f t="shared" si="172"/>
        <v>-48.3153483846824-41.2773828418074i</v>
      </c>
      <c r="AD244" s="64">
        <f t="shared" si="173"/>
        <v>36.061873107865814</v>
      </c>
      <c r="AE244" s="61">
        <f t="shared" si="174"/>
        <v>-139.49165139509404</v>
      </c>
      <c r="AF244" s="31" t="str">
        <f t="shared" si="160"/>
        <v>-1.33333333333333E-06</v>
      </c>
      <c r="AG244" s="31" t="str">
        <f t="shared" si="161"/>
        <v>0.0114449512159786i</v>
      </c>
      <c r="AH244" s="31">
        <f t="shared" si="175"/>
        <v>1.14449512159786E-2</v>
      </c>
      <c r="AI244" s="31">
        <f t="shared" si="176"/>
        <v>1.5707963267948966</v>
      </c>
      <c r="AJ244" s="31" t="str">
        <f t="shared" si="162"/>
        <v>1+0.0370075897526755i</v>
      </c>
      <c r="AK244" s="31">
        <f t="shared" si="177"/>
        <v>1.0006845465476633</v>
      </c>
      <c r="AL244" s="31">
        <f t="shared" si="178"/>
        <v>3.6990708896294168E-2</v>
      </c>
      <c r="AM244" s="31" t="str">
        <f t="shared" si="163"/>
        <v>1+37.0445973424282i</v>
      </c>
      <c r="AN244" s="31">
        <f t="shared" si="179"/>
        <v>37.058092129285853</v>
      </c>
      <c r="AO244" s="31">
        <f t="shared" si="180"/>
        <v>1.5438083912511318</v>
      </c>
      <c r="AP244" s="58" t="str">
        <f t="shared" si="181"/>
        <v>-0.00430547632726648+0.00027583499725433i</v>
      </c>
      <c r="AQ244" s="49">
        <f t="shared" si="182"/>
        <v>-47.301786912742266</v>
      </c>
      <c r="AR244" s="61">
        <f t="shared" si="183"/>
        <v>176.33429369461649</v>
      </c>
      <c r="AS244" s="58" t="str">
        <f t="shared" si="184"/>
        <v>0.219406335496719+0.164391730687887i</v>
      </c>
      <c r="AT244" s="64">
        <f t="shared" si="185"/>
        <v>-11.239913804876437</v>
      </c>
      <c r="AU244" s="61">
        <f t="shared" si="186"/>
        <v>36.84264229952251</v>
      </c>
    </row>
    <row r="245" spans="14:47" x14ac:dyDescent="0.3">
      <c r="N245" s="10">
        <v>27</v>
      </c>
      <c r="O245" s="50">
        <f t="shared" si="187"/>
        <v>1862.0871366628687</v>
      </c>
      <c r="P245" s="48" t="str">
        <f t="shared" si="155"/>
        <v>51201.9230769231</v>
      </c>
      <c r="Q245" s="17" t="str">
        <f t="shared" si="156"/>
        <v>1+546.742454745707i</v>
      </c>
      <c r="R245" s="17">
        <f t="shared" si="164"/>
        <v>546.74336925230432</v>
      </c>
      <c r="S245" s="17">
        <f t="shared" si="165"/>
        <v>1.5689673141103611</v>
      </c>
      <c r="T245" s="17" t="str">
        <f t="shared" si="157"/>
        <v>1+3.50995156133046E-08i</v>
      </c>
      <c r="U245" s="17">
        <f t="shared" si="166"/>
        <v>1.0000000000000007</v>
      </c>
      <c r="V245" s="17">
        <f t="shared" si="167"/>
        <v>3.5099515613304586E-8</v>
      </c>
      <c r="W245" s="31" t="str">
        <f t="shared" si="158"/>
        <v>1-0.0189537384311845i</v>
      </c>
      <c r="X245" s="17">
        <f t="shared" si="168"/>
        <v>1.0001796059711066</v>
      </c>
      <c r="Y245" s="17">
        <f t="shared" si="169"/>
        <v>-1.8951469246742722E-2</v>
      </c>
      <c r="Z245" s="31" t="str">
        <f t="shared" si="159"/>
        <v>0.99861305259819+1.15662545479448i</v>
      </c>
      <c r="AA245" s="17">
        <f t="shared" si="170"/>
        <v>1.5280741053685889</v>
      </c>
      <c r="AB245" s="17">
        <f t="shared" si="171"/>
        <v>0.85858273070730384</v>
      </c>
      <c r="AC245" s="66" t="str">
        <f t="shared" si="172"/>
        <v>-47.0754950218255-39.2577370489726i</v>
      </c>
      <c r="AD245" s="64">
        <f t="shared" si="173"/>
        <v>35.748726533696747</v>
      </c>
      <c r="AE245" s="61">
        <f t="shared" si="174"/>
        <v>-140.1742093172023</v>
      </c>
      <c r="AF245" s="31" t="str">
        <f t="shared" si="160"/>
        <v>-1.33333333333333E-06</v>
      </c>
      <c r="AG245" s="31" t="str">
        <f t="shared" si="161"/>
        <v>0.011711538376306i</v>
      </c>
      <c r="AH245" s="31">
        <f t="shared" si="175"/>
        <v>1.1711538376306001E-2</v>
      </c>
      <c r="AI245" s="31">
        <f t="shared" si="176"/>
        <v>1.5707963267948966</v>
      </c>
      <c r="AJ245" s="31" t="str">
        <f t="shared" si="162"/>
        <v>1+0.0378696072551138i</v>
      </c>
      <c r="AK245" s="31">
        <f t="shared" si="177"/>
        <v>1.0007167966780894</v>
      </c>
      <c r="AL245" s="31">
        <f t="shared" si="178"/>
        <v>3.7851519791291338E-2</v>
      </c>
      <c r="AM245" s="31" t="str">
        <f t="shared" si="163"/>
        <v>1+37.907476862369i</v>
      </c>
      <c r="AN245" s="31">
        <f t="shared" si="179"/>
        <v>37.92066457844642</v>
      </c>
      <c r="AO245" s="31">
        <f t="shared" si="180"/>
        <v>1.5444224235158013</v>
      </c>
      <c r="AP245" s="58" t="str">
        <f t="shared" si="181"/>
        <v>-0.00430519882630683+0.00027688402752173i</v>
      </c>
      <c r="AQ245" s="49">
        <f t="shared" si="182"/>
        <v>-47.302209171916601</v>
      </c>
      <c r="AR245" s="61">
        <f t="shared" si="183"/>
        <v>176.32015432062468</v>
      </c>
      <c r="AS245" s="58" t="str">
        <f t="shared" si="184"/>
        <v>0.213539206261285+0.155977910807477i</v>
      </c>
      <c r="AT245" s="64">
        <f t="shared" si="185"/>
        <v>-11.553482638219849</v>
      </c>
      <c r="AU245" s="61">
        <f t="shared" si="186"/>
        <v>36.145945003422391</v>
      </c>
    </row>
    <row r="246" spans="14:47" x14ac:dyDescent="0.3">
      <c r="N246" s="10">
        <v>28</v>
      </c>
      <c r="O246" s="50">
        <f t="shared" si="187"/>
        <v>1905.4607179632501</v>
      </c>
      <c r="P246" s="48" t="str">
        <f t="shared" si="155"/>
        <v>51201.9230769231</v>
      </c>
      <c r="Q246" s="17" t="str">
        <f t="shared" si="156"/>
        <v>1+559.477722523663i</v>
      </c>
      <c r="R246" s="17">
        <f t="shared" si="164"/>
        <v>559.4786162135822</v>
      </c>
      <c r="S246" s="17">
        <f t="shared" si="165"/>
        <v>1.5690089474322642</v>
      </c>
      <c r="T246" s="17" t="str">
        <f t="shared" si="157"/>
        <v>1+3.59170883595438E-08i</v>
      </c>
      <c r="U246" s="17">
        <f t="shared" si="166"/>
        <v>1.0000000000000007</v>
      </c>
      <c r="V246" s="17">
        <f t="shared" si="167"/>
        <v>3.5917088359543786E-8</v>
      </c>
      <c r="W246" s="31" t="str">
        <f t="shared" si="158"/>
        <v>1-0.0193952277141537i</v>
      </c>
      <c r="X246" s="17">
        <f t="shared" si="168"/>
        <v>1.0001880697439276</v>
      </c>
      <c r="Y246" s="17">
        <f t="shared" si="169"/>
        <v>-1.9392796263909422E-2</v>
      </c>
      <c r="Z246" s="31" t="str">
        <f t="shared" si="159"/>
        <v>0.99854768778092+1.18356672258474i</v>
      </c>
      <c r="AA246" s="17">
        <f t="shared" si="170"/>
        <v>1.5485243529188053</v>
      </c>
      <c r="AB246" s="17">
        <f t="shared" si="171"/>
        <v>0.86998472764193824</v>
      </c>
      <c r="AC246" s="66" t="str">
        <f t="shared" si="172"/>
        <v>-45.8434942618748-37.3155980130153i</v>
      </c>
      <c r="AD246" s="64">
        <f t="shared" si="173"/>
        <v>35.433328220876639</v>
      </c>
      <c r="AE246" s="61">
        <f t="shared" si="174"/>
        <v>-140.85516716183531</v>
      </c>
      <c r="AF246" s="31" t="str">
        <f t="shared" si="160"/>
        <v>-1.33333333333333E-06</v>
      </c>
      <c r="AG246" s="31" t="str">
        <f t="shared" si="161"/>
        <v>0.0119843351493011i</v>
      </c>
      <c r="AH246" s="31">
        <f t="shared" si="175"/>
        <v>1.19843351493011E-2</v>
      </c>
      <c r="AI246" s="31">
        <f t="shared" si="176"/>
        <v>1.5707963267948966</v>
      </c>
      <c r="AJ246" s="31" t="str">
        <f t="shared" si="162"/>
        <v>1+0.0387517037245827i</v>
      </c>
      <c r="AK246" s="31">
        <f t="shared" si="177"/>
        <v>1.0007505655964217</v>
      </c>
      <c r="AL246" s="31">
        <f t="shared" si="178"/>
        <v>3.8732323442892978E-2</v>
      </c>
      <c r="AM246" s="31" t="str">
        <f t="shared" si="163"/>
        <v>1+38.7904554283073i</v>
      </c>
      <c r="AN246" s="31">
        <f t="shared" si="179"/>
        <v>38.80334305617874</v>
      </c>
      <c r="AO246" s="31">
        <f t="shared" si="180"/>
        <v>1.5450224979220699</v>
      </c>
      <c r="AP246" s="58" t="str">
        <f t="shared" si="181"/>
        <v>-0.00430490828546738+0.000278078876054657i</v>
      </c>
      <c r="AQ246" s="49">
        <f t="shared" si="182"/>
        <v>-47.302638202468835</v>
      </c>
      <c r="AR246" s="61">
        <f t="shared" si="183"/>
        <v>176.30406971968125</v>
      </c>
      <c r="AS246" s="58" t="str">
        <f t="shared" si="184"/>
        <v>0.207728717837488+0.147892119704639i</v>
      </c>
      <c r="AT246" s="64">
        <f t="shared" si="185"/>
        <v>-11.869309981592197</v>
      </c>
      <c r="AU246" s="61">
        <f t="shared" si="186"/>
        <v>35.448902557845827</v>
      </c>
    </row>
    <row r="247" spans="14:47" x14ac:dyDescent="0.3">
      <c r="N247" s="10">
        <v>29</v>
      </c>
      <c r="O247" s="50">
        <f t="shared" si="187"/>
        <v>1949.8445997580463</v>
      </c>
      <c r="P247" s="48" t="str">
        <f t="shared" si="155"/>
        <v>51201.9230769231</v>
      </c>
      <c r="Q247" s="17" t="str">
        <f t="shared" si="156"/>
        <v>1+572.509632795657i</v>
      </c>
      <c r="R247" s="17">
        <f t="shared" si="164"/>
        <v>572.51050614274152</v>
      </c>
      <c r="S247" s="17">
        <f t="shared" si="165"/>
        <v>1.569049633070047</v>
      </c>
      <c r="T247" s="17" t="str">
        <f t="shared" si="157"/>
        <v>1+3.67537048214496E-08i</v>
      </c>
      <c r="U247" s="17">
        <f t="shared" si="166"/>
        <v>1.0000000000000007</v>
      </c>
      <c r="V247" s="17">
        <f t="shared" si="167"/>
        <v>3.6753704821449579E-8</v>
      </c>
      <c r="W247" s="31" t="str">
        <f t="shared" si="158"/>
        <v>1-0.0198470006035828i</v>
      </c>
      <c r="X247" s="17">
        <f t="shared" si="168"/>
        <v>1.0001969323253088</v>
      </c>
      <c r="Y247" s="17">
        <f t="shared" si="169"/>
        <v>-1.9844395285410786E-2</v>
      </c>
      <c r="Z247" s="31" t="str">
        <f t="shared" si="159"/>
        <v>0.998479242414718+1.21113553311766i</v>
      </c>
      <c r="AA247" s="17">
        <f t="shared" si="170"/>
        <v>1.5696528524209639</v>
      </c>
      <c r="AB247" s="17">
        <f t="shared" si="171"/>
        <v>0.88134400382525735</v>
      </c>
      <c r="AC247" s="66" t="str">
        <f t="shared" si="172"/>
        <v>-44.6205821311319-35.4493335836139i</v>
      </c>
      <c r="AD247" s="64">
        <f t="shared" si="173"/>
        <v>35.115694332005667</v>
      </c>
      <c r="AE247" s="61">
        <f t="shared" si="174"/>
        <v>-141.53421153082442</v>
      </c>
      <c r="AF247" s="31" t="str">
        <f t="shared" si="160"/>
        <v>-1.33333333333333E-06</v>
      </c>
      <c r="AG247" s="31" t="str">
        <f t="shared" si="161"/>
        <v>0.0122634861754237i</v>
      </c>
      <c r="AH247" s="31">
        <f t="shared" si="175"/>
        <v>1.22634861754237E-2</v>
      </c>
      <c r="AI247" s="31">
        <f t="shared" si="176"/>
        <v>1.5707963267948966</v>
      </c>
      <c r="AJ247" s="31" t="str">
        <f t="shared" si="162"/>
        <v>1+0.0396543468603052i</v>
      </c>
      <c r="AK247" s="31">
        <f t="shared" si="177"/>
        <v>1.0007859247735837</v>
      </c>
      <c r="AL247" s="31">
        <f t="shared" si="178"/>
        <v>3.9633581395007549E-2</v>
      </c>
      <c r="AM247" s="31" t="str">
        <f t="shared" si="163"/>
        <v>1+39.6940012071656i</v>
      </c>
      <c r="AN247" s="31">
        <f t="shared" si="179"/>
        <v>39.706595570943428</v>
      </c>
      <c r="AO247" s="31">
        <f t="shared" si="180"/>
        <v>1.5456089309076977</v>
      </c>
      <c r="AP247" s="58" t="str">
        <f t="shared" si="181"/>
        <v>-0.00430460409388768+0.000279420105837545i</v>
      </c>
      <c r="AQ247" s="49">
        <f t="shared" si="182"/>
        <v>-47.303074911109221</v>
      </c>
      <c r="AR247" s="61">
        <f t="shared" si="183"/>
        <v>176.28603157781617</v>
      </c>
      <c r="AS247" s="58" t="str">
        <f t="shared" si="184"/>
        <v>0.201979197055126+0.140127458688001i</v>
      </c>
      <c r="AT247" s="64">
        <f t="shared" si="185"/>
        <v>-12.187380579103539</v>
      </c>
      <c r="AU247" s="61">
        <f t="shared" si="186"/>
        <v>34.751820046991789</v>
      </c>
    </row>
    <row r="248" spans="14:47" x14ac:dyDescent="0.3">
      <c r="N248" s="10">
        <v>30</v>
      </c>
      <c r="O248" s="50">
        <f t="shared" si="187"/>
        <v>1995.2623149688804</v>
      </c>
      <c r="P248" s="48" t="str">
        <f t="shared" si="155"/>
        <v>51201.9230769231</v>
      </c>
      <c r="Q248" s="17" t="str">
        <f t="shared" si="156"/>
        <v>1+585.845095253025i</v>
      </c>
      <c r="R248" s="17">
        <f t="shared" si="164"/>
        <v>585.84594872033199</v>
      </c>
      <c r="S248" s="17">
        <f t="shared" si="165"/>
        <v>1.5690893925952345</v>
      </c>
      <c r="T248" s="17" t="str">
        <f t="shared" si="157"/>
        <v>1+3.76098085841448E-08i</v>
      </c>
      <c r="U248" s="17">
        <f t="shared" si="166"/>
        <v>1.0000000000000007</v>
      </c>
      <c r="V248" s="17">
        <f t="shared" si="167"/>
        <v>3.760980858414478E-8</v>
      </c>
      <c r="W248" s="31" t="str">
        <f t="shared" si="158"/>
        <v>1-0.0203092966354382i</v>
      </c>
      <c r="X248" s="17">
        <f t="shared" si="168"/>
        <v>1.0002062125031148</v>
      </c>
      <c r="Y248" s="17">
        <f t="shared" si="169"/>
        <v>-2.0306505017804708E-2</v>
      </c>
      <c r="Z248" s="31" t="str">
        <f t="shared" si="159"/>
        <v>0.998407571317786+1.23934650374152i</v>
      </c>
      <c r="AA248" s="17">
        <f t="shared" si="170"/>
        <v>1.5914764952084619</v>
      </c>
      <c r="AB248" s="17">
        <f t="shared" si="171"/>
        <v>0.89265494547710178</v>
      </c>
      <c r="AC248" s="66" t="str">
        <f t="shared" si="172"/>
        <v>-43.40795558861-33.6572725009138i</v>
      </c>
      <c r="AD248" s="64">
        <f t="shared" si="173"/>
        <v>34.795843213801355</v>
      </c>
      <c r="AE248" s="61">
        <f t="shared" si="174"/>
        <v>-142.21103569106953</v>
      </c>
      <c r="AF248" s="31" t="str">
        <f t="shared" si="160"/>
        <v>-1.33333333333333E-06</v>
      </c>
      <c r="AG248" s="31" t="str">
        <f t="shared" si="161"/>
        <v>0.012549139464243i</v>
      </c>
      <c r="AH248" s="31">
        <f t="shared" si="175"/>
        <v>1.2549139464243001E-2</v>
      </c>
      <c r="AI248" s="31">
        <f t="shared" si="176"/>
        <v>1.5707963267948966</v>
      </c>
      <c r="AJ248" s="31" t="str">
        <f t="shared" si="162"/>
        <v>1+0.0405780152556207i</v>
      </c>
      <c r="AK248" s="31">
        <f t="shared" si="177"/>
        <v>1.0008229490384828</v>
      </c>
      <c r="AL248" s="31">
        <f t="shared" si="178"/>
        <v>4.0555765646702199E-2</v>
      </c>
      <c r="AM248" s="31" t="str">
        <f t="shared" si="163"/>
        <v>1+40.6185932708764i</v>
      </c>
      <c r="AN248" s="31">
        <f t="shared" si="179"/>
        <v>40.630901039786032</v>
      </c>
      <c r="AO248" s="31">
        <f t="shared" si="180"/>
        <v>1.5461820317928805</v>
      </c>
      <c r="AP248" s="58" t="str">
        <f t="shared" si="181"/>
        <v>-0.00430428561227319+0.00028090835244927i</v>
      </c>
      <c r="AQ248" s="49">
        <f t="shared" si="182"/>
        <v>-47.303520220622666</v>
      </c>
      <c r="AR248" s="61">
        <f t="shared" si="183"/>
        <v>176.26603057421684</v>
      </c>
      <c r="AS248" s="58" t="str">
        <f t="shared" si="184"/>
        <v>0.196294847664415+0.132676856486454i</v>
      </c>
      <c r="AT248" s="64">
        <f t="shared" si="185"/>
        <v>-12.507677006821323</v>
      </c>
      <c r="AU248" s="61">
        <f t="shared" si="186"/>
        <v>34.054994883147415</v>
      </c>
    </row>
    <row r="249" spans="14:47" x14ac:dyDescent="0.3">
      <c r="N249" s="10">
        <v>31</v>
      </c>
      <c r="O249" s="50">
        <f t="shared" si="187"/>
        <v>2041.7379446695318</v>
      </c>
      <c r="P249" s="48" t="str">
        <f t="shared" si="155"/>
        <v>51201.9230769231</v>
      </c>
      <c r="Q249" s="17" t="str">
        <f t="shared" si="156"/>
        <v>1+599.491180534469i</v>
      </c>
      <c r="R249" s="17">
        <f t="shared" si="164"/>
        <v>599.49201457451557</v>
      </c>
      <c r="S249" s="17">
        <f t="shared" si="165"/>
        <v>1.5691282470883501</v>
      </c>
      <c r="T249" s="17" t="str">
        <f t="shared" si="157"/>
        <v>1+3.84858535651758E-08i</v>
      </c>
      <c r="U249" s="17">
        <f t="shared" si="166"/>
        <v>1.0000000000000009</v>
      </c>
      <c r="V249" s="17">
        <f t="shared" si="167"/>
        <v>3.848585356517578E-8</v>
      </c>
      <c r="W249" s="31" t="str">
        <f t="shared" si="158"/>
        <v>1-0.0207823609251949i</v>
      </c>
      <c r="X249" s="17">
        <f t="shared" si="168"/>
        <v>1.0002159299499409</v>
      </c>
      <c r="Y249" s="17">
        <f t="shared" si="169"/>
        <v>-2.0779369687883766E-2</v>
      </c>
      <c r="Z249" s="31" t="str">
        <f t="shared" si="159"/>
        <v>0.998332522466119+1.26821459228634i</v>
      </c>
      <c r="AA249" s="17">
        <f t="shared" si="170"/>
        <v>1.6140124155351383</v>
      </c>
      <c r="AB249" s="17">
        <f t="shared" si="171"/>
        <v>0.9039120634464699</v>
      </c>
      <c r="AC249" s="66" t="str">
        <f t="shared" si="172"/>
        <v>-42.2067682930198-31.9377072536369i</v>
      </c>
      <c r="AD249" s="64">
        <f t="shared" si="173"/>
        <v>34.473795324042726</v>
      </c>
      <c r="AE249" s="61">
        <f t="shared" si="174"/>
        <v>-142.88534033834853</v>
      </c>
      <c r="AF249" s="31" t="str">
        <f t="shared" si="160"/>
        <v>-1.33333333333333E-06</v>
      </c>
      <c r="AG249" s="31" t="str">
        <f t="shared" si="161"/>
        <v>0.0128414464729137i</v>
      </c>
      <c r="AH249" s="31">
        <f t="shared" si="175"/>
        <v>1.2841446472913701E-2</v>
      </c>
      <c r="AI249" s="31">
        <f t="shared" si="176"/>
        <v>1.5707963267948966</v>
      </c>
      <c r="AJ249" s="31" t="str">
        <f t="shared" si="162"/>
        <v>1+0.0415231986517381i</v>
      </c>
      <c r="AK249" s="31">
        <f t="shared" si="177"/>
        <v>1.0008617167352698</v>
      </c>
      <c r="AL249" s="31">
        <f t="shared" si="178"/>
        <v>4.1499358874716077E-2</v>
      </c>
      <c r="AM249" s="31" t="str">
        <f t="shared" si="163"/>
        <v>1+41.5647218503899i</v>
      </c>
      <c r="AN249" s="31">
        <f t="shared" si="179"/>
        <v>41.576749542265567</v>
      </c>
      <c r="AO249" s="31">
        <f t="shared" si="180"/>
        <v>1.5467421029365755</v>
      </c>
      <c r="AP249" s="58" t="str">
        <f t="shared" si="181"/>
        <v>-0.00430395217158908+0.000282544324044371i</v>
      </c>
      <c r="AQ249" s="49">
        <f t="shared" si="182"/>
        <v>-47.303975071796543</v>
      </c>
      <c r="AR249" s="61">
        <f t="shared" si="183"/>
        <v>176.24405637743533</v>
      </c>
      <c r="AS249" s="58" t="str">
        <f t="shared" si="184"/>
        <v>0.190679729958006+0.125533081672418i</v>
      </c>
      <c r="AT249" s="64">
        <f t="shared" si="185"/>
        <v>-12.830179747753805</v>
      </c>
      <c r="AU249" s="61">
        <f t="shared" si="186"/>
        <v>33.358716039086673</v>
      </c>
    </row>
    <row r="250" spans="14:47" x14ac:dyDescent="0.3">
      <c r="N250" s="10">
        <v>32</v>
      </c>
      <c r="O250" s="50">
        <f t="shared" si="187"/>
        <v>2089.2961308540398</v>
      </c>
      <c r="P250" s="48" t="str">
        <f t="shared" si="155"/>
        <v>51201.9230769231</v>
      </c>
      <c r="Q250" s="17" t="str">
        <f t="shared" si="156"/>
        <v>1+613.455123975043i</v>
      </c>
      <c r="R250" s="17">
        <f t="shared" si="164"/>
        <v>613.4559390300459</v>
      </c>
      <c r="S250" s="17">
        <f t="shared" si="165"/>
        <v>1.5691662171500906</v>
      </c>
      <c r="T250" s="17" t="str">
        <f t="shared" si="157"/>
        <v>1+3.93823042551879E-08i</v>
      </c>
      <c r="U250" s="17">
        <f t="shared" si="166"/>
        <v>1.0000000000000009</v>
      </c>
      <c r="V250" s="17">
        <f t="shared" si="167"/>
        <v>3.9382304255187878E-8</v>
      </c>
      <c r="W250" s="31" t="str">
        <f t="shared" si="158"/>
        <v>1-0.0212664442978015i</v>
      </c>
      <c r="X250" s="17">
        <f t="shared" si="168"/>
        <v>1.0002261052647403</v>
      </c>
      <c r="Y250" s="17">
        <f t="shared" si="169"/>
        <v>-2.1263239168406469E-2</v>
      </c>
      <c r="Z250" s="31" t="str">
        <f t="shared" si="159"/>
        <v>0.998253936671039+1.29775510499482i</v>
      </c>
      <c r="AA250" s="17">
        <f t="shared" si="170"/>
        <v>1.637277995521635</v>
      </c>
      <c r="AB250" s="17">
        <f t="shared" si="171"/>
        <v>0.91511000565575362</v>
      </c>
      <c r="AC250" s="66" t="str">
        <f t="shared" si="172"/>
        <v>-41.0181267236183-30.288897266097i</v>
      </c>
      <c r="AD250" s="64">
        <f t="shared" si="173"/>
        <v>34.149573151112875</v>
      </c>
      <c r="AE250" s="61">
        <f t="shared" si="174"/>
        <v>-143.55683431816368</v>
      </c>
      <c r="AF250" s="31" t="str">
        <f t="shared" si="160"/>
        <v>-1.33333333333333E-06</v>
      </c>
      <c r="AG250" s="31" t="str">
        <f t="shared" si="161"/>
        <v>0.013140562186481i</v>
      </c>
      <c r="AH250" s="31">
        <f t="shared" si="175"/>
        <v>1.3140562186481001E-2</v>
      </c>
      <c r="AI250" s="31">
        <f t="shared" si="176"/>
        <v>1.5707963267948966</v>
      </c>
      <c r="AJ250" s="31" t="str">
        <f t="shared" si="162"/>
        <v>1+0.0424903981974055i</v>
      </c>
      <c r="AK250" s="31">
        <f t="shared" si="177"/>
        <v>1.0009023098879202</v>
      </c>
      <c r="AL250" s="31">
        <f t="shared" si="178"/>
        <v>4.2464854659674658E-2</v>
      </c>
      <c r="AM250" s="31" t="str">
        <f t="shared" si="163"/>
        <v>1+42.5328885956029i</v>
      </c>
      <c r="AN250" s="31">
        <f t="shared" si="179"/>
        <v>42.544642580305776</v>
      </c>
      <c r="AO250" s="31">
        <f t="shared" si="180"/>
        <v>1.5472894398896482</v>
      </c>
      <c r="AP250" s="58" t="str">
        <f t="shared" si="181"/>
        <v>-0.00430360307169606+0.000284328801347699i</v>
      </c>
      <c r="AQ250" s="49">
        <f t="shared" si="182"/>
        <v>-47.304440425384094</v>
      </c>
      <c r="AR250" s="61">
        <f t="shared" si="183"/>
        <v>176.22009764120213</v>
      </c>
      <c r="AS250" s="58" t="str">
        <f t="shared" si="184"/>
        <v>0.185137742016795+0.118688756507807i</v>
      </c>
      <c r="AT250" s="64">
        <f t="shared" si="185"/>
        <v>-13.154867274271215</v>
      </c>
      <c r="AU250" s="61">
        <f t="shared" si="186"/>
        <v>32.663263323038407</v>
      </c>
    </row>
    <row r="251" spans="14:47" x14ac:dyDescent="0.3">
      <c r="N251" s="10">
        <v>33</v>
      </c>
      <c r="O251" s="50">
        <f t="shared" si="187"/>
        <v>2137.9620895022344</v>
      </c>
      <c r="P251" s="48" t="str">
        <f t="shared" si="155"/>
        <v>51201.9230769231</v>
      </c>
      <c r="Q251" s="17" t="str">
        <f t="shared" si="156"/>
        <v>1+627.744329442381i</v>
      </c>
      <c r="R251" s="17">
        <f t="shared" si="164"/>
        <v>627.74512594449072</v>
      </c>
      <c r="S251" s="17">
        <f t="shared" si="165"/>
        <v>1.5692033229122475</v>
      </c>
      <c r="T251" s="17" t="str">
        <f t="shared" si="157"/>
        <v>1+4.02996359642022E-08i</v>
      </c>
      <c r="U251" s="17">
        <f t="shared" si="166"/>
        <v>1.0000000000000009</v>
      </c>
      <c r="V251" s="17">
        <f t="shared" si="167"/>
        <v>4.0299635964202177E-8</v>
      </c>
      <c r="W251" s="31" t="str">
        <f t="shared" si="158"/>
        <v>1-0.0217618034206692i</v>
      </c>
      <c r="X251" s="17">
        <f t="shared" si="168"/>
        <v>1.0002367600164073</v>
      </c>
      <c r="Y251" s="17">
        <f t="shared" si="169"/>
        <v>-2.1758369106550362E-2</v>
      </c>
      <c r="Z251" s="31" t="str">
        <f t="shared" si="159"/>
        <v>0.998171647241541+1.32798370463777i</v>
      </c>
      <c r="AA251" s="17">
        <f t="shared" si="170"/>
        <v>1.661290870720822</v>
      </c>
      <c r="AB251" s="17">
        <f t="shared" si="171"/>
        <v>0.92624356873091551</v>
      </c>
      <c r="AC251" s="66" t="str">
        <f t="shared" si="172"/>
        <v>-39.8430866800433-28.7090723728825i</v>
      </c>
      <c r="AD251" s="64">
        <f t="shared" si="173"/>
        <v>33.823201126812144</v>
      </c>
      <c r="AE251" s="61">
        <f t="shared" si="174"/>
        <v>-144.22523530008738</v>
      </c>
      <c r="AF251" s="31" t="str">
        <f t="shared" si="160"/>
        <v>-1.33333333333333E-06</v>
      </c>
      <c r="AG251" s="31" t="str">
        <f t="shared" si="161"/>
        <v>0.0134466452000555i</v>
      </c>
      <c r="AH251" s="31">
        <f t="shared" si="175"/>
        <v>1.34466452000555E-2</v>
      </c>
      <c r="AI251" s="31">
        <f t="shared" si="176"/>
        <v>1.5707963267948966</v>
      </c>
      <c r="AJ251" s="31" t="str">
        <f t="shared" si="162"/>
        <v>1+0.0434801267146237i</v>
      </c>
      <c r="AK251" s="31">
        <f t="shared" si="177"/>
        <v>1.0009448143724606</v>
      </c>
      <c r="AL251" s="31">
        <f t="shared" si="178"/>
        <v>4.3452757715976155E-2</v>
      </c>
      <c r="AM251" s="31" t="str">
        <f t="shared" si="163"/>
        <v>1+43.5236068413384i</v>
      </c>
      <c r="AN251" s="31">
        <f t="shared" si="179"/>
        <v>43.535093344098833</v>
      </c>
      <c r="AO251" s="31">
        <f t="shared" si="180"/>
        <v>1.5478243315448841</v>
      </c>
      <c r="AP251" s="58" t="str">
        <f t="shared" si="181"/>
        <v>-0.00430323757992515+0.000286262637660731i</v>
      </c>
      <c r="AQ251" s="49">
        <f t="shared" si="182"/>
        <v>-47.304917264108475</v>
      </c>
      <c r="AR251" s="61">
        <f t="shared" si="183"/>
        <v>176.19414199984976</v>
      </c>
      <c r="AS251" s="58" t="str">
        <f t="shared" si="184"/>
        <v>0.179672602684032+0.112136372034205i</v>
      </c>
      <c r="AT251" s="64">
        <f t="shared" si="185"/>
        <v>-13.481716137296306</v>
      </c>
      <c r="AU251" s="61">
        <f t="shared" si="186"/>
        <v>31.968906699762446</v>
      </c>
    </row>
    <row r="252" spans="14:47" x14ac:dyDescent="0.3">
      <c r="N252" s="10">
        <v>34</v>
      </c>
      <c r="O252" s="50">
        <f t="shared" si="187"/>
        <v>2187.7616239495528</v>
      </c>
      <c r="P252" s="48" t="str">
        <f t="shared" si="155"/>
        <v>51201.9230769231</v>
      </c>
      <c r="Q252" s="17" t="str">
        <f t="shared" si="156"/>
        <v>1+642.36637326237i</v>
      </c>
      <c r="R252" s="17">
        <f t="shared" si="164"/>
        <v>642.36715163390045</v>
      </c>
      <c r="S252" s="17">
        <f t="shared" si="165"/>
        <v>1.5692395840483777</v>
      </c>
      <c r="T252" s="17" t="str">
        <f t="shared" si="157"/>
        <v>1+4.12383350736336E-08i</v>
      </c>
      <c r="U252" s="17">
        <f t="shared" si="166"/>
        <v>1.0000000000000009</v>
      </c>
      <c r="V252" s="17">
        <f t="shared" si="167"/>
        <v>4.1238335073633573E-8</v>
      </c>
      <c r="W252" s="31" t="str">
        <f t="shared" si="158"/>
        <v>1-0.0222687009397621i</v>
      </c>
      <c r="X252" s="17">
        <f t="shared" si="168"/>
        <v>1.0002479167894049</v>
      </c>
      <c r="Y252" s="17">
        <f t="shared" si="169"/>
        <v>-2.2265021055142765E-2</v>
      </c>
      <c r="Z252" s="31" t="str">
        <f t="shared" si="159"/>
        <v>0.998085479630709+1.35891641881886i</v>
      </c>
      <c r="AA252" s="17">
        <f t="shared" si="170"/>
        <v>1.686068936308696</v>
      </c>
      <c r="AB252" s="17">
        <f t="shared" si="171"/>
        <v>0.93730770876495773</v>
      </c>
      <c r="AC252" s="66" t="str">
        <f t="shared" si="172"/>
        <v>-38.6826501810447-27.1964365379976i</v>
      </c>
      <c r="AD252" s="64">
        <f t="shared" si="173"/>
        <v>33.494705533146501</v>
      </c>
      <c r="AE252" s="61">
        <f t="shared" si="174"/>
        <v>-144.89027040259333</v>
      </c>
      <c r="AF252" s="31" t="str">
        <f t="shared" si="160"/>
        <v>-1.33333333333333E-06</v>
      </c>
      <c r="AG252" s="31" t="str">
        <f t="shared" si="161"/>
        <v>0.0137598578029024i</v>
      </c>
      <c r="AH252" s="31">
        <f t="shared" si="175"/>
        <v>1.3759857802902399E-2</v>
      </c>
      <c r="AI252" s="31">
        <f t="shared" si="176"/>
        <v>1.5707963267948966</v>
      </c>
      <c r="AJ252" s="31" t="str">
        <f t="shared" si="162"/>
        <v>1+0.0444929089705537i</v>
      </c>
      <c r="AK252" s="31">
        <f t="shared" si="177"/>
        <v>1.0009893200972038</v>
      </c>
      <c r="AL252" s="31">
        <f t="shared" si="178"/>
        <v>4.4463584125333196E-2</v>
      </c>
      <c r="AM252" s="31" t="str">
        <f t="shared" si="163"/>
        <v>1+44.5374018795243i</v>
      </c>
      <c r="AN252" s="31">
        <f t="shared" si="179"/>
        <v>44.548626984209676</v>
      </c>
      <c r="AO252" s="31">
        <f t="shared" si="180"/>
        <v>1.5483470602839184</v>
      </c>
      <c r="AP252" s="58" t="str">
        <f t="shared" si="181"/>
        <v>-0.0043028549295896+0.000288346758877723i</v>
      </c>
      <c r="AQ252" s="49">
        <f t="shared" si="182"/>
        <v>-47.305406594710064</v>
      </c>
      <c r="AR252" s="61">
        <f t="shared" si="183"/>
        <v>176.16617606335009</v>
      </c>
      <c r="AS252" s="58" t="str">
        <f t="shared" si="184"/>
        <v>0.174287836349854+0.105868304220289i</v>
      </c>
      <c r="AT252" s="64">
        <f t="shared" si="185"/>
        <v>-13.810701061563528</v>
      </c>
      <c r="AU252" s="61">
        <f t="shared" si="186"/>
        <v>31.275905660756774</v>
      </c>
    </row>
    <row r="253" spans="14:47" x14ac:dyDescent="0.3">
      <c r="N253" s="10">
        <v>35</v>
      </c>
      <c r="O253" s="50">
        <f t="shared" si="187"/>
        <v>2238.7211385683418</v>
      </c>
      <c r="P253" s="48" t="str">
        <f t="shared" si="155"/>
        <v>51201.9230769231</v>
      </c>
      <c r="Q253" s="17" t="str">
        <f t="shared" si="156"/>
        <v>1+657.329008236188i</v>
      </c>
      <c r="R253" s="17">
        <f t="shared" si="164"/>
        <v>657.32976888984001</v>
      </c>
      <c r="S253" s="17">
        <f t="shared" si="165"/>
        <v>1.5692750197842342</v>
      </c>
      <c r="T253" s="17" t="str">
        <f t="shared" si="157"/>
        <v>1+4.2198899294175E-08i</v>
      </c>
      <c r="U253" s="17">
        <f t="shared" si="166"/>
        <v>1.0000000000000009</v>
      </c>
      <c r="V253" s="17">
        <f t="shared" si="167"/>
        <v>4.2198899294174976E-8</v>
      </c>
      <c r="W253" s="31" t="str">
        <f t="shared" si="158"/>
        <v>1-0.0227874056188545i</v>
      </c>
      <c r="X253" s="17">
        <f t="shared" si="168"/>
        <v>1.0002595992315386</v>
      </c>
      <c r="Y253" s="17">
        <f t="shared" si="169"/>
        <v>-2.2783462606711817E-2</v>
      </c>
      <c r="Z253" s="31" t="str">
        <f t="shared" si="159"/>
        <v>0.997995251065491+1.3905696484726i</v>
      </c>
      <c r="AA253" s="17">
        <f t="shared" si="170"/>
        <v>1.7116303539031092</v>
      </c>
      <c r="AB253" s="17">
        <f t="shared" si="171"/>
        <v>0.94829755117070336</v>
      </c>
      <c r="AC253" s="66" t="str">
        <f t="shared" si="172"/>
        <v>-37.5377627767679-25.7491717740891i</v>
      </c>
      <c r="AD253" s="64">
        <f t="shared" si="173"/>
        <v>33.164114403836152</v>
      </c>
      <c r="AE253" s="61">
        <f t="shared" si="174"/>
        <v>-145.55167676585774</v>
      </c>
      <c r="AF253" s="31" t="str">
        <f t="shared" si="160"/>
        <v>-1.33333333333333E-06</v>
      </c>
      <c r="AG253" s="31" t="str">
        <f t="shared" si="161"/>
        <v>0.0140803660644897i</v>
      </c>
      <c r="AH253" s="31">
        <f t="shared" si="175"/>
        <v>1.40803660644897E-2</v>
      </c>
      <c r="AI253" s="31">
        <f t="shared" si="176"/>
        <v>1.5707963267948966</v>
      </c>
      <c r="AJ253" s="31" t="str">
        <f t="shared" si="162"/>
        <v>1+0.0455292819557532i</v>
      </c>
      <c r="AK253" s="31">
        <f t="shared" si="177"/>
        <v>1.001035921191346</v>
      </c>
      <c r="AL253" s="31">
        <f t="shared" si="178"/>
        <v>4.5497861573926039E-2</v>
      </c>
      <c r="AM253" s="31" t="str">
        <f t="shared" si="163"/>
        <v>1+45.574811237709i</v>
      </c>
      <c r="AN253" s="31">
        <f t="shared" si="179"/>
        <v>45.585780890018839</v>
      </c>
      <c r="AO253" s="31">
        <f t="shared" si="180"/>
        <v>1.5488579021211275</v>
      </c>
      <c r="AP253" s="58" t="str">
        <f t="shared" si="181"/>
        <v>-0.00430245431843056+0.000290582163509655i</v>
      </c>
      <c r="AQ253" s="49">
        <f t="shared" si="182"/>
        <v>-47.305909450042556</v>
      </c>
      <c r="AR253" s="61">
        <f t="shared" si="183"/>
        <v>176.13618541197096</v>
      </c>
      <c r="AS253" s="58" t="str">
        <f t="shared" si="184"/>
        <v>0.168986759605824+0.0998768309744545i</v>
      </c>
      <c r="AT253" s="64">
        <f t="shared" si="185"/>
        <v>-14.141795046206383</v>
      </c>
      <c r="AU253" s="61">
        <f t="shared" si="186"/>
        <v>30.584508646113132</v>
      </c>
    </row>
    <row r="254" spans="14:47" x14ac:dyDescent="0.3">
      <c r="N254" s="10">
        <v>36</v>
      </c>
      <c r="O254" s="50">
        <f t="shared" si="187"/>
        <v>2290.8676527677749</v>
      </c>
      <c r="P254" s="48" t="str">
        <f t="shared" si="155"/>
        <v>51201.9230769231</v>
      </c>
      <c r="Q254" s="17" t="str">
        <f t="shared" si="156"/>
        <v>1+672.640167750949i</v>
      </c>
      <c r="R254" s="17">
        <f t="shared" si="164"/>
        <v>672.64091109002925</v>
      </c>
      <c r="S254" s="17">
        <f t="shared" si="165"/>
        <v>1.5693096489079568</v>
      </c>
      <c r="T254" s="17" t="str">
        <f t="shared" si="157"/>
        <v>1+4.31818379296905E-08i</v>
      </c>
      <c r="U254" s="17">
        <f t="shared" si="166"/>
        <v>1.0000000000000009</v>
      </c>
      <c r="V254" s="17">
        <f t="shared" si="167"/>
        <v>4.3181837929690472E-8</v>
      </c>
      <c r="W254" s="31" t="str">
        <f t="shared" si="158"/>
        <v>1-0.0233181924820329i</v>
      </c>
      <c r="X254" s="17">
        <f t="shared" si="168"/>
        <v>1.0002718321039683</v>
      </c>
      <c r="Y254" s="17">
        <f t="shared" si="169"/>
        <v>-2.331396753041081E-2</v>
      </c>
      <c r="Z254" s="31" t="str">
        <f t="shared" si="159"/>
        <v>0.997900770159001+1.42296017656033i</v>
      </c>
      <c r="AA254" s="17">
        <f t="shared" si="170"/>
        <v>1.7379935590100823</v>
      </c>
      <c r="AB254" s="17">
        <f t="shared" si="171"/>
        <v>0.95920839958851467</v>
      </c>
      <c r="AC254" s="66" t="str">
        <f t="shared" si="172"/>
        <v>-36.4093112839246-24.3654422168277i</v>
      </c>
      <c r="AD254" s="64">
        <f t="shared" si="173"/>
        <v>32.831457421303554</v>
      </c>
      <c r="AE254" s="61">
        <f t="shared" si="174"/>
        <v>-146.20920207056355</v>
      </c>
      <c r="AF254" s="31" t="str">
        <f t="shared" si="160"/>
        <v>-1.33333333333333E-06</v>
      </c>
      <c r="AG254" s="31" t="str">
        <f t="shared" si="161"/>
        <v>0.01440833992254i</v>
      </c>
      <c r="AH254" s="31">
        <f t="shared" si="175"/>
        <v>1.440833992254E-2</v>
      </c>
      <c r="AI254" s="31">
        <f t="shared" si="176"/>
        <v>1.5707963267948966</v>
      </c>
      <c r="AJ254" s="31" t="str">
        <f t="shared" si="162"/>
        <v>1+0.0465897951688968i</v>
      </c>
      <c r="AK254" s="31">
        <f t="shared" si="177"/>
        <v>1.0010847162023202</v>
      </c>
      <c r="AL254" s="31">
        <f t="shared" si="178"/>
        <v>4.6556129593130796E-2</v>
      </c>
      <c r="AM254" s="31" t="str">
        <f t="shared" si="163"/>
        <v>1+46.6363849640657i</v>
      </c>
      <c r="AN254" s="31">
        <f t="shared" si="179"/>
        <v>46.647104974655534</v>
      </c>
      <c r="AO254" s="31">
        <f t="shared" si="180"/>
        <v>1.5493571268445323</v>
      </c>
      <c r="AP254" s="58" t="str">
        <f t="shared" si="181"/>
        <v>-0.00430203490699443+0.000292969922713921i</v>
      </c>
      <c r="AQ254" s="49">
        <f t="shared" si="182"/>
        <v>-47.306426891220774</v>
      </c>
      <c r="AR254" s="61">
        <f t="shared" si="183"/>
        <v>176.1041545905565</v>
      </c>
      <c r="AS254" s="58" t="str">
        <f t="shared" si="184"/>
        <v>0.163772469806224+0.09415414982823i</v>
      </c>
      <c r="AT254" s="64">
        <f t="shared" si="185"/>
        <v>-14.474969469917232</v>
      </c>
      <c r="AU254" s="61">
        <f t="shared" si="186"/>
        <v>29.894952519993012</v>
      </c>
    </row>
    <row r="255" spans="14:47" x14ac:dyDescent="0.3">
      <c r="N255" s="10">
        <v>37</v>
      </c>
      <c r="O255" s="50">
        <f t="shared" si="187"/>
        <v>2344.2288153199238</v>
      </c>
      <c r="P255" s="48" t="str">
        <f t="shared" si="155"/>
        <v>51201.9230769231</v>
      </c>
      <c r="Q255" s="17" t="str">
        <f t="shared" si="156"/>
        <v>1+688.307969986097i</v>
      </c>
      <c r="R255" s="17">
        <f t="shared" si="164"/>
        <v>688.30869640473213</v>
      </c>
      <c r="S255" s="17">
        <f t="shared" si="165"/>
        <v>1.5693434897800329</v>
      </c>
      <c r="T255" s="17" t="str">
        <f t="shared" si="157"/>
        <v>1+4.41876721472556E-08i</v>
      </c>
      <c r="U255" s="17">
        <f t="shared" si="166"/>
        <v>1.0000000000000009</v>
      </c>
      <c r="V255" s="17">
        <f t="shared" si="167"/>
        <v>4.4187672147255572E-8</v>
      </c>
      <c r="W255" s="31" t="str">
        <f t="shared" si="158"/>
        <v>1-0.023861342959518i</v>
      </c>
      <c r="X255" s="17">
        <f t="shared" si="168"/>
        <v>1.0002846413335715</v>
      </c>
      <c r="Y255" s="17">
        <f t="shared" si="169"/>
        <v>-2.3856815911864643E-2</v>
      </c>
      <c r="Z255" s="31" t="str">
        <f t="shared" si="159"/>
        <v>0.997801836504569+1.45610517696877i</v>
      </c>
      <c r="AA255" s="17">
        <f t="shared" si="170"/>
        <v>1.7651772690942809</v>
      </c>
      <c r="AB255" s="17">
        <f t="shared" si="171"/>
        <v>0.97003574382371771</v>
      </c>
      <c r="AC255" s="66" t="str">
        <f t="shared" si="172"/>
        <v>-35.2981219479961-23.0433983096918i</v>
      </c>
      <c r="AD255" s="64">
        <f t="shared" si="173"/>
        <v>32.496765809915708</v>
      </c>
      <c r="AE255" s="61">
        <f t="shared" si="174"/>
        <v>-146.8626050012638</v>
      </c>
      <c r="AF255" s="31" t="str">
        <f t="shared" si="160"/>
        <v>-1.33333333333333E-06</v>
      </c>
      <c r="AG255" s="31" t="str">
        <f t="shared" si="161"/>
        <v>0.0147439532731342i</v>
      </c>
      <c r="AH255" s="31">
        <f t="shared" si="175"/>
        <v>1.47439532731342E-2</v>
      </c>
      <c r="AI255" s="31">
        <f t="shared" si="176"/>
        <v>1.5707963267948966</v>
      </c>
      <c r="AJ255" s="31" t="str">
        <f t="shared" si="162"/>
        <v>1+0.0476750109081279i</v>
      </c>
      <c r="AK255" s="31">
        <f t="shared" si="177"/>
        <v>1.0011358083022952</v>
      </c>
      <c r="AL255" s="31">
        <f t="shared" si="178"/>
        <v>4.7638939803766309E-2</v>
      </c>
      <c r="AM255" s="31" t="str">
        <f t="shared" si="163"/>
        <v>1+47.722685919036i</v>
      </c>
      <c r="AN255" s="31">
        <f t="shared" si="179"/>
        <v>47.733161966571593</v>
      </c>
      <c r="AO255" s="31">
        <f t="shared" si="180"/>
        <v>1.5498449981537628</v>
      </c>
      <c r="AP255" s="58" t="str">
        <f t="shared" si="181"/>
        <v>-0.00430159581693874+0.000295511180327459i</v>
      </c>
      <c r="AQ255" s="49">
        <f t="shared" si="182"/>
        <v>-47.306960009825062</v>
      </c>
      <c r="AR255" s="61">
        <f t="shared" si="183"/>
        <v>176.07006710243789</v>
      </c>
      <c r="AS255" s="58" t="str">
        <f t="shared" si="184"/>
        <v>0.158647835550546+0.0886923960968286i</v>
      </c>
      <c r="AT255" s="64">
        <f t="shared" si="185"/>
        <v>-14.810194199909372</v>
      </c>
      <c r="AU255" s="61">
        <f t="shared" si="186"/>
        <v>29.207462101174162</v>
      </c>
    </row>
    <row r="256" spans="14:47" x14ac:dyDescent="0.3">
      <c r="N256" s="10">
        <v>38</v>
      </c>
      <c r="O256" s="50">
        <f t="shared" si="187"/>
        <v>2398.8329190194918</v>
      </c>
      <c r="P256" s="48" t="str">
        <f t="shared" si="155"/>
        <v>51201.9230769231</v>
      </c>
      <c r="Q256" s="17" t="str">
        <f t="shared" si="156"/>
        <v>1+704.340722217763i</v>
      </c>
      <c r="R256" s="17">
        <f t="shared" si="164"/>
        <v>704.34143210110813</v>
      </c>
      <c r="S256" s="17">
        <f t="shared" si="165"/>
        <v>1.569376560343031</v>
      </c>
      <c r="T256" s="17" t="str">
        <f t="shared" si="157"/>
        <v>1+4.5216935253486E-08i</v>
      </c>
      <c r="U256" s="17">
        <f t="shared" si="166"/>
        <v>1.0000000000000009</v>
      </c>
      <c r="V256" s="17">
        <f t="shared" si="167"/>
        <v>4.5216935253485968E-8</v>
      </c>
      <c r="W256" s="31" t="str">
        <f t="shared" si="158"/>
        <v>1-0.0244171450368824i</v>
      </c>
      <c r="X256" s="17">
        <f t="shared" si="168"/>
        <v>1.0002980540677624</v>
      </c>
      <c r="Y256" s="17">
        <f t="shared" si="169"/>
        <v>-2.441229429598582E-2</v>
      </c>
      <c r="Z256" s="31" t="str">
        <f t="shared" si="159"/>
        <v>0.997698240250651+1.49002222361586i</v>
      </c>
      <c r="AA256" s="17">
        <f t="shared" si="170"/>
        <v>1.7932004922674982</v>
      </c>
      <c r="AB256" s="17">
        <f t="shared" si="171"/>
        <v>0.98077526679776905</v>
      </c>
      <c r="AC256" s="66" t="str">
        <f t="shared" si="172"/>
        <v>-34.2049590316005-21.7811810551961i</v>
      </c>
      <c r="AD256" s="64">
        <f t="shared" si="173"/>
        <v>32.160072226258755</v>
      </c>
      <c r="AE256" s="61">
        <f t="shared" si="174"/>
        <v>-147.51165565339494</v>
      </c>
      <c r="AF256" s="31" t="str">
        <f t="shared" si="160"/>
        <v>-1.33333333333333E-06</v>
      </c>
      <c r="AG256" s="31" t="str">
        <f t="shared" si="161"/>
        <v>0.0150873840629132i</v>
      </c>
      <c r="AH256" s="31">
        <f t="shared" si="175"/>
        <v>1.50873840629132E-2</v>
      </c>
      <c r="AI256" s="31">
        <f t="shared" si="176"/>
        <v>1.5707963267948966</v>
      </c>
      <c r="AJ256" s="31" t="str">
        <f t="shared" si="162"/>
        <v>1+0.0487855045691956i</v>
      </c>
      <c r="AK256" s="31">
        <f t="shared" si="177"/>
        <v>1.0011893055042442</v>
      </c>
      <c r="AL256" s="31">
        <f t="shared" si="178"/>
        <v>4.8746856163794421E-2</v>
      </c>
      <c r="AM256" s="31" t="str">
        <f t="shared" si="163"/>
        <v>1+48.8342900737649i</v>
      </c>
      <c r="AN256" s="31">
        <f t="shared" si="179"/>
        <v>48.844527707908213</v>
      </c>
      <c r="AO256" s="31">
        <f t="shared" si="180"/>
        <v>1.5503217737951334</v>
      </c>
      <c r="AP256" s="58" t="str">
        <f t="shared" si="181"/>
        <v>-0.00430113612926388+0.000298207152900954i</v>
      </c>
      <c r="AQ256" s="49">
        <f t="shared" si="182"/>
        <v>-47.307509930166205</v>
      </c>
      <c r="AR256" s="61">
        <f t="shared" si="183"/>
        <v>176.03390540297994</v>
      </c>
      <c r="AS256" s="58" t="str">
        <f t="shared" si="184"/>
        <v>0.153615489080098+0.0834836613266345i</v>
      </c>
      <c r="AT256" s="64">
        <f t="shared" si="185"/>
        <v>-15.147437703907444</v>
      </c>
      <c r="AU256" s="61">
        <f t="shared" si="186"/>
        <v>28.522249749584965</v>
      </c>
    </row>
    <row r="257" spans="14:47" x14ac:dyDescent="0.3">
      <c r="N257" s="10">
        <v>39</v>
      </c>
      <c r="O257" s="50">
        <f t="shared" si="187"/>
        <v>2454.7089156850338</v>
      </c>
      <c r="P257" s="48" t="str">
        <f t="shared" si="155"/>
        <v>51201.9230769231</v>
      </c>
      <c r="Q257" s="17" t="str">
        <f t="shared" si="156"/>
        <v>1+720.746925223401i</v>
      </c>
      <c r="R257" s="17">
        <f t="shared" si="164"/>
        <v>720.74761894784422</v>
      </c>
      <c r="S257" s="17">
        <f t="shared" si="165"/>
        <v>1.5694088781311113</v>
      </c>
      <c r="T257" s="17" t="str">
        <f t="shared" si="157"/>
        <v>1+4.62701729773047E-08i</v>
      </c>
      <c r="U257" s="17">
        <f t="shared" si="166"/>
        <v>1.0000000000000011</v>
      </c>
      <c r="V257" s="17">
        <f t="shared" si="167"/>
        <v>4.6270172977304668E-8</v>
      </c>
      <c r="W257" s="31" t="str">
        <f t="shared" si="158"/>
        <v>1-0.0249858934077445i</v>
      </c>
      <c r="X257" s="17">
        <f t="shared" si="168"/>
        <v>1.0003120987318823</v>
      </c>
      <c r="Y257" s="17">
        <f t="shared" si="169"/>
        <v>-2.498069583281012E-2</v>
      </c>
      <c r="Z257" s="31" t="str">
        <f t="shared" si="159"/>
        <v>0.997589761655703+1.5247292997687i</v>
      </c>
      <c r="AA257" s="17">
        <f t="shared" si="170"/>
        <v>1.822082536586483</v>
      </c>
      <c r="AB257" s="17">
        <f t="shared" si="171"/>
        <v>0.99142285050616252</v>
      </c>
      <c r="AC257" s="66" t="str">
        <f t="shared" si="172"/>
        <v>-33.1305238233843-20.5769262899908i</v>
      </c>
      <c r="AD257" s="64">
        <f t="shared" si="173"/>
        <v>31.821410647214165</v>
      </c>
      <c r="AE257" s="61">
        <f t="shared" si="174"/>
        <v>-148.15613588354105</v>
      </c>
      <c r="AF257" s="31" t="str">
        <f t="shared" si="160"/>
        <v>-1.33333333333333E-06</v>
      </c>
      <c r="AG257" s="31" t="str">
        <f t="shared" si="161"/>
        <v>0.0154388143834274i</v>
      </c>
      <c r="AH257" s="31">
        <f t="shared" si="175"/>
        <v>1.54388143834274E-2</v>
      </c>
      <c r="AI257" s="31">
        <f t="shared" si="176"/>
        <v>1.5707963267948966</v>
      </c>
      <c r="AJ257" s="31" t="str">
        <f t="shared" si="162"/>
        <v>1+0.0499218649505385i</v>
      </c>
      <c r="AK257" s="31">
        <f t="shared" si="177"/>
        <v>1.0012453208880128</v>
      </c>
      <c r="AL257" s="31">
        <f t="shared" si="178"/>
        <v>4.9880455219401577E-2</v>
      </c>
      <c r="AM257" s="31" t="str">
        <f t="shared" si="163"/>
        <v>1+49.9717868154891i</v>
      </c>
      <c r="AN257" s="31">
        <f t="shared" si="179"/>
        <v>49.981791459817543</v>
      </c>
      <c r="AO257" s="31">
        <f t="shared" si="180"/>
        <v>1.550787705693877</v>
      </c>
      <c r="AP257" s="58" t="str">
        <f t="shared" si="181"/>
        <v>-0.00430065488246771+0.000301059129731502i</v>
      </c>
      <c r="AQ257" s="49">
        <f t="shared" si="182"/>
        <v>-47.308077811615171</v>
      </c>
      <c r="AR257" s="61">
        <f t="shared" si="183"/>
        <v>175.99565089277215</v>
      </c>
      <c r="AS257" s="58" t="str">
        <f t="shared" si="184"/>
        <v>0.148677820561164+0.0785200118454103i</v>
      </c>
      <c r="AT257" s="64">
        <f t="shared" si="185"/>
        <v>-15.486667164401027</v>
      </c>
      <c r="AU257" s="61">
        <f t="shared" si="186"/>
        <v>27.839515009231192</v>
      </c>
    </row>
    <row r="258" spans="14:47" x14ac:dyDescent="0.3">
      <c r="N258" s="10">
        <v>40</v>
      </c>
      <c r="O258" s="50">
        <f t="shared" si="187"/>
        <v>2511.8864315095811</v>
      </c>
      <c r="P258" s="48" t="str">
        <f t="shared" si="155"/>
        <v>51201.9230769231</v>
      </c>
      <c r="Q258" s="17" t="str">
        <f t="shared" si="156"/>
        <v>1+737.535277789009i</v>
      </c>
      <c r="R258" s="17">
        <f t="shared" si="164"/>
        <v>737.53595572237066</v>
      </c>
      <c r="S258" s="17">
        <f t="shared" si="165"/>
        <v>1.5694404602793228</v>
      </c>
      <c r="T258" s="17" t="str">
        <f t="shared" si="157"/>
        <v>1+4.73479437592944E-08i</v>
      </c>
      <c r="U258" s="17">
        <f t="shared" si="166"/>
        <v>1.0000000000000011</v>
      </c>
      <c r="V258" s="17">
        <f t="shared" si="167"/>
        <v>4.7347943759294369E-8</v>
      </c>
      <c r="W258" s="31" t="str">
        <f t="shared" si="158"/>
        <v>1-0.025567889630019i</v>
      </c>
      <c r="X258" s="17">
        <f t="shared" si="168"/>
        <v>1.0003268050892833</v>
      </c>
      <c r="Y258" s="17">
        <f t="shared" si="169"/>
        <v>-2.556232042639987E-2</v>
      </c>
      <c r="Z258" s="31" t="str">
        <f t="shared" si="159"/>
        <v>0.997476170622079+1.56024480757845i</v>
      </c>
      <c r="AA258" s="17">
        <f t="shared" si="170"/>
        <v>1.8518430199491538</v>
      </c>
      <c r="AB258" s="17">
        <f t="shared" si="171"/>
        <v>1.0019745809846936</v>
      </c>
      <c r="AC258" s="66" t="str">
        <f t="shared" si="172"/>
        <v>-32.0754540573951-19.4287689431926i</v>
      </c>
      <c r="AD258" s="64">
        <f t="shared" si="173"/>
        <v>31.480816256595912</v>
      </c>
      <c r="AE258" s="61">
        <f t="shared" si="174"/>
        <v>-148.79583960304299</v>
      </c>
      <c r="AF258" s="31" t="str">
        <f t="shared" si="160"/>
        <v>-1.33333333333333E-06</v>
      </c>
      <c r="AG258" s="31" t="str">
        <f t="shared" si="161"/>
        <v>0.0157984305676845i</v>
      </c>
      <c r="AH258" s="31">
        <f t="shared" si="175"/>
        <v>1.5798430567684499E-2</v>
      </c>
      <c r="AI258" s="31">
        <f t="shared" si="176"/>
        <v>1.5707963267948966</v>
      </c>
      <c r="AJ258" s="31" t="str">
        <f t="shared" si="162"/>
        <v>1+0.0510846945654724i</v>
      </c>
      <c r="AK258" s="31">
        <f t="shared" si="177"/>
        <v>1.0013039728368442</v>
      </c>
      <c r="AL258" s="31">
        <f t="shared" si="178"/>
        <v>5.1040326359369045E-2</v>
      </c>
      <c r="AM258" s="31" t="str">
        <f t="shared" si="163"/>
        <v>1+51.135779260038i</v>
      </c>
      <c r="AN258" s="31">
        <f t="shared" si="179"/>
        <v>51.145556214898399</v>
      </c>
      <c r="AO258" s="31">
        <f t="shared" si="180"/>
        <v>1.551243040083587</v>
      </c>
      <c r="AP258" s="58" t="str">
        <f t="shared" si="181"/>
        <v>-0.0043001510706197+0.000304068472891023i</v>
      </c>
      <c r="AQ258" s="49">
        <f t="shared" si="182"/>
        <v>-47.308664851002987</v>
      </c>
      <c r="AR258" s="61">
        <f t="shared" si="183"/>
        <v>175.95528391047054</v>
      </c>
      <c r="AS258" s="58" t="str">
        <f t="shared" si="184"/>
        <v>0.14383697420823+0.0737935072393741i</v>
      </c>
      <c r="AT258" s="64">
        <f t="shared" si="185"/>
        <v>-15.827848594407058</v>
      </c>
      <c r="AU258" s="61">
        <f t="shared" si="186"/>
        <v>27.159444307427478</v>
      </c>
    </row>
    <row r="259" spans="14:47" x14ac:dyDescent="0.3">
      <c r="N259" s="10">
        <v>41</v>
      </c>
      <c r="O259" s="50">
        <f t="shared" si="187"/>
        <v>2570.3957827688669</v>
      </c>
      <c r="P259" s="48" t="str">
        <f t="shared" si="155"/>
        <v>51201.9230769231</v>
      </c>
      <c r="Q259" s="17" t="str">
        <f t="shared" si="156"/>
        <v>1+754.714681321331i</v>
      </c>
      <c r="R259" s="17">
        <f t="shared" si="164"/>
        <v>754.71534382305902</v>
      </c>
      <c r="S259" s="17">
        <f t="shared" si="165"/>
        <v>1.5694713235326865</v>
      </c>
      <c r="T259" s="17" t="str">
        <f t="shared" si="157"/>
        <v>1+4.84508190477891E-08i</v>
      </c>
      <c r="U259" s="17">
        <f t="shared" si="166"/>
        <v>1.0000000000000013</v>
      </c>
      <c r="V259" s="17">
        <f t="shared" si="167"/>
        <v>4.8450819047789063E-8</v>
      </c>
      <c r="W259" s="31" t="str">
        <f t="shared" si="158"/>
        <v>1-0.0261634422858061i</v>
      </c>
      <c r="X259" s="17">
        <f t="shared" si="168"/>
        <v>1.0003422043042285</v>
      </c>
      <c r="Y259" s="17">
        <f t="shared" si="169"/>
        <v>-2.6157474886862098E-2</v>
      </c>
      <c r="Z259" s="31" t="str">
        <f t="shared" si="159"/>
        <v>0.99735722620797+1.59658757783746i</v>
      </c>
      <c r="AA259" s="17">
        <f t="shared" si="170"/>
        <v>1.8825018805765223</v>
      </c>
      <c r="AB259" s="17">
        <f t="shared" si="171"/>
        <v>1.0124267522939798</v>
      </c>
      <c r="AC259" s="66" t="str">
        <f t="shared" si="172"/>
        <v>-31.0403237288419-18.3348472396786i</v>
      </c>
      <c r="AD259" s="64">
        <f t="shared" si="173"/>
        <v>31.138325331080861</v>
      </c>
      <c r="AE259" s="61">
        <f t="shared" si="174"/>
        <v>-149.43057301552545</v>
      </c>
      <c r="AF259" s="31" t="str">
        <f t="shared" si="160"/>
        <v>-1.33333333333333E-06</v>
      </c>
      <c r="AG259" s="31" t="str">
        <f t="shared" si="161"/>
        <v>0.0161664232889456i</v>
      </c>
      <c r="AH259" s="31">
        <f t="shared" si="175"/>
        <v>1.6166423288945599E-2</v>
      </c>
      <c r="AI259" s="31">
        <f t="shared" si="176"/>
        <v>1.5707963267948966</v>
      </c>
      <c r="AJ259" s="31" t="str">
        <f t="shared" si="162"/>
        <v>1+0.0522746099616505i</v>
      </c>
      <c r="AK259" s="31">
        <f t="shared" si="177"/>
        <v>1.0013653852848334</v>
      </c>
      <c r="AL259" s="31">
        <f t="shared" si="178"/>
        <v>5.2227072072632948E-2</v>
      </c>
      <c r="AM259" s="31" t="str">
        <f t="shared" si="163"/>
        <v>1+52.3268845716122i</v>
      </c>
      <c r="AN259" s="31">
        <f t="shared" si="179"/>
        <v>52.33643901691083</v>
      </c>
      <c r="AO259" s="31">
        <f t="shared" si="180"/>
        <v>1.5516880176329169</v>
      </c>
      <c r="AP259" s="58" t="str">
        <f t="shared" si="181"/>
        <v>-0.00429962364135176+0.000307236617247465i</v>
      </c>
      <c r="AQ259" s="49">
        <f t="shared" si="182"/>
        <v>-47.309272285094352</v>
      </c>
      <c r="AR259" s="61">
        <f t="shared" si="183"/>
        <v>175.91278372529996</v>
      </c>
      <c r="AS259" s="58" t="str">
        <f t="shared" si="184"/>
        <v>0.139094846183409+0.0692962185915795i</v>
      </c>
      <c r="AT259" s="64">
        <f t="shared" si="185"/>
        <v>-16.170946954013466</v>
      </c>
      <c r="AU259" s="61">
        <f t="shared" si="186"/>
        <v>26.482210709774414</v>
      </c>
    </row>
    <row r="260" spans="14:47" x14ac:dyDescent="0.3">
      <c r="N260" s="10">
        <v>42</v>
      </c>
      <c r="O260" s="50">
        <f t="shared" si="187"/>
        <v>2630.2679918953822</v>
      </c>
      <c r="P260" s="48" t="str">
        <f t="shared" si="155"/>
        <v>51201.9230769231</v>
      </c>
      <c r="Q260" s="17" t="str">
        <f t="shared" si="156"/>
        <v>1+772.294244567519i</v>
      </c>
      <c r="R260" s="17">
        <f t="shared" si="164"/>
        <v>772.29489198887939</v>
      </c>
      <c r="S260" s="17">
        <f t="shared" si="165"/>
        <v>1.5695014842550723</v>
      </c>
      <c r="T260" s="17" t="str">
        <f t="shared" si="157"/>
        <v>1+4.95793836018655E-08i</v>
      </c>
      <c r="U260" s="17">
        <f t="shared" si="166"/>
        <v>1.0000000000000013</v>
      </c>
      <c r="V260" s="17">
        <f t="shared" si="167"/>
        <v>4.9579383601865458E-8</v>
      </c>
      <c r="W260" s="31" t="str">
        <f t="shared" si="158"/>
        <v>1-0.0267728671450073i</v>
      </c>
      <c r="X260" s="17">
        <f t="shared" si="168"/>
        <v>1.0003583290077431</v>
      </c>
      <c r="Y260" s="17">
        <f t="shared" si="169"/>
        <v>-2.676647308553225E-2</v>
      </c>
      <c r="Z260" s="31" t="str">
        <f t="shared" si="159"/>
        <v>0.997232676116324+1.63377687996357i</v>
      </c>
      <c r="AA260" s="17">
        <f t="shared" si="170"/>
        <v>1.9140793880656104</v>
      </c>
      <c r="AB260" s="17">
        <f t="shared" si="171"/>
        <v>1.0227758695396543</v>
      </c>
      <c r="AC260" s="66" t="str">
        <f t="shared" si="172"/>
        <v>-30.0256432885696-17.2933068128746i</v>
      </c>
      <c r="AD260" s="64">
        <f t="shared" si="173"/>
        <v>30.793975126139827</v>
      </c>
      <c r="AE260" s="61">
        <f t="shared" si="174"/>
        <v>-150.06015479934132</v>
      </c>
      <c r="AF260" s="31" t="str">
        <f t="shared" si="160"/>
        <v>-1.33333333333333E-06</v>
      </c>
      <c r="AG260" s="31" t="str">
        <f t="shared" si="161"/>
        <v>0.0165429876618224i</v>
      </c>
      <c r="AH260" s="31">
        <f t="shared" si="175"/>
        <v>1.6542987661822401E-2</v>
      </c>
      <c r="AI260" s="31">
        <f t="shared" si="176"/>
        <v>1.5707963267948966</v>
      </c>
      <c r="AJ260" s="31" t="str">
        <f t="shared" si="162"/>
        <v>1+0.0534922420479666i</v>
      </c>
      <c r="AK260" s="31">
        <f t="shared" si="177"/>
        <v>1.0014296879758051</v>
      </c>
      <c r="AL260" s="31">
        <f t="shared" si="178"/>
        <v>5.3441308208919132E-2</v>
      </c>
      <c r="AM260" s="31" t="str">
        <f t="shared" si="163"/>
        <v>1+53.5457342900146i</v>
      </c>
      <c r="AN260" s="31">
        <f t="shared" si="179"/>
        <v>53.555071287944763</v>
      </c>
      <c r="AO260" s="31">
        <f t="shared" si="180"/>
        <v>1.5521228735695869</v>
      </c>
      <c r="AP260" s="58" t="str">
        <f t="shared" si="181"/>
        <v>-0.00429907149376278+0.00031056507047571i</v>
      </c>
      <c r="AQ260" s="49">
        <f t="shared" si="182"/>
        <v>-47.309901393139569</v>
      </c>
      <c r="AR260" s="61">
        <f t="shared" si="183"/>
        <v>175.86812852922588</v>
      </c>
      <c r="AS260" s="58" t="str">
        <f t="shared" si="184"/>
        <v>0.134453084192878+0.0650202463281297i</v>
      </c>
      <c r="AT260" s="64">
        <f t="shared" si="185"/>
        <v>-16.515926266999742</v>
      </c>
      <c r="AU260" s="61">
        <f t="shared" si="186"/>
        <v>25.807973729884534</v>
      </c>
    </row>
    <row r="261" spans="14:47" x14ac:dyDescent="0.3">
      <c r="N261" s="10">
        <v>43</v>
      </c>
      <c r="O261" s="50">
        <f t="shared" si="187"/>
        <v>2691.5348039269184</v>
      </c>
      <c r="P261" s="48" t="str">
        <f t="shared" si="155"/>
        <v>51201.9230769231</v>
      </c>
      <c r="Q261" s="17" t="str">
        <f t="shared" si="156"/>
        <v>1+790.283288444703i</v>
      </c>
      <c r="R261" s="17">
        <f t="shared" si="164"/>
        <v>790.28392112896586</v>
      </c>
      <c r="S261" s="17">
        <f t="shared" si="165"/>
        <v>1.5695309584378749</v>
      </c>
      <c r="T261" s="17" t="str">
        <f t="shared" si="157"/>
        <v>1+5.07342358013883E-08i</v>
      </c>
      <c r="U261" s="17">
        <f t="shared" si="166"/>
        <v>1.0000000000000013</v>
      </c>
      <c r="V261" s="17">
        <f t="shared" si="167"/>
        <v>5.0734235801388256E-8</v>
      </c>
      <c r="W261" s="31" t="str">
        <f t="shared" si="158"/>
        <v>1-0.0273964873327497i</v>
      </c>
      <c r="X261" s="17">
        <f t="shared" si="168"/>
        <v>1.0003752133665516</v>
      </c>
      <c r="Y261" s="17">
        <f t="shared" si="169"/>
        <v>-2.738963611336544E-2</v>
      </c>
      <c r="Z261" s="31" t="str">
        <f t="shared" si="159"/>
        <v>0.9971022561597+1.67183243221704i</v>
      </c>
      <c r="AA261" s="17">
        <f t="shared" si="170"/>
        <v>1.9465961549976174</v>
      </c>
      <c r="AB261" s="17">
        <f t="shared" si="171"/>
        <v>1.0330186509527863</v>
      </c>
      <c r="AC261" s="66" t="str">
        <f t="shared" si="172"/>
        <v>-29.031860195445-16.3023046946645i</v>
      </c>
      <c r="AD261" s="64">
        <f t="shared" si="173"/>
        <v>30.447803762639637</v>
      </c>
      <c r="AE261" s="61">
        <f t="shared" si="174"/>
        <v>-150.68441623634325</v>
      </c>
      <c r="AF261" s="31" t="str">
        <f t="shared" si="160"/>
        <v>-1.33333333333333E-06</v>
      </c>
      <c r="AG261" s="31" t="str">
        <f t="shared" si="161"/>
        <v>0.0169283233457299i</v>
      </c>
      <c r="AH261" s="31">
        <f t="shared" si="175"/>
        <v>1.6928323345729902E-2</v>
      </c>
      <c r="AI261" s="31">
        <f t="shared" si="176"/>
        <v>1.5707963267948966</v>
      </c>
      <c r="AJ261" s="31" t="str">
        <f t="shared" si="162"/>
        <v>1+0.0547382364290702i</v>
      </c>
      <c r="AK261" s="31">
        <f t="shared" si="177"/>
        <v>1.0014970167341313</v>
      </c>
      <c r="AL261" s="31">
        <f t="shared" si="178"/>
        <v>5.4683664242316389E-2</v>
      </c>
      <c r="AM261" s="31" t="str">
        <f t="shared" si="163"/>
        <v>1+54.7929746654994i</v>
      </c>
      <c r="AN261" s="31">
        <f t="shared" si="179"/>
        <v>54.802099163207792</v>
      </c>
      <c r="AO261" s="31">
        <f t="shared" si="180"/>
        <v>1.5525478378017443</v>
      </c>
      <c r="AP261" s="58" t="str">
        <f t="shared" si="181"/>
        <v>-0.00429849347623268+0.00031405541305477i</v>
      </c>
      <c r="AQ261" s="49">
        <f t="shared" si="182"/>
        <v>-47.310553499511187</v>
      </c>
      <c r="AR261" s="61">
        <f t="shared" si="183"/>
        <v>175.82129542880622</v>
      </c>
      <c r="AS261" s="58" t="str">
        <f t="shared" si="184"/>
        <v>0.129913088687647+0.0609577375321439i</v>
      </c>
      <c r="AT261" s="64">
        <f t="shared" si="185"/>
        <v>-16.862749736871553</v>
      </c>
      <c r="AU261" s="61">
        <f t="shared" si="186"/>
        <v>25.136879192463017</v>
      </c>
    </row>
    <row r="262" spans="14:47" x14ac:dyDescent="0.3">
      <c r="N262" s="10">
        <v>44</v>
      </c>
      <c r="O262" s="50">
        <f t="shared" si="187"/>
        <v>2754.228703338169</v>
      </c>
      <c r="P262" s="48" t="str">
        <f t="shared" si="155"/>
        <v>51201.9230769231</v>
      </c>
      <c r="Q262" s="17" t="str">
        <f t="shared" si="156"/>
        <v>1+808.691350982056i</v>
      </c>
      <c r="R262" s="17">
        <f t="shared" si="164"/>
        <v>808.69196926467794</v>
      </c>
      <c r="S262" s="17">
        <f t="shared" si="165"/>
        <v>1.5695597617084915</v>
      </c>
      <c r="T262" s="17" t="str">
        <f t="shared" si="157"/>
        <v>1+5.19159879642801E-08i</v>
      </c>
      <c r="U262" s="17">
        <f t="shared" si="166"/>
        <v>1.0000000000000013</v>
      </c>
      <c r="V262" s="17">
        <f t="shared" si="167"/>
        <v>5.1915987964280054E-8</v>
      </c>
      <c r="W262" s="31" t="str">
        <f t="shared" si="158"/>
        <v>1-0.0280346335007113i</v>
      </c>
      <c r="X262" s="17">
        <f t="shared" si="168"/>
        <v>1.0003928931552439</v>
      </c>
      <c r="Y262" s="17">
        <f t="shared" si="169"/>
        <v>-2.802729244258503E-2</v>
      </c>
      <c r="Z262" s="31" t="str">
        <f t="shared" si="159"/>
        <v>0.996965689699883+1.71077441215539i</v>
      </c>
      <c r="AA262" s="17">
        <f t="shared" si="170"/>
        <v>1.9800731490842411</v>
      </c>
      <c r="AB262" s="17">
        <f t="shared" si="171"/>
        <v>1.0431520290613778</v>
      </c>
      <c r="AC262" s="66" t="str">
        <f t="shared" si="172"/>
        <v>-28.059359803225-15.3600131533984i</v>
      </c>
      <c r="AD262" s="64">
        <f t="shared" si="173"/>
        <v>30.099850114747756</v>
      </c>
      <c r="AE262" s="61">
        <f t="shared" si="174"/>
        <v>-151.3032012887528</v>
      </c>
      <c r="AF262" s="31" t="str">
        <f t="shared" si="160"/>
        <v>-1.33333333333333E-06</v>
      </c>
      <c r="AG262" s="31" t="str">
        <f t="shared" si="161"/>
        <v>0.0173226346507481i</v>
      </c>
      <c r="AH262" s="31">
        <f t="shared" si="175"/>
        <v>1.7322634650748101E-2</v>
      </c>
      <c r="AI262" s="31">
        <f t="shared" si="176"/>
        <v>1.5707963267948966</v>
      </c>
      <c r="AJ262" s="31" t="str">
        <f t="shared" si="162"/>
        <v>1+0.0560132537476748i</v>
      </c>
      <c r="AK262" s="31">
        <f t="shared" si="177"/>
        <v>1.0015675137480256</v>
      </c>
      <c r="AL262" s="31">
        <f t="shared" si="178"/>
        <v>5.5954783537643084E-2</v>
      </c>
      <c r="AM262" s="31" t="str">
        <f t="shared" si="163"/>
        <v>1+56.0692670014225i</v>
      </c>
      <c r="AN262" s="31">
        <f t="shared" si="179"/>
        <v>56.078183833615782</v>
      </c>
      <c r="AO262" s="31">
        <f t="shared" si="180"/>
        <v>1.5529631350367281</v>
      </c>
      <c r="AP262" s="58" t="str">
        <f t="shared" si="181"/>
        <v>-0.00429788838414356+0.000317709298247745i</v>
      </c>
      <c r="AQ262" s="49">
        <f t="shared" si="182"/>
        <v>-47.311229976428208</v>
      </c>
      <c r="AR262" s="61">
        <f t="shared" si="183"/>
        <v>175.77226043673443</v>
      </c>
      <c r="AS262" s="58" t="str">
        <f t="shared" si="184"/>
        <v>0.125476015564828+0.0571009025999197i</v>
      </c>
      <c r="AT262" s="64">
        <f t="shared" si="185"/>
        <v>-17.211379861680435</v>
      </c>
      <c r="AU262" s="61">
        <f t="shared" si="186"/>
        <v>24.469059147981572</v>
      </c>
    </row>
    <row r="263" spans="14:47" x14ac:dyDescent="0.3">
      <c r="N263" s="10">
        <v>45</v>
      </c>
      <c r="O263" s="50">
        <f t="shared" si="187"/>
        <v>2818.3829312644561</v>
      </c>
      <c r="P263" s="48" t="str">
        <f t="shared" si="155"/>
        <v>51201.9230769231</v>
      </c>
      <c r="Q263" s="17" t="str">
        <f t="shared" si="156"/>
        <v>1+827.528192377993i</v>
      </c>
      <c r="R263" s="17">
        <f t="shared" si="164"/>
        <v>827.52879658679467</v>
      </c>
      <c r="S263" s="17">
        <f t="shared" si="165"/>
        <v>1.5695879093386058</v>
      </c>
      <c r="T263" s="17" t="str">
        <f t="shared" si="157"/>
        <v>1+5.31252666711799E-08i</v>
      </c>
      <c r="U263" s="17">
        <f t="shared" si="166"/>
        <v>1.0000000000000013</v>
      </c>
      <c r="V263" s="17">
        <f t="shared" si="167"/>
        <v>5.3125266671179848E-8</v>
      </c>
      <c r="W263" s="31" t="str">
        <f t="shared" si="158"/>
        <v>1-0.0286876440024371i</v>
      </c>
      <c r="X263" s="17">
        <f t="shared" si="168"/>
        <v>1.0004114058318261</v>
      </c>
      <c r="Y263" s="17">
        <f t="shared" si="169"/>
        <v>-2.867977809163258E-2</v>
      </c>
      <c r="Z263" s="31" t="str">
        <f t="shared" si="159"/>
        <v>0.996822687061103+1.75062346733184i</v>
      </c>
      <c r="AA263" s="17">
        <f t="shared" si="170"/>
        <v>2.0145317058345524</v>
      </c>
      <c r="AB263" s="17">
        <f t="shared" si="171"/>
        <v>1.0531731509894882</v>
      </c>
      <c r="AC263" s="66" t="str">
        <f t="shared" si="172"/>
        <v>-27.1084665563423-14.4646233544878i</v>
      </c>
      <c r="AD263" s="64">
        <f t="shared" si="173"/>
        <v>29.750153699724354</v>
      </c>
      <c r="AE263" s="61">
        <f t="shared" si="174"/>
        <v>-151.91636662622528</v>
      </c>
      <c r="AF263" s="31" t="str">
        <f t="shared" si="160"/>
        <v>-1.33333333333333E-06</v>
      </c>
      <c r="AG263" s="31" t="str">
        <f t="shared" si="161"/>
        <v>0.0177261306459503i</v>
      </c>
      <c r="AH263" s="31">
        <f t="shared" si="175"/>
        <v>1.77261306459503E-2</v>
      </c>
      <c r="AI263" s="31">
        <f t="shared" si="176"/>
        <v>1.5707963267948966</v>
      </c>
      <c r="AJ263" s="31" t="str">
        <f t="shared" si="162"/>
        <v>1+0.0573179700348393i</v>
      </c>
      <c r="AK263" s="31">
        <f t="shared" si="177"/>
        <v>1.0016413278658758</v>
      </c>
      <c r="AL263" s="31">
        <f t="shared" si="178"/>
        <v>5.7255323619438421E-2</v>
      </c>
      <c r="AM263" s="31" t="str">
        <f t="shared" si="163"/>
        <v>1+57.3752880048742i</v>
      </c>
      <c r="AN263" s="31">
        <f t="shared" si="179"/>
        <v>57.384001896367081</v>
      </c>
      <c r="AO263" s="31">
        <f t="shared" si="180"/>
        <v>1.553368984897284</v>
      </c>
      <c r="AP263" s="58" t="str">
        <f t="shared" si="181"/>
        <v>-0.00429725495750375+0.000321528452060707i</v>
      </c>
      <c r="AQ263" s="49">
        <f t="shared" si="182"/>
        <v>-47.31193224677466</v>
      </c>
      <c r="AR263" s="61">
        <f t="shared" si="183"/>
        <v>175.72099846308575</v>
      </c>
      <c r="AS263" s="58" t="str">
        <f t="shared" si="184"/>
        <v>0.121142780256376+0.053442031128897i</v>
      </c>
      <c r="AT263" s="64">
        <f t="shared" si="185"/>
        <v>-17.561778547050324</v>
      </c>
      <c r="AU263" s="61">
        <f t="shared" si="186"/>
        <v>23.804631836860494</v>
      </c>
    </row>
    <row r="264" spans="14:47" x14ac:dyDescent="0.3">
      <c r="N264" s="10">
        <v>46</v>
      </c>
      <c r="O264" s="50">
        <f t="shared" si="187"/>
        <v>2884.0315031266077</v>
      </c>
      <c r="P264" s="48" t="str">
        <f t="shared" si="155"/>
        <v>51201.9230769231</v>
      </c>
      <c r="Q264" s="17" t="str">
        <f t="shared" si="156"/>
        <v>1+846.803800175161i</v>
      </c>
      <c r="R264" s="17">
        <f t="shared" si="164"/>
        <v>846.80439063050085</v>
      </c>
      <c r="S264" s="17">
        <f t="shared" si="165"/>
        <v>1.5696154162522855</v>
      </c>
      <c r="T264" s="17" t="str">
        <f t="shared" si="157"/>
        <v>1+5.43627130976647E-08i</v>
      </c>
      <c r="U264" s="17">
        <f t="shared" si="166"/>
        <v>1.0000000000000013</v>
      </c>
      <c r="V264" s="17">
        <f t="shared" si="167"/>
        <v>5.4362713097664645E-8</v>
      </c>
      <c r="W264" s="31" t="str">
        <f t="shared" si="158"/>
        <v>1-0.0293558650727389i</v>
      </c>
      <c r="X264" s="17">
        <f t="shared" si="168"/>
        <v>1.0004307906168066</v>
      </c>
      <c r="Y264" s="17">
        <f t="shared" si="169"/>
        <v>-2.9347436793463081E-2</v>
      </c>
      <c r="Z264" s="31" t="str">
        <f t="shared" si="159"/>
        <v>0.996672944915589+1.79140072624291i</v>
      </c>
      <c r="AA264" s="17">
        <f t="shared" si="170"/>
        <v>2.0499935417240556</v>
      </c>
      <c r="AB264" s="17">
        <f t="shared" si="171"/>
        <v>1.0630793779253851</v>
      </c>
      <c r="AC264" s="66" t="str">
        <f t="shared" si="172"/>
        <v>-26.1794454674197-13.6143488216956i</v>
      </c>
      <c r="AD264" s="64">
        <f t="shared" si="173"/>
        <v>29.398754570141534</v>
      </c>
      <c r="AE264" s="61">
        <f t="shared" si="174"/>
        <v>-152.52378160548176</v>
      </c>
      <c r="AF264" s="31" t="str">
        <f t="shared" si="160"/>
        <v>-1.33333333333333E-06</v>
      </c>
      <c r="AG264" s="31" t="str">
        <f t="shared" si="161"/>
        <v>0.0181390252702541i</v>
      </c>
      <c r="AH264" s="31">
        <f t="shared" si="175"/>
        <v>1.81390252702541E-2</v>
      </c>
      <c r="AI264" s="31">
        <f t="shared" si="176"/>
        <v>1.5707963267948966</v>
      </c>
      <c r="AJ264" s="31" t="str">
        <f t="shared" si="162"/>
        <v>1+0.0586530770684093i</v>
      </c>
      <c r="AK264" s="31">
        <f t="shared" si="177"/>
        <v>1.0017186149061985</v>
      </c>
      <c r="AL264" s="31">
        <f t="shared" si="178"/>
        <v>5.8585956443392741E-2</v>
      </c>
      <c r="AM264" s="31" t="str">
        <f t="shared" si="163"/>
        <v>1+58.7117301454778i</v>
      </c>
      <c r="AN264" s="31">
        <f t="shared" si="179"/>
        <v>58.720245713683859</v>
      </c>
      <c r="AO264" s="31">
        <f t="shared" si="180"/>
        <v>1.5537656020352799</v>
      </c>
      <c r="AP264" s="58" t="str">
        <f t="shared" si="181"/>
        <v>-0.00429659187847159+0.000325514673176414i</v>
      </c>
      <c r="AQ264" s="49">
        <f t="shared" si="182"/>
        <v>-47.312661787016701</v>
      </c>
      <c r="AR264" s="61">
        <f t="shared" si="183"/>
        <v>175.66748330628133</v>
      </c>
      <c r="AS264" s="58" t="str">
        <f t="shared" si="184"/>
        <v>0.116914063085409+0.0499735069427097i</v>
      </c>
      <c r="AT264" s="64">
        <f t="shared" si="185"/>
        <v>-17.913907216875181</v>
      </c>
      <c r="AU264" s="61">
        <f t="shared" si="186"/>
        <v>23.143701700799618</v>
      </c>
    </row>
    <row r="265" spans="14:47" x14ac:dyDescent="0.3">
      <c r="N265" s="10">
        <v>47</v>
      </c>
      <c r="O265" s="50">
        <f t="shared" si="187"/>
        <v>2951.2092266663876</v>
      </c>
      <c r="P265" s="48" t="str">
        <f t="shared" si="155"/>
        <v>51201.9230769231</v>
      </c>
      <c r="Q265" s="17" t="str">
        <f t="shared" si="156"/>
        <v>1+866.528394555953i</v>
      </c>
      <c r="R265" s="17">
        <f t="shared" si="164"/>
        <v>866.52897157089774</v>
      </c>
      <c r="S265" s="17">
        <f t="shared" si="165"/>
        <v>1.5696422970338937</v>
      </c>
      <c r="T265" s="17" t="str">
        <f t="shared" si="157"/>
        <v>1+5.56289833542094E-08i</v>
      </c>
      <c r="U265" s="17">
        <f t="shared" si="166"/>
        <v>1.0000000000000016</v>
      </c>
      <c r="V265" s="17">
        <f t="shared" si="167"/>
        <v>5.5628983354209339E-8</v>
      </c>
      <c r="W265" s="31" t="str">
        <f t="shared" si="158"/>
        <v>1-0.030039651011273i</v>
      </c>
      <c r="X265" s="17">
        <f t="shared" si="168"/>
        <v>1.0004510885759879</v>
      </c>
      <c r="Y265" s="17">
        <f t="shared" si="169"/>
        <v>-3.003062016722723E-2</v>
      </c>
      <c r="Z265" s="31" t="str">
        <f t="shared" si="159"/>
        <v>0.996516145640176+1.83312780953102i</v>
      </c>
      <c r="AA265" s="17">
        <f t="shared" si="170"/>
        <v>2.086480767847513</v>
      </c>
      <c r="AB265" s="17">
        <f t="shared" si="171"/>
        <v>1.0728682838042904</v>
      </c>
      <c r="AC265" s="66" t="str">
        <f t="shared" si="172"/>
        <v>-25.2725038481752-12.8074286808588i</v>
      </c>
      <c r="AD265" s="64">
        <f t="shared" si="173"/>
        <v>29.045693209016818</v>
      </c>
      <c r="AE265" s="61">
        <f t="shared" si="174"/>
        <v>-153.12532820512843</v>
      </c>
      <c r="AF265" s="31" t="str">
        <f t="shared" si="160"/>
        <v>-1.33333333333333E-06</v>
      </c>
      <c r="AG265" s="31" t="str">
        <f t="shared" si="161"/>
        <v>0.0185615374458545i</v>
      </c>
      <c r="AH265" s="31">
        <f t="shared" si="175"/>
        <v>1.8561537445854499E-2</v>
      </c>
      <c r="AI265" s="31">
        <f t="shared" si="176"/>
        <v>1.5707963267948966</v>
      </c>
      <c r="AJ265" s="31" t="str">
        <f t="shared" si="162"/>
        <v>1+0.0600192827398062i</v>
      </c>
      <c r="AK265" s="31">
        <f t="shared" si="177"/>
        <v>1.0017995379818263</v>
      </c>
      <c r="AL265" s="31">
        <f t="shared" si="178"/>
        <v>5.9947368670006648E-2</v>
      </c>
      <c r="AM265" s="31" t="str">
        <f t="shared" si="163"/>
        <v>1+60.079302022546i</v>
      </c>
      <c r="AN265" s="31">
        <f t="shared" si="179"/>
        <v>60.087623779912448</v>
      </c>
      <c r="AO265" s="31">
        <f t="shared" si="180"/>
        <v>1.5541531962429662</v>
      </c>
      <c r="AP265" s="58" t="str">
        <f t="shared" si="181"/>
        <v>-0.00429589776877519+0.000329669832858509i</v>
      </c>
      <c r="AQ265" s="49">
        <f t="shared" si="182"/>
        <v>-47.313420130223811</v>
      </c>
      <c r="AR265" s="61">
        <f t="shared" si="183"/>
        <v>175.611687643783</v>
      </c>
      <c r="AS265" s="58" t="str">
        <f t="shared" si="184"/>
        <v>0.112790315765304+0.0466878221743048i</v>
      </c>
      <c r="AT265" s="64">
        <f t="shared" si="185"/>
        <v>-18.267726921207007</v>
      </c>
      <c r="AU265" s="61">
        <f t="shared" si="186"/>
        <v>22.486359438654617</v>
      </c>
    </row>
    <row r="266" spans="14:47" x14ac:dyDescent="0.3">
      <c r="N266" s="10">
        <v>48</v>
      </c>
      <c r="O266" s="50">
        <f t="shared" si="187"/>
        <v>3019.9517204020176</v>
      </c>
      <c r="P266" s="48" t="str">
        <f t="shared" si="155"/>
        <v>51201.9230769231</v>
      </c>
      <c r="Q266" s="17" t="str">
        <f t="shared" si="156"/>
        <v>1+886.712433761399i</v>
      </c>
      <c r="R266" s="17">
        <f t="shared" si="164"/>
        <v>886.71299764188825</v>
      </c>
      <c r="S266" s="17">
        <f t="shared" si="165"/>
        <v>1.5696685659358209</v>
      </c>
      <c r="T266" s="17" t="str">
        <f t="shared" si="157"/>
        <v>1+5.69247488340652E-08i</v>
      </c>
      <c r="U266" s="17">
        <f t="shared" si="166"/>
        <v>1.0000000000000018</v>
      </c>
      <c r="V266" s="17">
        <f t="shared" si="167"/>
        <v>5.6924748834065138E-8</v>
      </c>
      <c r="W266" s="31" t="str">
        <f t="shared" si="158"/>
        <v>1-0.0307393643703952i</v>
      </c>
      <c r="X266" s="17">
        <f t="shared" si="168"/>
        <v>1.0004723427071316</v>
      </c>
      <c r="Y266" s="17">
        <f t="shared" si="169"/>
        <v>-3.0729687893383987E-2</v>
      </c>
      <c r="Z266" s="31" t="str">
        <f t="shared" si="159"/>
        <v>0.996351956642576+1.87582684144806i</v>
      </c>
      <c r="AA266" s="17">
        <f t="shared" si="170"/>
        <v>2.1240159040370896</v>
      </c>
      <c r="AB266" s="17">
        <f t="shared" si="171"/>
        <v>1.08253765325469</v>
      </c>
      <c r="AC266" s="66" t="str">
        <f t="shared" si="172"/>
        <v>-24.3877932647018-12.0421306713945i</v>
      </c>
      <c r="AD266" s="64">
        <f t="shared" si="173"/>
        <v>28.691010428297158</v>
      </c>
      <c r="AE266" s="61">
        <f t="shared" si="174"/>
        <v>-153.72090091846246</v>
      </c>
      <c r="AF266" s="31" t="str">
        <f t="shared" si="160"/>
        <v>-1.33333333333333E-06</v>
      </c>
      <c r="AG266" s="31" t="str">
        <f t="shared" si="161"/>
        <v>0.0189938911942997i</v>
      </c>
      <c r="AH266" s="31">
        <f t="shared" si="175"/>
        <v>1.89938911942997E-2</v>
      </c>
      <c r="AI266" s="31">
        <f t="shared" si="176"/>
        <v>1.5707963267948966</v>
      </c>
      <c r="AJ266" s="31" t="str">
        <f t="shared" si="162"/>
        <v>1+0.0614173114293609i</v>
      </c>
      <c r="AK266" s="31">
        <f t="shared" si="177"/>
        <v>1.001884267838961</v>
      </c>
      <c r="AL266" s="31">
        <f t="shared" si="178"/>
        <v>6.1340261940250822E-2</v>
      </c>
      <c r="AM266" s="31" t="str">
        <f t="shared" si="163"/>
        <v>1+61.4787287407903i</v>
      </c>
      <c r="AN266" s="31">
        <f t="shared" si="179"/>
        <v>61.486861097178121</v>
      </c>
      <c r="AO266" s="31">
        <f t="shared" si="180"/>
        <v>1.5545319725618314</v>
      </c>
      <c r="AP266" s="58" t="str">
        <f t="shared" si="181"/>
        <v>-0.00429517118702427+0.000333995874821524i</v>
      </c>
      <c r="AQ266" s="49">
        <f t="shared" si="182"/>
        <v>-47.314208869200208</v>
      </c>
      <c r="AR266" s="61">
        <f t="shared" si="183"/>
        <v>175.55358302253632</v>
      </c>
      <c r="AS266" s="58" t="str">
        <f t="shared" si="184"/>
        <v>0.108771768913959+0.0435775903437443i</v>
      </c>
      <c r="AT266" s="64">
        <f t="shared" si="185"/>
        <v>-18.623198440903067</v>
      </c>
      <c r="AU266" s="61">
        <f t="shared" si="186"/>
        <v>21.832682104073875</v>
      </c>
    </row>
    <row r="267" spans="14:47" x14ac:dyDescent="0.3">
      <c r="N267" s="10">
        <v>49</v>
      </c>
      <c r="O267" s="50">
        <f t="shared" si="187"/>
        <v>3090.295432513592</v>
      </c>
      <c r="P267" s="48" t="str">
        <f t="shared" si="155"/>
        <v>51201.9230769231</v>
      </c>
      <c r="Q267" s="17" t="str">
        <f t="shared" si="156"/>
        <v>1+907.366619636251i</v>
      </c>
      <c r="R267" s="17">
        <f t="shared" si="164"/>
        <v>907.3671706812612</v>
      </c>
      <c r="S267" s="17">
        <f t="shared" si="165"/>
        <v>1.569694236886042</v>
      </c>
      <c r="T267" s="17" t="str">
        <f t="shared" si="157"/>
        <v>1+5.82506965692409E-08i</v>
      </c>
      <c r="U267" s="17">
        <f t="shared" si="166"/>
        <v>1.0000000000000018</v>
      </c>
      <c r="V267" s="17">
        <f t="shared" si="167"/>
        <v>5.8250696569240835E-8</v>
      </c>
      <c r="W267" s="31" t="str">
        <f t="shared" si="158"/>
        <v>1-0.03145537614739i</v>
      </c>
      <c r="X267" s="17">
        <f t="shared" si="168"/>
        <v>1.000494598030681</v>
      </c>
      <c r="Y267" s="17">
        <f t="shared" si="169"/>
        <v>-3.1445007892280205E-2</v>
      </c>
      <c r="Z267" s="31" t="str">
        <f t="shared" si="159"/>
        <v>0.996180029655914+1.91952046158594i</v>
      </c>
      <c r="AA267" s="17">
        <f t="shared" si="170"/>
        <v>2.1626218934275956</v>
      </c>
      <c r="AB267" s="17">
        <f t="shared" si="171"/>
        <v>1.0920854788597785</v>
      </c>
      <c r="AC267" s="66" t="str">
        <f t="shared" si="172"/>
        <v>-23.5254116878652-11.3167539144427i</v>
      </c>
      <c r="AD267" s="64">
        <f t="shared" si="173"/>
        <v>28.334747271076353</v>
      </c>
      <c r="AE267" s="61">
        <f t="shared" si="174"/>
        <v>-154.3104066072315</v>
      </c>
      <c r="AF267" s="31" t="str">
        <f t="shared" si="160"/>
        <v>-1.33333333333333E-06</v>
      </c>
      <c r="AG267" s="31" t="str">
        <f t="shared" si="161"/>
        <v>0.01943631575527i</v>
      </c>
      <c r="AH267" s="31">
        <f t="shared" si="175"/>
        <v>1.9436315755269998E-2</v>
      </c>
      <c r="AI267" s="31">
        <f t="shared" si="176"/>
        <v>1.5707963267948966</v>
      </c>
      <c r="AJ267" s="31" t="str">
        <f t="shared" si="162"/>
        <v>1+0.0628479043903896i</v>
      </c>
      <c r="AK267" s="31">
        <f t="shared" si="177"/>
        <v>1.001972983211755</v>
      </c>
      <c r="AL267" s="31">
        <f t="shared" si="178"/>
        <v>6.2765353152970146E-2</v>
      </c>
      <c r="AM267" s="31" t="str">
        <f t="shared" si="163"/>
        <v>1+62.9107522947801i</v>
      </c>
      <c r="AN267" s="31">
        <f t="shared" si="179"/>
        <v>62.918699559790497</v>
      </c>
      <c r="AO267" s="31">
        <f t="shared" si="180"/>
        <v>1.5549021313890949</v>
      </c>
      <c r="AP267" s="58" t="str">
        <f t="shared" si="181"/>
        <v>-0.00429441062591067+0.000338494815061719i</v>
      </c>
      <c r="AQ267" s="49">
        <f t="shared" si="182"/>
        <v>-47.315029659731053</v>
      </c>
      <c r="AR267" s="61">
        <f t="shared" si="183"/>
        <v>175.49313984917802</v>
      </c>
      <c r="AS267" s="58" t="str">
        <f t="shared" si="184"/>
        <v>0.10485844045466+0.0406355583824642i</v>
      </c>
      <c r="AT267" s="64">
        <f t="shared" si="185"/>
        <v>-18.980282388654672</v>
      </c>
      <c r="AU267" s="61">
        <f t="shared" si="186"/>
        <v>21.182733241946501</v>
      </c>
    </row>
    <row r="268" spans="14:47" x14ac:dyDescent="0.3">
      <c r="N268" s="10">
        <v>50</v>
      </c>
      <c r="O268" s="50">
        <f t="shared" si="187"/>
        <v>3162.2776601683804</v>
      </c>
      <c r="P268" s="48" t="str">
        <f t="shared" si="155"/>
        <v>51201.9230769231</v>
      </c>
      <c r="Q268" s="17" t="str">
        <f t="shared" si="156"/>
        <v>1+928.501903303251i</v>
      </c>
      <c r="R268" s="17">
        <f t="shared" si="164"/>
        <v>928.50244180495281</v>
      </c>
      <c r="S268" s="17">
        <f t="shared" si="165"/>
        <v>1.5697193234954989</v>
      </c>
      <c r="T268" s="17" t="str">
        <f t="shared" si="157"/>
        <v>1+5.96075295947766E-08i</v>
      </c>
      <c r="U268" s="17">
        <f t="shared" si="166"/>
        <v>1.0000000000000018</v>
      </c>
      <c r="V268" s="17">
        <f t="shared" si="167"/>
        <v>5.9607529594776529E-8</v>
      </c>
      <c r="W268" s="31" t="str">
        <f t="shared" si="158"/>
        <v>1-0.0321880659811794i</v>
      </c>
      <c r="X268" s="17">
        <f t="shared" si="168"/>
        <v>1.0005179016847268</v>
      </c>
      <c r="Y268" s="17">
        <f t="shared" si="169"/>
        <v>-3.217695650623828E-2</v>
      </c>
      <c r="Z268" s="31" t="str">
        <f t="shared" si="159"/>
        <v>0.996+1.96423183688041i</v>
      </c>
      <c r="AA268" s="17">
        <f t="shared" si="170"/>
        <v>2.2023221174511662</v>
      </c>
      <c r="AB268" s="17">
        <f t="shared" si="171"/>
        <v>1.1015099577875975</v>
      </c>
      <c r="AC268" s="66" t="str">
        <f t="shared" si="172"/>
        <v>-22.6854058097201-10.6296314298781i</v>
      </c>
      <c r="AD268" s="64">
        <f t="shared" si="173"/>
        <v>27.976944917875969</v>
      </c>
      <c r="AE268" s="61">
        <f t="shared" si="174"/>
        <v>-154.89376431940931</v>
      </c>
      <c r="AF268" s="31" t="str">
        <f t="shared" si="160"/>
        <v>-1.33333333333333E-06</v>
      </c>
      <c r="AG268" s="31" t="str">
        <f t="shared" si="161"/>
        <v>0.0198890457081238i</v>
      </c>
      <c r="AH268" s="31">
        <f t="shared" si="175"/>
        <v>1.98890457081238E-2</v>
      </c>
      <c r="AI268" s="31">
        <f t="shared" si="176"/>
        <v>1.5707963267948966</v>
      </c>
      <c r="AJ268" s="31" t="str">
        <f t="shared" si="162"/>
        <v>1+0.0643118201422164i</v>
      </c>
      <c r="AK268" s="31">
        <f t="shared" si="177"/>
        <v>1.0020658711931092</v>
      </c>
      <c r="AL268" s="31">
        <f t="shared" si="178"/>
        <v>6.4223374743751935E-2</v>
      </c>
      <c r="AM268" s="31" t="str">
        <f t="shared" si="163"/>
        <v>1+64.3761319623587i</v>
      </c>
      <c r="AN268" s="31">
        <f t="shared" si="179"/>
        <v>64.383898347607229</v>
      </c>
      <c r="AO268" s="31">
        <f t="shared" si="180"/>
        <v>1.5552638685818878</v>
      </c>
      <c r="AP268" s="58" t="str">
        <f t="shared" si="181"/>
        <v>-0.0042936145092933+0.000343168741643435i</v>
      </c>
      <c r="AQ268" s="49">
        <f t="shared" si="182"/>
        <v>-47.315884223950214</v>
      </c>
      <c r="AR268" s="61">
        <f t="shared" si="183"/>
        <v>175.43032738002722</v>
      </c>
      <c r="AS268" s="58" t="str">
        <f t="shared" si="184"/>
        <v>0.101050144775746+0.0378546175703724i</v>
      </c>
      <c r="AT268" s="64">
        <f t="shared" si="185"/>
        <v>-19.338939306074213</v>
      </c>
      <c r="AU268" s="61">
        <f t="shared" si="186"/>
        <v>20.536563060617816</v>
      </c>
    </row>
    <row r="269" spans="14:47" x14ac:dyDescent="0.3">
      <c r="N269" s="10">
        <v>51</v>
      </c>
      <c r="O269" s="50">
        <f t="shared" si="187"/>
        <v>3235.9365692962833</v>
      </c>
      <c r="P269" s="48" t="str">
        <f t="shared" si="155"/>
        <v>51201.9230769231</v>
      </c>
      <c r="Q269" s="17" t="str">
        <f t="shared" si="156"/>
        <v>1+950.129490969559i</v>
      </c>
      <c r="R269" s="17">
        <f t="shared" si="164"/>
        <v>950.13001721347246</v>
      </c>
      <c r="S269" s="17">
        <f t="shared" si="165"/>
        <v>1.5697438390653178</v>
      </c>
      <c r="T269" s="17" t="str">
        <f t="shared" si="157"/>
        <v>1+6.09959673215026E-08i</v>
      </c>
      <c r="U269" s="17">
        <f t="shared" si="166"/>
        <v>1.0000000000000018</v>
      </c>
      <c r="V269" s="17">
        <f t="shared" si="167"/>
        <v>6.0995967321502524E-8</v>
      </c>
      <c r="W269" s="31" t="str">
        <f t="shared" si="158"/>
        <v>1-0.0329378223536113i</v>
      </c>
      <c r="X269" s="17">
        <f t="shared" si="168"/>
        <v>1.0005423030244138</v>
      </c>
      <c r="Y269" s="17">
        <f t="shared" si="169"/>
        <v>-3.292591868518311E-2</v>
      </c>
      <c r="Z269" s="31" t="str">
        <f t="shared" si="159"/>
        <v>0.995811485807796+2.00998467389448i</v>
      </c>
      <c r="AA269" s="17">
        <f t="shared" si="170"/>
        <v>2.2431404112443403</v>
      </c>
      <c r="AB269" s="17">
        <f t="shared" si="171"/>
        <v>1.1108094878446173</v>
      </c>
      <c r="AC269" s="66" t="str">
        <f t="shared" si="172"/>
        <v>-21.8677734973715-9.97913239760647i</v>
      </c>
      <c r="AD269" s="64">
        <f t="shared" si="173"/>
        <v>27.61764459726777</v>
      </c>
      <c r="AE269" s="61">
        <f t="shared" si="174"/>
        <v>-155.47090507413134</v>
      </c>
      <c r="AF269" s="31" t="str">
        <f t="shared" si="160"/>
        <v>-1.33333333333333E-06</v>
      </c>
      <c r="AG269" s="31" t="str">
        <f t="shared" si="161"/>
        <v>0.0203523210962747i</v>
      </c>
      <c r="AH269" s="31">
        <f t="shared" si="175"/>
        <v>2.03523210962747E-2</v>
      </c>
      <c r="AI269" s="31">
        <f t="shared" si="176"/>
        <v>1.5707963267948966</v>
      </c>
      <c r="AJ269" s="31" t="str">
        <f t="shared" si="162"/>
        <v>1+0.0658098348723503i</v>
      </c>
      <c r="AK269" s="31">
        <f t="shared" si="177"/>
        <v>1.0021631276224074</v>
      </c>
      <c r="AL269" s="31">
        <f t="shared" si="178"/>
        <v>6.5715074964948578E-2</v>
      </c>
      <c r="AM269" s="31" t="str">
        <f t="shared" si="163"/>
        <v>1+65.8756447072227i</v>
      </c>
      <c r="AN269" s="31">
        <f t="shared" si="179"/>
        <v>65.88323432856221</v>
      </c>
      <c r="AO269" s="31">
        <f t="shared" si="180"/>
        <v>1.5556173755591629</v>
      </c>
      <c r="AP269" s="58" t="str">
        <f t="shared" si="181"/>
        <v>-0.004292781189164+0.000348019814435294i</v>
      </c>
      <c r="AQ269" s="49">
        <f t="shared" si="182"/>
        <v>-47.316774353834887</v>
      </c>
      <c r="AR269" s="61">
        <f t="shared" si="183"/>
        <v>175.36511371088019</v>
      </c>
      <c r="AS269" s="58" t="str">
        <f t="shared" si="184"/>
        <v>0.0973465025236557+0.0352278133659538i</v>
      </c>
      <c r="AT269" s="64">
        <f t="shared" si="185"/>
        <v>-19.699129756567114</v>
      </c>
      <c r="AU269" s="61">
        <f t="shared" si="186"/>
        <v>19.894208636748836</v>
      </c>
    </row>
    <row r="270" spans="14:47" x14ac:dyDescent="0.3">
      <c r="N270" s="10">
        <v>52</v>
      </c>
      <c r="O270" s="50">
        <f t="shared" si="187"/>
        <v>3311.3112148259115</v>
      </c>
      <c r="P270" s="48" t="str">
        <f t="shared" si="155"/>
        <v>51201.9230769231</v>
      </c>
      <c r="Q270" s="17" t="str">
        <f t="shared" si="156"/>
        <v>1+972.260849868433i</v>
      </c>
      <c r="R270" s="17">
        <f t="shared" si="164"/>
        <v>972.26136413357892</v>
      </c>
      <c r="S270" s="17">
        <f t="shared" si="165"/>
        <v>1.5697677965938601</v>
      </c>
      <c r="T270" s="17" t="str">
        <f t="shared" si="157"/>
        <v>1+6.24167459174797E-08i</v>
      </c>
      <c r="U270" s="17">
        <f t="shared" si="166"/>
        <v>1.000000000000002</v>
      </c>
      <c r="V270" s="17">
        <f t="shared" si="167"/>
        <v>6.2416745917479616E-8</v>
      </c>
      <c r="W270" s="31" t="str">
        <f t="shared" si="158"/>
        <v>1-0.033705042795439i</v>
      </c>
      <c r="X270" s="17">
        <f t="shared" si="168"/>
        <v>1.0005678537259941</v>
      </c>
      <c r="Y270" s="17">
        <f t="shared" si="169"/>
        <v>-3.3692288175845818E-2</v>
      </c>
      <c r="Z270" s="31" t="str">
        <f t="shared" si="159"/>
        <v>0.995614087215427+2.05680323138794i</v>
      </c>
      <c r="AA270" s="17">
        <f t="shared" si="170"/>
        <v>2.2851010794513402</v>
      </c>
      <c r="AB270" s="17">
        <f t="shared" si="171"/>
        <v>1.1199826630081369</v>
      </c>
      <c r="AC270" s="66" t="str">
        <f>(IMDIV(IMPRODUCT(P270,T270,W270),IMPRODUCT(Q270,Z270)))</f>
        <v>-21.0724663565487-9.36366416153287i</v>
      </c>
      <c r="AD270" s="64">
        <f t="shared" si="173"/>
        <v>27.256887501063723</v>
      </c>
      <c r="AE270" s="61">
        <f t="shared" si="174"/>
        <v>-156.0417716169662</v>
      </c>
      <c r="AF270" s="31" t="str">
        <f t="shared" si="160"/>
        <v>-1.33333333333333E-06</v>
      </c>
      <c r="AG270" s="31" t="str">
        <f t="shared" si="161"/>
        <v>0.0208263875544657i</v>
      </c>
      <c r="AH270" s="31">
        <f t="shared" si="175"/>
        <v>2.0826387554465701E-2</v>
      </c>
      <c r="AI270" s="31">
        <f t="shared" si="176"/>
        <v>1.5707963267948966</v>
      </c>
      <c r="AJ270" s="31" t="str">
        <f t="shared" si="162"/>
        <v>1+0.0673427428480299i</v>
      </c>
      <c r="AK270" s="31">
        <f t="shared" si="177"/>
        <v>1.0022649574909301</v>
      </c>
      <c r="AL270" s="31">
        <f t="shared" si="178"/>
        <v>6.7241218166515349E-2</v>
      </c>
      <c r="AM270" s="31" t="str">
        <f t="shared" si="163"/>
        <v>1+67.410085590878i</v>
      </c>
      <c r="AN270" s="31">
        <f t="shared" si="179"/>
        <v>67.417502470571364</v>
      </c>
      <c r="AO270" s="31">
        <f t="shared" si="180"/>
        <v>1.5559628394013822</v>
      </c>
      <c r="AP270" s="58" t="str">
        <f t="shared" si="181"/>
        <v>-0.00429190894249011+0.000353050264790168i</v>
      </c>
      <c r="AQ270" s="49">
        <f t="shared" si="182"/>
        <v>-47.317701914833478</v>
      </c>
      <c r="AR270" s="61">
        <f t="shared" si="183"/>
        <v>175.2974657666314</v>
      </c>
      <c r="AS270" s="58" t="str">
        <f t="shared" si="184"/>
        <v>0.0937469509076287+0.0327483541223957i</v>
      </c>
      <c r="AT270" s="64">
        <f t="shared" si="185"/>
        <v>-20.060814413769748</v>
      </c>
      <c r="AU270" s="61">
        <f t="shared" si="186"/>
        <v>19.25569414966521</v>
      </c>
    </row>
    <row r="271" spans="14:47" x14ac:dyDescent="0.3">
      <c r="N271" s="10">
        <v>53</v>
      </c>
      <c r="O271" s="50">
        <f t="shared" si="187"/>
        <v>3388.4415613920314</v>
      </c>
      <c r="P271" s="48" t="str">
        <f t="shared" si="155"/>
        <v>51201.9230769231</v>
      </c>
      <c r="Q271" s="17" t="str">
        <f t="shared" si="156"/>
        <v>1+994.907714339298i</v>
      </c>
      <c r="R271" s="17">
        <f t="shared" si="164"/>
        <v>994.90821689834593</v>
      </c>
      <c r="S271" s="17">
        <f t="shared" si="165"/>
        <v>1.5697912087836146</v>
      </c>
      <c r="T271" s="17" t="str">
        <f t="shared" si="157"/>
        <v>1+6.38706186983254E-08i</v>
      </c>
      <c r="U271" s="17">
        <f t="shared" si="166"/>
        <v>1.000000000000002</v>
      </c>
      <c r="V271" s="17">
        <f t="shared" si="167"/>
        <v>6.3870618698325309E-8</v>
      </c>
      <c r="W271" s="31" t="str">
        <f t="shared" si="158"/>
        <v>1-0.0344901340970957i</v>
      </c>
      <c r="X271" s="17">
        <f t="shared" si="168"/>
        <v>1.0005946078957431</v>
      </c>
      <c r="Y271" s="17">
        <f t="shared" si="169"/>
        <v>-3.4476467714569428E-2</v>
      </c>
      <c r="Z271" s="31" t="str">
        <f t="shared" si="159"/>
        <v>0.995407385514012+2.10471233317969i</v>
      </c>
      <c r="AA271" s="17">
        <f t="shared" si="170"/>
        <v>2.328228912408429</v>
      </c>
      <c r="AB271" s="17">
        <f t="shared" si="171"/>
        <v>1.1290282684928896</v>
      </c>
      <c r="AC271" s="66" t="str">
        <f t="shared" si="172"/>
        <v>-20.2993923782831-8.78167397732309i</v>
      </c>
      <c r="AD271" s="64">
        <f t="shared" si="173"/>
        <v>26.894714704251783</v>
      </c>
      <c r="AE271" s="61">
        <f t="shared" si="174"/>
        <v>-156.60631814869359</v>
      </c>
      <c r="AF271" s="31" t="str">
        <f t="shared" si="160"/>
        <v>-1.33333333333333E-06</v>
      </c>
      <c r="AG271" s="31" t="str">
        <f t="shared" si="161"/>
        <v>0.0213114964390079i</v>
      </c>
      <c r="AH271" s="31">
        <f t="shared" si="175"/>
        <v>2.1311496439007899E-2</v>
      </c>
      <c r="AI271" s="31">
        <f t="shared" si="176"/>
        <v>1.5707963267948966</v>
      </c>
      <c r="AJ271" s="31" t="str">
        <f t="shared" si="162"/>
        <v>1+0.0689113568373539i</v>
      </c>
      <c r="AK271" s="31">
        <f t="shared" si="177"/>
        <v>1.002371575365725</v>
      </c>
      <c r="AL271" s="31">
        <f t="shared" si="178"/>
        <v>6.88025850772922E-2</v>
      </c>
      <c r="AM271" s="31" t="str">
        <f t="shared" si="163"/>
        <v>1+68.9802681941913i</v>
      </c>
      <c r="AN271" s="31">
        <f t="shared" si="179"/>
        <v>68.987516263035303</v>
      </c>
      <c r="AO271" s="31">
        <f t="shared" si="180"/>
        <v>1.5563004429480221</v>
      </c>
      <c r="AP271" s="58" t="str">
        <f t="shared" si="181"/>
        <v>-0.00429099596792986+0.00035826239516248i</v>
      </c>
      <c r="AQ271" s="49">
        <f t="shared" si="182"/>
        <v>-47.318668849633163</v>
      </c>
      <c r="AR271" s="61">
        <f t="shared" si="183"/>
        <v>175.2273492907436</v>
      </c>
      <c r="AS271" s="58" t="str">
        <f t="shared" si="184"/>
        <v>0.0902507543992907+0.0304096186945813i</v>
      </c>
      <c r="AT271" s="64">
        <f t="shared" si="185"/>
        <v>-20.423954145381384</v>
      </c>
      <c r="AU271" s="61">
        <f t="shared" si="186"/>
        <v>18.621031142050036</v>
      </c>
    </row>
    <row r="272" spans="14:47" x14ac:dyDescent="0.3">
      <c r="N272" s="10">
        <v>54</v>
      </c>
      <c r="O272" s="50">
        <f t="shared" si="187"/>
        <v>3467.3685045253224</v>
      </c>
      <c r="P272" s="48" t="str">
        <f t="shared" si="155"/>
        <v>51201.9230769231</v>
      </c>
      <c r="Q272" s="17" t="str">
        <f t="shared" si="156"/>
        <v>1+1018.08209204947i</v>
      </c>
      <c r="R272" s="17">
        <f t="shared" si="164"/>
        <v>1018.0825831688829</v>
      </c>
      <c r="S272" s="17">
        <f t="shared" si="165"/>
        <v>1.5698140880479314</v>
      </c>
      <c r="T272" s="17" t="str">
        <f t="shared" si="157"/>
        <v>1+6.53583565266325E-08i</v>
      </c>
      <c r="U272" s="17">
        <f t="shared" si="166"/>
        <v>1.0000000000000022</v>
      </c>
      <c r="V272" s="17">
        <f t="shared" si="167"/>
        <v>6.5358356526632401E-8</v>
      </c>
      <c r="W272" s="31" t="str">
        <f t="shared" si="158"/>
        <v>1-0.0352935125243815i</v>
      </c>
      <c r="X272" s="17">
        <f t="shared" si="168"/>
        <v>1.0006226221839623</v>
      </c>
      <c r="Y272" s="17">
        <f t="shared" si="169"/>
        <v>-3.5278869223749294E-2</v>
      </c>
      <c r="Z272" s="31" t="str">
        <f t="shared" si="159"/>
        <v>0.99519094226153+2.15373738130965i</v>
      </c>
      <c r="AA272" s="17">
        <f t="shared" si="170"/>
        <v>2.3725492026952657</v>
      </c>
      <c r="AB272" s="17">
        <f t="shared" si="171"/>
        <v>1.1379452754066886</v>
      </c>
      <c r="AC272" s="66" t="str">
        <f t="shared" si="172"/>
        <v>-19.5484186434321-8.23165050754139i</v>
      </c>
      <c r="AD272" s="64">
        <f t="shared" si="173"/>
        <v>26.531167089807358</v>
      </c>
      <c r="AE272" s="61">
        <f t="shared" si="174"/>
        <v>-157.16451003073684</v>
      </c>
      <c r="AF272" s="31" t="str">
        <f t="shared" si="160"/>
        <v>-1.33333333333333E-06</v>
      </c>
      <c r="AG272" s="31" t="str">
        <f t="shared" si="161"/>
        <v>0.021807904961053i</v>
      </c>
      <c r="AH272" s="31">
        <f t="shared" si="175"/>
        <v>2.1807904961053001E-2</v>
      </c>
      <c r="AI272" s="31">
        <f t="shared" si="176"/>
        <v>1.5707963267948966</v>
      </c>
      <c r="AJ272" s="31" t="str">
        <f t="shared" si="162"/>
        <v>1+0.0705165085402227i</v>
      </c>
      <c r="AK272" s="31">
        <f t="shared" si="177"/>
        <v>1.0024832058327477</v>
      </c>
      <c r="AL272" s="31">
        <f t="shared" si="178"/>
        <v>7.0399973086325424E-2</v>
      </c>
      <c r="AM272" s="31" t="str">
        <f t="shared" si="163"/>
        <v>1+70.587025048763i</v>
      </c>
      <c r="AN272" s="31">
        <f t="shared" si="179"/>
        <v>70.594108148164139</v>
      </c>
      <c r="AO272" s="31">
        <f t="shared" si="180"/>
        <v>1.5566303648929449</v>
      </c>
      <c r="AP272" s="58" t="str">
        <f t="shared" si="181"/>
        <v>-0.00429004038241679+0.000363658578655915i</v>
      </c>
      <c r="AQ272" s="49">
        <f t="shared" si="182"/>
        <v>-47.319677182073072</v>
      </c>
      <c r="AR272" s="61">
        <f t="shared" si="183"/>
        <v>175.15472883459404</v>
      </c>
      <c r="AS272" s="58" t="str">
        <f t="shared" si="184"/>
        <v>0.0868570157162777+0.0282051629524529i</v>
      </c>
      <c r="AT272" s="64">
        <f t="shared" si="185"/>
        <v>-20.788510092265717</v>
      </c>
      <c r="AU272" s="61">
        <f t="shared" si="186"/>
        <v>17.990218803857164</v>
      </c>
    </row>
    <row r="273" spans="14:47" x14ac:dyDescent="0.3">
      <c r="N273" s="10">
        <v>55</v>
      </c>
      <c r="O273" s="50">
        <f t="shared" si="187"/>
        <v>3548.1338923357539</v>
      </c>
      <c r="P273" s="48" t="str">
        <f t="shared" si="155"/>
        <v>51201.9230769231</v>
      </c>
      <c r="Q273" s="17" t="str">
        <f t="shared" si="156"/>
        <v>1+1041.79627036074i</v>
      </c>
      <c r="R273" s="17">
        <f t="shared" si="164"/>
        <v>1041.7967503009154</v>
      </c>
      <c r="S273" s="17">
        <f t="shared" si="165"/>
        <v>1.5698364465176038</v>
      </c>
      <c r="T273" s="17" t="str">
        <f t="shared" si="157"/>
        <v>1+6.68807482206898E-08i</v>
      </c>
      <c r="U273" s="17">
        <f t="shared" si="166"/>
        <v>1.0000000000000022</v>
      </c>
      <c r="V273" s="17">
        <f t="shared" si="167"/>
        <v>6.6880748220689697E-8</v>
      </c>
      <c r="W273" s="31" t="str">
        <f t="shared" si="158"/>
        <v>1-0.0361156040391724i</v>
      </c>
      <c r="X273" s="17">
        <f t="shared" si="168"/>
        <v>1.0006519559043066</v>
      </c>
      <c r="Y273" s="17">
        <f t="shared" si="169"/>
        <v>-3.6099914011927352E-2</v>
      </c>
      <c r="Z273" s="31" t="str">
        <f t="shared" si="159"/>
        <v>0.994964298352823+2.20390436950726i</v>
      </c>
      <c r="AA273" s="17">
        <f t="shared" si="170"/>
        <v>2.4180877620404764</v>
      </c>
      <c r="AB273" s="17">
        <f t="shared" si="171"/>
        <v>1.1467328350489387</v>
      </c>
      <c r="AC273" s="66" t="str">
        <f t="shared" si="172"/>
        <v>-18.8193740613326-7.71212506994684i</v>
      </c>
      <c r="AD273" s="64">
        <f t="shared" si="173"/>
        <v>26.166285278466749</v>
      </c>
      <c r="AE273" s="61">
        <f t="shared" si="174"/>
        <v>-157.71632347033304</v>
      </c>
      <c r="AF273" s="31" t="str">
        <f t="shared" si="160"/>
        <v>-1.33333333333333E-06</v>
      </c>
      <c r="AG273" s="31" t="str">
        <f t="shared" si="161"/>
        <v>0.0223158763229702i</v>
      </c>
      <c r="AH273" s="31">
        <f t="shared" si="175"/>
        <v>2.2315876322970201E-2</v>
      </c>
      <c r="AI273" s="31">
        <f t="shared" si="176"/>
        <v>1.5707963267948966</v>
      </c>
      <c r="AJ273" s="31" t="str">
        <f t="shared" si="162"/>
        <v>1+0.0721590490293155i</v>
      </c>
      <c r="AK273" s="31">
        <f t="shared" si="177"/>
        <v>1.0026000839601079</v>
      </c>
      <c r="AL273" s="31">
        <f t="shared" si="178"/>
        <v>7.2034196523782984E-2</v>
      </c>
      <c r="AM273" s="31" t="str">
        <f t="shared" si="163"/>
        <v>1+72.2312080783449i</v>
      </c>
      <c r="AN273" s="31">
        <f t="shared" si="179"/>
        <v>72.238129962348538</v>
      </c>
      <c r="AO273" s="31">
        <f t="shared" si="180"/>
        <v>1.5569527798776763</v>
      </c>
      <c r="AP273" s="58" t="str">
        <f t="shared" si="181"/>
        <v>-0.00428904021760896+0.000369241258494216i</v>
      </c>
      <c r="AQ273" s="49">
        <f t="shared" si="182"/>
        <v>-47.320729021210099</v>
      </c>
      <c r="AR273" s="61">
        <f t="shared" si="183"/>
        <v>175.07956774672323</v>
      </c>
      <c r="AS273" s="58" t="str">
        <f t="shared" si="184"/>
        <v>0.0835646869857744+0.0261287252257525i</v>
      </c>
      <c r="AT273" s="64">
        <f t="shared" si="185"/>
        <v>-21.154443742743346</v>
      </c>
      <c r="AU273" s="61">
        <f t="shared" si="186"/>
        <v>17.363244276390201</v>
      </c>
    </row>
    <row r="274" spans="14:47" x14ac:dyDescent="0.3">
      <c r="N274" s="10">
        <v>56</v>
      </c>
      <c r="O274" s="50">
        <f t="shared" si="187"/>
        <v>3630.7805477010188</v>
      </c>
      <c r="P274" s="48" t="str">
        <f t="shared" si="155"/>
        <v>51201.9230769231</v>
      </c>
      <c r="Q274" s="17" t="str">
        <f t="shared" si="156"/>
        <v>1+1066.06282284438i</v>
      </c>
      <c r="R274" s="17">
        <f t="shared" si="164"/>
        <v>1066.063291859788</v>
      </c>
      <c r="S274" s="17">
        <f t="shared" si="165"/>
        <v>1.5698582960472984</v>
      </c>
      <c r="T274" s="17" t="str">
        <f t="shared" si="157"/>
        <v>1+6.84386009727256E-08i</v>
      </c>
      <c r="U274" s="17">
        <f t="shared" si="166"/>
        <v>1.0000000000000022</v>
      </c>
      <c r="V274" s="17">
        <f t="shared" si="167"/>
        <v>6.843860097272549E-8</v>
      </c>
      <c r="W274" s="31" t="str">
        <f t="shared" si="158"/>
        <v>1-0.0369568445252718i</v>
      </c>
      <c r="X274" s="17">
        <f t="shared" si="168"/>
        <v>1.0006826711586772</v>
      </c>
      <c r="Y274" s="17">
        <f t="shared" si="169"/>
        <v>-3.6940032977564007E-2</v>
      </c>
      <c r="Z274" s="31" t="str">
        <f t="shared" si="159"/>
        <v>0.994726973045774+2.25523989697372i</v>
      </c>
      <c r="AA274" s="17">
        <f t="shared" si="170"/>
        <v>2.4648709385699776</v>
      </c>
      <c r="AB274" s="17">
        <f t="shared" si="171"/>
        <v>1.1553902729043939</v>
      </c>
      <c r="AC274" s="66" t="str">
        <f t="shared" si="172"/>
        <v>-18.1120521205531-7.22167264664385i</v>
      </c>
      <c r="AD274" s="64">
        <f t="shared" si="173"/>
        <v>25.800109563506645</v>
      </c>
      <c r="AE274" s="61">
        <f t="shared" si="174"/>
        <v>-158.26174518844473</v>
      </c>
      <c r="AF274" s="31" t="str">
        <f t="shared" si="160"/>
        <v>-1.33333333333333E-06</v>
      </c>
      <c r="AG274" s="31" t="str">
        <f t="shared" si="161"/>
        <v>0.0228356798578994i</v>
      </c>
      <c r="AH274" s="31">
        <f t="shared" si="175"/>
        <v>2.2835679857899398E-2</v>
      </c>
      <c r="AI274" s="31">
        <f t="shared" si="176"/>
        <v>1.5707963267948966</v>
      </c>
      <c r="AJ274" s="31" t="str">
        <f t="shared" si="162"/>
        <v>1+0.0738398492013421i</v>
      </c>
      <c r="AK274" s="31">
        <f t="shared" si="177"/>
        <v>1.0027224557822951</v>
      </c>
      <c r="AL274" s="31">
        <f t="shared" si="178"/>
        <v>7.3706086940986751E-2</v>
      </c>
      <c r="AM274" s="31" t="str">
        <f t="shared" si="163"/>
        <v>1+73.9136890505435i</v>
      </c>
      <c r="AN274" s="31">
        <f t="shared" si="179"/>
        <v>73.920453387817048</v>
      </c>
      <c r="AO274" s="31">
        <f t="shared" si="180"/>
        <v>1.5572678585826309</v>
      </c>
      <c r="AP274" s="58" t="str">
        <f t="shared" si="181"/>
        <v>-0.0042879934161992+0.000375012947407232i</v>
      </c>
      <c r="AQ274" s="49">
        <f t="shared" si="182"/>
        <v>-47.321826565543958</v>
      </c>
      <c r="AR274" s="61">
        <f t="shared" si="183"/>
        <v>175.0018281620174</v>
      </c>
      <c r="AS274" s="58" t="str">
        <f t="shared" si="184"/>
        <v>0.0803725809912165+0.0241742307134327i</v>
      </c>
      <c r="AT274" s="64">
        <f t="shared" si="185"/>
        <v>-21.52171700203731</v>
      </c>
      <c r="AU274" s="61">
        <f t="shared" si="186"/>
        <v>16.740082973572701</v>
      </c>
    </row>
    <row r="275" spans="14:47" x14ac:dyDescent="0.3">
      <c r="N275" s="10">
        <v>57</v>
      </c>
      <c r="O275" s="50">
        <f t="shared" si="187"/>
        <v>3715.352290971724</v>
      </c>
      <c r="P275" s="48" t="str">
        <f t="shared" ref="P275:P338" si="188">COMPLEX(Adc,0)</f>
        <v>51201.9230769231</v>
      </c>
      <c r="Q275" s="17" t="str">
        <f t="shared" ref="Q275:Q338" si="189">IMSUM(COMPLEX(1,0),IMDIV(COMPLEX(0,2*PI()*O275),COMPLEX(wp_lf,0)))</f>
        <v>1+1090.89461594769i</v>
      </c>
      <c r="R275" s="17">
        <f t="shared" si="164"/>
        <v>1090.8950742870086</v>
      </c>
      <c r="S275" s="17">
        <f t="shared" si="165"/>
        <v>1.5698796482218418</v>
      </c>
      <c r="T275" s="17" t="str">
        <f t="shared" ref="T275:T338" si="190">IMSUM(COMPLEX(1,0),IMDIV(COMPLEX(0,2*PI()*O275),COMPLEX(wz_esr,0)))</f>
        <v>1+7.00327407768889E-08i</v>
      </c>
      <c r="U275" s="17">
        <f t="shared" si="166"/>
        <v>1.0000000000000024</v>
      </c>
      <c r="V275" s="17">
        <f t="shared" si="167"/>
        <v>7.0032740776888785E-8</v>
      </c>
      <c r="W275" s="31" t="str">
        <f t="shared" ref="W275:W338" si="191">IMSUB(COMPLEX(1,0),IMDIV(COMPLEX(0,2*PI()*O275),COMPLEX(wz_rhp,0)))</f>
        <v>1-0.0378176800195199i</v>
      </c>
      <c r="X275" s="17">
        <f t="shared" si="168"/>
        <v>1.0007148329679434</v>
      </c>
      <c r="Y275" s="17">
        <f t="shared" si="169"/>
        <v>-3.7799666816499052E-2</v>
      </c>
      <c r="Z275" s="31" t="str">
        <f t="shared" ref="Z275:Z338" si="192">IMSUM(COMPLEX(1,0),IMDIV(COMPLEX(0,2*PI()*O275),COMPLEX(Q*(wsl/2),0)),IMDIV(IMPOWER(COMPLEX(0,2*PI()*O275),2),IMPOWER(COMPLEX(wsl/2,0),2)))</f>
        <v>0.994478462941588+2.30777118248518i</v>
      </c>
      <c r="AA275" s="17">
        <f t="shared" si="170"/>
        <v>2.5129256343878761</v>
      </c>
      <c r="AB275" s="17">
        <f t="shared" si="171"/>
        <v>1.1639170823826952</v>
      </c>
      <c r="AC275" s="66" t="str">
        <f t="shared" si="172"/>
        <v>-17.4262136315072-6.75891266342424i</v>
      </c>
      <c r="AD275" s="64">
        <f t="shared" si="173"/>
        <v>25.432679850537802</v>
      </c>
      <c r="AE275" s="61">
        <f t="shared" si="174"/>
        <v>-158.80077207330848</v>
      </c>
      <c r="AF275" s="31" t="str">
        <f t="shared" ref="AF275:AF338" si="193">COMPLEX(Adc_ea,0)</f>
        <v>-1.33333333333333E-06</v>
      </c>
      <c r="AG275" s="31" t="str">
        <f t="shared" ref="AG275:AG338" si="194">COMPLEX(0,2*PI()*O275*wp0_ea)</f>
        <v>0.0233675911725552i</v>
      </c>
      <c r="AH275" s="31">
        <f t="shared" si="175"/>
        <v>2.3367591172555199E-2</v>
      </c>
      <c r="AI275" s="31">
        <f t="shared" si="176"/>
        <v>1.5707963267948966</v>
      </c>
      <c r="AJ275" s="31" t="str">
        <f t="shared" ref="AJ275:AJ338" si="195">IMSUM(COMPLEX(1,0),IMDIV(COMPLEX(0,2*PI()*O275),COMPLEX(wp1_ea,0)))</f>
        <v>1+0.075559800238801i</v>
      </c>
      <c r="AK275" s="31">
        <f t="shared" si="177"/>
        <v>1.0028505788062982</v>
      </c>
      <c r="AL275" s="31">
        <f t="shared" si="178"/>
        <v>7.5416493389030004E-2</v>
      </c>
      <c r="AM275" s="31" t="str">
        <f t="shared" ref="AM275:AM338" si="196">IMSUM(COMPLEX(1,0),IMDIV(COMPLEX(0,2*PI()*O275),COMPLEX(wz_ea,0)))</f>
        <v>1+75.6353600390399i</v>
      </c>
      <c r="AN275" s="31">
        <f t="shared" si="179"/>
        <v>75.641970414811325</v>
      </c>
      <c r="AO275" s="31">
        <f t="shared" si="180"/>
        <v>1.5575757678163304</v>
      </c>
      <c r="AP275" s="58" t="str">
        <f t="shared" si="181"/>
        <v>-0.00428689782808222+0.000380976226923831i</v>
      </c>
      <c r="AQ275" s="49">
        <f t="shared" si="182"/>
        <v>-47.322972107408631</v>
      </c>
      <c r="AR275" s="61">
        <f t="shared" si="183"/>
        <v>174.9214709908567</v>
      </c>
      <c r="AS275" s="58" t="str">
        <f t="shared" si="184"/>
        <v>0.0772793824132241+0.0223357948981305i</v>
      </c>
      <c r="AT275" s="64">
        <f t="shared" si="185"/>
        <v>-21.890292256870833</v>
      </c>
      <c r="AU275" s="61">
        <f t="shared" si="186"/>
        <v>16.120698917548189</v>
      </c>
    </row>
    <row r="276" spans="14:47" x14ac:dyDescent="0.3">
      <c r="N276" s="10">
        <v>58</v>
      </c>
      <c r="O276" s="50">
        <f t="shared" si="187"/>
        <v>3801.8939632056172</v>
      </c>
      <c r="P276" s="48" t="str">
        <f t="shared" si="188"/>
        <v>51201.9230769231</v>
      </c>
      <c r="Q276" s="17" t="str">
        <f t="shared" si="189"/>
        <v>1+1116.30481581608i</v>
      </c>
      <c r="R276" s="17">
        <f t="shared" ref="R276:R339" si="197">IMABS(Q276)</f>
        <v>1116.3052637223261</v>
      </c>
      <c r="S276" s="17">
        <f t="shared" ref="S276:S339" si="198">IMARGUMENT(Q276)</f>
        <v>1.5699005143623617</v>
      </c>
      <c r="T276" s="17" t="str">
        <f t="shared" si="190"/>
        <v>1+7.1664012867205E-08i</v>
      </c>
      <c r="U276" s="17">
        <f t="shared" ref="U276:U339" si="199">IMABS(T276)</f>
        <v>1.0000000000000027</v>
      </c>
      <c r="V276" s="17">
        <f t="shared" ref="V276:V339" si="200">IMARGUMENT(T276)</f>
        <v>7.1664012867204881E-8</v>
      </c>
      <c r="W276" s="31" t="str">
        <f t="shared" si="191"/>
        <v>1-0.0386985669482906i</v>
      </c>
      <c r="X276" s="17">
        <f t="shared" ref="X276:X339" si="201">IMABS(W276)</f>
        <v>1.0007485094087583</v>
      </c>
      <c r="Y276" s="17">
        <f t="shared" ref="Y276:Y339" si="202">IMARGUMENT(W276)</f>
        <v>-3.8679266233120797E-2</v>
      </c>
      <c r="Z276" s="31" t="str">
        <f t="shared" si="192"/>
        <v>0.994218240917016+2.36152607882455i</v>
      </c>
      <c r="AA276" s="17">
        <f t="shared" ref="AA276:AA339" si="203">IMABS(Z276)</f>
        <v>2.5622793234814547</v>
      </c>
      <c r="AB276" s="17">
        <f t="shared" ref="AB276:AB339" si="204">IMARGUMENT(Z276)</f>
        <v>1.1723129183521497</v>
      </c>
      <c r="AC276" s="66" t="str">
        <f t="shared" ref="AC276:AC339" si="205">(IMDIV(IMPRODUCT(P276,T276,W276),IMPRODUCT(Q276,Z276)))</f>
        <v>-16.7615894425387-6.32250954999687i</v>
      </c>
      <c r="AD276" s="64">
        <f t="shared" ref="AD276:AD339" si="206">20*LOG(IMABS(AC276))</f>
        <v>25.06403560228096</v>
      </c>
      <c r="AE276" s="61">
        <f t="shared" ref="AE276:AE339" si="207">(180/PI())*IMARGUMENT(AC276)</f>
        <v>-159.33341082239852</v>
      </c>
      <c r="AF276" s="31" t="str">
        <f t="shared" si="193"/>
        <v>-1.33333333333333E-06</v>
      </c>
      <c r="AG276" s="31" t="str">
        <f t="shared" si="194"/>
        <v>0.0239118922933574i</v>
      </c>
      <c r="AH276" s="31">
        <f t="shared" ref="AH276:AH339" si="208">IMABS(AG276)</f>
        <v>2.3911892293357401E-2</v>
      </c>
      <c r="AI276" s="31">
        <f t="shared" ref="AI276:AI339" si="209">IMARGUMENT(AG276)</f>
        <v>1.5707963267948966</v>
      </c>
      <c r="AJ276" s="31" t="str">
        <f t="shared" si="195"/>
        <v>1+0.0773198140824987i</v>
      </c>
      <c r="AK276" s="31">
        <f t="shared" ref="AK276:AK339" si="210">IMABS(AJ276)</f>
        <v>1.0029847225405542</v>
      </c>
      <c r="AL276" s="31">
        <f t="shared" ref="AL276:AL339" si="211">IMARGUMENT(AJ276)</f>
        <v>7.7166282695421515E-2</v>
      </c>
      <c r="AM276" s="31" t="str">
        <f t="shared" si="196"/>
        <v>1+77.3971338965813i</v>
      </c>
      <c r="AN276" s="31">
        <f t="shared" ref="AN276:AN339" si="212">IMABS(AM276)</f>
        <v>77.403593814533792</v>
      </c>
      <c r="AO276" s="31">
        <f t="shared" ref="AO276:AO339" si="213">IMARGUMENT(AM276)</f>
        <v>1.5578766706026539</v>
      </c>
      <c r="AP276" s="58" t="str">
        <f t="shared" ref="AP276:AP339" si="214">IMPRODUCT(AF276,IMDIV(AM276,IMPRODUCT(AG276,AJ276)))</f>
        <v>-0.00428575120637499+0.000387133746562883i</v>
      </c>
      <c r="AQ276" s="49">
        <f t="shared" ref="AQ276:AQ339" si="215">20*LOG(IMABS(AP276))</f>
        <v>-47.32416803753695</v>
      </c>
      <c r="AR276" s="61">
        <f t="shared" ref="AR276:AR339" si="216">(180/PI())*IMARGUMENT(AP276)</f>
        <v>174.83845590826337</v>
      </c>
      <c r="AS276" s="58" t="str">
        <f t="shared" ref="AS276:AS339" si="217">IMPRODUCT(AC276,AP276)</f>
        <v>0.0742836589838924+0.0206077260119776i</v>
      </c>
      <c r="AT276" s="64">
        <f t="shared" ref="AT276:AT339" si="218">20*LOG(IMABS(AS276))</f>
        <v>-22.260132435255993</v>
      </c>
      <c r="AU276" s="61">
        <f t="shared" ref="AU276:AU339" si="219">(180/PI())*IMARGUMENT(AS276)</f>
        <v>15.505045085864841</v>
      </c>
    </row>
    <row r="277" spans="14:47" x14ac:dyDescent="0.3">
      <c r="N277" s="10">
        <v>59</v>
      </c>
      <c r="O277" s="50">
        <f t="shared" si="187"/>
        <v>3890.451449942811</v>
      </c>
      <c r="P277" s="48" t="str">
        <f t="shared" si="188"/>
        <v>51201.9230769231</v>
      </c>
      <c r="Q277" s="17" t="str">
        <f t="shared" si="189"/>
        <v>1+1142.30689527385i</v>
      </c>
      <c r="R277" s="17">
        <f t="shared" si="197"/>
        <v>1142.307332984509</v>
      </c>
      <c r="S277" s="17">
        <f t="shared" si="198"/>
        <v>1.5699209055322891</v>
      </c>
      <c r="T277" s="17" t="str">
        <f t="shared" si="190"/>
        <v>1+7.33332821657287E-08i</v>
      </c>
      <c r="U277" s="17">
        <f t="shared" si="199"/>
        <v>1.0000000000000027</v>
      </c>
      <c r="V277" s="17">
        <f t="shared" si="200"/>
        <v>7.3333282165728563E-8</v>
      </c>
      <c r="W277" s="31" t="str">
        <f t="shared" si="191"/>
        <v>1-0.0395999723694934i</v>
      </c>
      <c r="X277" s="17">
        <f t="shared" si="201"/>
        <v>1.0007837717567489</v>
      </c>
      <c r="Y277" s="17">
        <f t="shared" si="202"/>
        <v>-3.9579292155241724E-2</v>
      </c>
      <c r="Z277" s="31" t="str">
        <f t="shared" si="192"/>
        <v>0.993945755006255+2.41653308754941i</v>
      </c>
      <c r="AA277" s="17">
        <f t="shared" si="203"/>
        <v>2.6129600699429067</v>
      </c>
      <c r="AB277" s="17">
        <f t="shared" si="204"/>
        <v>1.1805775905137552</v>
      </c>
      <c r="AC277" s="66" t="str">
        <f t="shared" si="205"/>
        <v>-16.1178831129903-5.91117309291083i</v>
      </c>
      <c r="AD277" s="64">
        <f t="shared" si="206"/>
        <v>24.694215788268167</v>
      </c>
      <c r="AE277" s="61">
        <f t="shared" si="207"/>
        <v>-159.85967757544168</v>
      </c>
      <c r="AF277" s="31" t="str">
        <f t="shared" si="193"/>
        <v>-1.33333333333333E-06</v>
      </c>
      <c r="AG277" s="31" t="str">
        <f t="shared" si="194"/>
        <v>0.0244688718159648i</v>
      </c>
      <c r="AH277" s="31">
        <f t="shared" si="208"/>
        <v>2.4468871815964799E-2</v>
      </c>
      <c r="AI277" s="31">
        <f t="shared" si="209"/>
        <v>1.5707963267948966</v>
      </c>
      <c r="AJ277" s="31" t="str">
        <f t="shared" si="195"/>
        <v>1+0.0791208239150717i</v>
      </c>
      <c r="AK277" s="31">
        <f t="shared" si="210"/>
        <v>1.0031251690477114</v>
      </c>
      <c r="AL277" s="31">
        <f t="shared" si="211"/>
        <v>7.8956339738130724E-2</v>
      </c>
      <c r="AM277" s="31" t="str">
        <f t="shared" si="196"/>
        <v>1+79.1999447389869i</v>
      </c>
      <c r="AN277" s="31">
        <f t="shared" si="212"/>
        <v>79.206257623110673</v>
      </c>
      <c r="AO277" s="31">
        <f t="shared" si="213"/>
        <v>1.5581707262661606</v>
      </c>
      <c r="AP277" s="58" t="str">
        <f t="shared" si="214"/>
        <v>-0.00428455120328656+0.000393488222912772i</v>
      </c>
      <c r="AQ277" s="49">
        <f t="shared" si="215"/>
        <v>-47.325416849805393</v>
      </c>
      <c r="AR277" s="61">
        <f t="shared" si="216"/>
        <v>174.75274134308933</v>
      </c>
      <c r="AS277" s="58" t="str">
        <f t="shared" si="217"/>
        <v>0.071383872481854+0.0189845266048199i</v>
      </c>
      <c r="AT277" s="64">
        <f t="shared" si="218"/>
        <v>-22.631201061537219</v>
      </c>
      <c r="AU277" s="61">
        <f t="shared" si="219"/>
        <v>14.893063767647654</v>
      </c>
    </row>
    <row r="278" spans="14:47" x14ac:dyDescent="0.3">
      <c r="N278" s="10">
        <v>60</v>
      </c>
      <c r="O278" s="50">
        <f t="shared" si="187"/>
        <v>3981.0717055349769</v>
      </c>
      <c r="P278" s="48" t="str">
        <f t="shared" si="188"/>
        <v>51201.9230769231</v>
      </c>
      <c r="Q278" s="17" t="str">
        <f t="shared" si="189"/>
        <v>1+1168.91464096771i</v>
      </c>
      <c r="R278" s="17">
        <f t="shared" si="197"/>
        <v>1168.9150687148619</v>
      </c>
      <c r="S278" s="17">
        <f t="shared" si="198"/>
        <v>1.5699408325432245</v>
      </c>
      <c r="T278" s="17" t="str">
        <f t="shared" si="190"/>
        <v>1+7.50414337411372E-08i</v>
      </c>
      <c r="U278" s="17">
        <f t="shared" si="199"/>
        <v>1.0000000000000027</v>
      </c>
      <c r="V278" s="17">
        <f t="shared" si="200"/>
        <v>7.5041433741137059E-8</v>
      </c>
      <c r="W278" s="31" t="str">
        <f t="shared" si="191"/>
        <v>1-0.040522374220214i</v>
      </c>
      <c r="X278" s="17">
        <f t="shared" si="201"/>
        <v>1.0008206946363785</v>
      </c>
      <c r="Y278" s="17">
        <f t="shared" si="202"/>
        <v>-4.0500215952687789E-2</v>
      </c>
      <c r="Z278" s="31" t="str">
        <f t="shared" si="192"/>
        <v>0.993660427230156+2.47282137410388i</v>
      </c>
      <c r="AA278" s="17">
        <f t="shared" si="203"/>
        <v>2.6649965465021181</v>
      </c>
      <c r="AB278" s="17">
        <f t="shared" si="204"/>
        <v>1.188711056658923</v>
      </c>
      <c r="AC278" s="66" t="str">
        <f t="shared" si="205"/>
        <v>-15.4947735286479-5.52365859382378i</v>
      </c>
      <c r="AD278" s="64">
        <f t="shared" si="206"/>
        <v>24.323258839379449</v>
      </c>
      <c r="AE278" s="61">
        <f t="shared" si="207"/>
        <v>-160.37959754097429</v>
      </c>
      <c r="AF278" s="31" t="str">
        <f t="shared" si="193"/>
        <v>-1.33333333333333E-06</v>
      </c>
      <c r="AG278" s="31" t="str">
        <f t="shared" si="194"/>
        <v>0.0250388250582928i</v>
      </c>
      <c r="AH278" s="31">
        <f t="shared" si="208"/>
        <v>2.5038825058292798E-2</v>
      </c>
      <c r="AI278" s="31">
        <f t="shared" si="209"/>
        <v>1.5707963267948966</v>
      </c>
      <c r="AJ278" s="31" t="str">
        <f t="shared" si="195"/>
        <v>1+0.0809637846557722i</v>
      </c>
      <c r="AK278" s="31">
        <f t="shared" si="210"/>
        <v>1.0032722135222256</v>
      </c>
      <c r="AL278" s="31">
        <f t="shared" si="211"/>
        <v>8.0787567716370606E-2</v>
      </c>
      <c r="AM278" s="31" t="str">
        <f t="shared" si="196"/>
        <v>1+81.0447484404281i</v>
      </c>
      <c r="AN278" s="31">
        <f t="shared" si="212"/>
        <v>81.050917636830448</v>
      </c>
      <c r="AO278" s="31">
        <f t="shared" si="213"/>
        <v>1.5584580905155259</v>
      </c>
      <c r="AP278" s="58" t="str">
        <f t="shared" si="214"/>
        <v>-0.00428329536583318+0.000400042438589439i</v>
      </c>
      <c r="AQ278" s="49">
        <f t="shared" si="215"/>
        <v>-47.326721146167621</v>
      </c>
      <c r="AR278" s="61">
        <f t="shared" si="216"/>
        <v>174.66428446728148</v>
      </c>
      <c r="AS278" s="58" t="str">
        <f t="shared" si="217"/>
        <v>0.0685783895037009+0.0174608942695786i</v>
      </c>
      <c r="AT278" s="64">
        <f t="shared" si="218"/>
        <v>-23.003462306788187</v>
      </c>
      <c r="AU278" s="61">
        <f t="shared" si="219"/>
        <v>14.284686926307192</v>
      </c>
    </row>
    <row r="279" spans="14:47" x14ac:dyDescent="0.3">
      <c r="N279" s="10">
        <v>61</v>
      </c>
      <c r="O279" s="50">
        <f t="shared" si="187"/>
        <v>4073.8027780411317</v>
      </c>
      <c r="P279" s="48" t="str">
        <f t="shared" si="188"/>
        <v>51201.9230769231</v>
      </c>
      <c r="Q279" s="17" t="str">
        <f t="shared" si="189"/>
        <v>1+1196.14216067664i</v>
      </c>
      <c r="R279" s="17">
        <f t="shared" si="197"/>
        <v>1196.1425786870816</v>
      </c>
      <c r="S279" s="17">
        <f t="shared" si="198"/>
        <v>1.5699603059606695</v>
      </c>
      <c r="T279" s="17" t="str">
        <f t="shared" si="190"/>
        <v>1+7.67893732780063E-08i</v>
      </c>
      <c r="U279" s="17">
        <f t="shared" si="199"/>
        <v>1.0000000000000031</v>
      </c>
      <c r="V279" s="17">
        <f t="shared" si="200"/>
        <v>7.6789373278006156E-8</v>
      </c>
      <c r="W279" s="31" t="str">
        <f t="shared" si="191"/>
        <v>1-0.0414662615701233i</v>
      </c>
      <c r="X279" s="17">
        <f t="shared" si="201"/>
        <v>1.0008593561777808</v>
      </c>
      <c r="Y279" s="17">
        <f t="shared" si="202"/>
        <v>-4.1442519659594834E-2</v>
      </c>
      <c r="Z279" s="31" t="str">
        <f t="shared" si="192"/>
        <v>0.99336165237025+2.53042078328257i</v>
      </c>
      <c r="AA279" s="17">
        <f t="shared" si="203"/>
        <v>2.718418053366356</v>
      </c>
      <c r="AB279" s="17">
        <f t="shared" si="204"/>
        <v>1.1967134158516186</v>
      </c>
      <c r="AC279" s="66" t="str">
        <f t="shared" si="205"/>
        <v>-14.8919174468191-5.15876684638825i</v>
      </c>
      <c r="AD279" s="64">
        <f t="shared" si="206"/>
        <v>23.951202607101699</v>
      </c>
      <c r="AE279" s="61">
        <f t="shared" si="207"/>
        <v>-160.89320461877145</v>
      </c>
      <c r="AF279" s="31" t="str">
        <f t="shared" si="193"/>
        <v>-1.33333333333333E-06</v>
      </c>
      <c r="AG279" s="31" t="str">
        <f t="shared" si="194"/>
        <v>0.0256220542170948i</v>
      </c>
      <c r="AH279" s="31">
        <f t="shared" si="208"/>
        <v>2.5622054217094799E-2</v>
      </c>
      <c r="AI279" s="31">
        <f t="shared" si="209"/>
        <v>1.5707963267948966</v>
      </c>
      <c r="AJ279" s="31" t="str">
        <f t="shared" si="195"/>
        <v>1+0.0828496734667798i</v>
      </c>
      <c r="AK279" s="31">
        <f t="shared" si="210"/>
        <v>1.0034261648938363</v>
      </c>
      <c r="AL279" s="31">
        <f t="shared" si="211"/>
        <v>8.2660888417396605E-2</v>
      </c>
      <c r="AM279" s="31" t="str">
        <f t="shared" si="196"/>
        <v>1+82.9325231402467i</v>
      </c>
      <c r="AN279" s="31">
        <f t="shared" si="212"/>
        <v>82.938551918921007</v>
      </c>
      <c r="AO279" s="31">
        <f t="shared" si="213"/>
        <v>1.558738915525129</v>
      </c>
      <c r="AP279" s="58" t="str">
        <f t="shared" si="214"/>
        <v>-0.00428198113139575+0.000406799241062251i</v>
      </c>
      <c r="AQ279" s="49">
        <f t="shared" si="215"/>
        <v>-47.328083641782982</v>
      </c>
      <c r="AR279" s="61">
        <f t="shared" si="216"/>
        <v>174.57304118527017</v>
      </c>
      <c r="AS279" s="58" t="str">
        <f t="shared" si="217"/>
        <v>0.0658654919555104+0.0160317215821767i</v>
      </c>
      <c r="AT279" s="64">
        <f t="shared" si="218"/>
        <v>-23.37688103468129</v>
      </c>
      <c r="AU279" s="61">
        <f t="shared" si="219"/>
        <v>13.67983656649869</v>
      </c>
    </row>
    <row r="280" spans="14:47" x14ac:dyDescent="0.3">
      <c r="N280" s="10">
        <v>62</v>
      </c>
      <c r="O280" s="50">
        <f t="shared" si="187"/>
        <v>4168.6938347033583</v>
      </c>
      <c r="P280" s="48" t="str">
        <f t="shared" si="188"/>
        <v>51201.9230769231</v>
      </c>
      <c r="Q280" s="17" t="str">
        <f t="shared" si="189"/>
        <v>1+1224.00389079196i</v>
      </c>
      <c r="R280" s="17">
        <f t="shared" si="197"/>
        <v>1224.0042992873252</v>
      </c>
      <c r="S280" s="17">
        <f t="shared" si="198"/>
        <v>1.5699793361096286</v>
      </c>
      <c r="T280" s="17" t="str">
        <f t="shared" si="190"/>
        <v>1+7.8578027557015E-08i</v>
      </c>
      <c r="U280" s="17">
        <f t="shared" si="199"/>
        <v>1.0000000000000031</v>
      </c>
      <c r="V280" s="17">
        <f t="shared" si="200"/>
        <v>7.8578027557014844E-8</v>
      </c>
      <c r="W280" s="31" t="str">
        <f t="shared" si="191"/>
        <v>1-0.042432134880788i</v>
      </c>
      <c r="X280" s="17">
        <f t="shared" si="201"/>
        <v>1.0008998381808949</v>
      </c>
      <c r="Y280" s="17">
        <f t="shared" si="202"/>
        <v>-4.2406696200400149E-2</v>
      </c>
      <c r="Z280" s="31" t="str">
        <f t="shared" si="192"/>
        <v>0.993048796685002+2.58936185505464i</v>
      </c>
      <c r="AA280" s="17">
        <f t="shared" si="203"/>
        <v>2.7732545373639144</v>
      </c>
      <c r="AB280" s="17">
        <f t="shared" si="204"/>
        <v>1.2045849015727501</v>
      </c>
      <c r="AC280" s="66" t="str">
        <f t="shared" si="205"/>
        <v>-14.3089519601217-4.81534394542928i</v>
      </c>
      <c r="AD280" s="64">
        <f t="shared" si="206"/>
        <v>23.578084327376637</v>
      </c>
      <c r="AE280" s="61">
        <f t="shared" si="207"/>
        <v>-161.40054102031999</v>
      </c>
      <c r="AF280" s="31" t="str">
        <f t="shared" si="193"/>
        <v>-1.33333333333333E-06</v>
      </c>
      <c r="AG280" s="31" t="str">
        <f t="shared" si="194"/>
        <v>0.0262188685281906i</v>
      </c>
      <c r="AH280" s="31">
        <f t="shared" si="208"/>
        <v>2.6218868528190602E-2</v>
      </c>
      <c r="AI280" s="31">
        <f t="shared" si="209"/>
        <v>1.5707963267948966</v>
      </c>
      <c r="AJ280" s="31" t="str">
        <f t="shared" si="195"/>
        <v>1+0.0847794902713047i</v>
      </c>
      <c r="AK280" s="31">
        <f t="shared" si="210"/>
        <v>1.0035873464580263</v>
      </c>
      <c r="AL280" s="31">
        <f t="shared" si="211"/>
        <v>8.4577242478538595E-2</v>
      </c>
      <c r="AM280" s="31" t="str">
        <f t="shared" si="196"/>
        <v>1+84.8642697615761i</v>
      </c>
      <c r="AN280" s="31">
        <f t="shared" si="212"/>
        <v>84.870161318130883</v>
      </c>
      <c r="AO280" s="31">
        <f t="shared" si="213"/>
        <v>1.5590133500148331</v>
      </c>
      <c r="AP280" s="58" t="str">
        <f t="shared" si="214"/>
        <v>-0.00428060582311595+0.00041376154133635i</v>
      </c>
      <c r="AQ280" s="49">
        <f t="shared" si="215"/>
        <v>-47.329507170348123</v>
      </c>
      <c r="AR280" s="61">
        <f t="shared" si="216"/>
        <v>174.47896612352687</v>
      </c>
      <c r="AS280" s="58" t="str">
        <f t="shared" si="217"/>
        <v>0.0632433872161088+0.014692095315183i</v>
      </c>
      <c r="AT280" s="64">
        <f t="shared" si="218"/>
        <v>-23.751422842971493</v>
      </c>
      <c r="AU280" s="61">
        <f t="shared" si="219"/>
        <v>13.078425103206904</v>
      </c>
    </row>
    <row r="281" spans="14:47" x14ac:dyDescent="0.3">
      <c r="N281" s="10">
        <v>63</v>
      </c>
      <c r="O281" s="50">
        <f t="shared" si="187"/>
        <v>4265.7951880159299</v>
      </c>
      <c r="P281" s="48" t="str">
        <f t="shared" si="188"/>
        <v>51201.9230769231</v>
      </c>
      <c r="Q281" s="17" t="str">
        <f t="shared" si="189"/>
        <v>1+1252.51460397179i</v>
      </c>
      <c r="R281" s="17">
        <f t="shared" si="197"/>
        <v>1252.5150031686687</v>
      </c>
      <c r="S281" s="17">
        <f t="shared" si="198"/>
        <v>1.5699979330800837</v>
      </c>
      <c r="T281" s="17" t="str">
        <f t="shared" si="190"/>
        <v>1+8.04083449463374E-08i</v>
      </c>
      <c r="U281" s="17">
        <f t="shared" si="199"/>
        <v>1.0000000000000031</v>
      </c>
      <c r="V281" s="17">
        <f t="shared" si="200"/>
        <v>8.0408344946337229E-8</v>
      </c>
      <c r="W281" s="31" t="str">
        <f t="shared" si="191"/>
        <v>1-0.0434205062710221i</v>
      </c>
      <c r="X281" s="17">
        <f t="shared" si="201"/>
        <v>1.0009422262872276</v>
      </c>
      <c r="Y281" s="17">
        <f t="shared" si="202"/>
        <v>-4.3393249619512804E-2</v>
      </c>
      <c r="Z281" s="31" t="str">
        <f t="shared" si="192"/>
        <v>0.99272119656556+2.6496758407565i</v>
      </c>
      <c r="AA281" s="17">
        <f t="shared" si="203"/>
        <v>2.8295366113904983</v>
      </c>
      <c r="AB281" s="17">
        <f t="shared" si="204"/>
        <v>1.2123258748617689</v>
      </c>
      <c r="AC281" s="66" t="str">
        <f t="shared" si="205"/>
        <v>-13.7454968697962-4.49228094229197i</v>
      </c>
      <c r="AD281" s="64">
        <f t="shared" si="206"/>
        <v>23.203940588883295</v>
      </c>
      <c r="AE281" s="61">
        <f t="shared" si="207"/>
        <v>-161.90165688933291</v>
      </c>
      <c r="AF281" s="31" t="str">
        <f t="shared" si="193"/>
        <v>-1.33333333333333E-06</v>
      </c>
      <c r="AG281" s="31" t="str">
        <f t="shared" si="194"/>
        <v>0.0268295844304279i</v>
      </c>
      <c r="AH281" s="31">
        <f t="shared" si="208"/>
        <v>2.6829584430427902E-2</v>
      </c>
      <c r="AI281" s="31">
        <f t="shared" si="209"/>
        <v>1.5707963267948966</v>
      </c>
      <c r="AJ281" s="31" t="str">
        <f t="shared" si="195"/>
        <v>1+0.0867542582837604i</v>
      </c>
      <c r="AK281" s="31">
        <f t="shared" si="210"/>
        <v>1.0037560965345942</v>
      </c>
      <c r="AL281" s="31">
        <f t="shared" si="211"/>
        <v>8.6537589643628107E-2</v>
      </c>
      <c r="AM281" s="31" t="str">
        <f t="shared" si="196"/>
        <v>1+86.8410125420443i</v>
      </c>
      <c r="AN281" s="31">
        <f t="shared" si="212"/>
        <v>86.84676999939316</v>
      </c>
      <c r="AO281" s="31">
        <f t="shared" si="213"/>
        <v>1.5592815393279911</v>
      </c>
      <c r="AP281" s="58" t="str">
        <f t="shared" si="214"/>
        <v>-0.00427916664512748+0.000420932312479416i</v>
      </c>
      <c r="AQ281" s="49">
        <f t="shared" si="215"/>
        <v>-47.330994689640477</v>
      </c>
      <c r="AR281" s="61">
        <f t="shared" si="216"/>
        <v>174.38201262034127</v>
      </c>
      <c r="AS281" s="58" t="str">
        <f t="shared" si="217"/>
        <v>0.0607102179312823+0.0134372949852158i</v>
      </c>
      <c r="AT281" s="64">
        <f t="shared" si="218"/>
        <v>-24.127054100757164</v>
      </c>
      <c r="AU281" s="61">
        <f t="shared" si="219"/>
        <v>12.480355731008377</v>
      </c>
    </row>
    <row r="282" spans="14:47" x14ac:dyDescent="0.3">
      <c r="N282" s="10">
        <v>64</v>
      </c>
      <c r="O282" s="50">
        <f t="shared" si="187"/>
        <v>4365.1583224016631</v>
      </c>
      <c r="P282" s="48" t="str">
        <f t="shared" si="188"/>
        <v>51201.9230769231</v>
      </c>
      <c r="Q282" s="17" t="str">
        <f t="shared" si="189"/>
        <v>1+1281.68941697364i</v>
      </c>
      <c r="R282" s="17">
        <f t="shared" si="197"/>
        <v>1281.689807083691</v>
      </c>
      <c r="S282" s="17">
        <f t="shared" si="198"/>
        <v>1.570016106732343</v>
      </c>
      <c r="T282" s="17" t="str">
        <f t="shared" si="190"/>
        <v>1+8.22812959044805E-08i</v>
      </c>
      <c r="U282" s="17">
        <f t="shared" si="199"/>
        <v>1.0000000000000033</v>
      </c>
      <c r="V282" s="17">
        <f t="shared" si="200"/>
        <v>8.2281295904480315E-8</v>
      </c>
      <c r="W282" s="31" t="str">
        <f t="shared" si="191"/>
        <v>1-0.0444318997884194i</v>
      </c>
      <c r="X282" s="17">
        <f t="shared" si="201"/>
        <v>1.0009866101596006</v>
      </c>
      <c r="Y282" s="17">
        <f t="shared" si="202"/>
        <v>-4.4402695314636503E-2</v>
      </c>
      <c r="Z282" s="31" t="str">
        <f t="shared" si="192"/>
        <v>0.992378157128147+2.71139471966174i</v>
      </c>
      <c r="AA282" s="17">
        <f t="shared" si="203"/>
        <v>2.8872955741583892</v>
      </c>
      <c r="AB282" s="17">
        <f t="shared" si="204"/>
        <v>1.2199368174874952</v>
      </c>
      <c r="AC282" s="66" t="str">
        <f t="shared" si="205"/>
        <v>-13.2011569610245-4.188513360267i</v>
      </c>
      <c r="AD282" s="64">
        <f t="shared" si="206"/>
        <v>22.828807305589798</v>
      </c>
      <c r="AE282" s="61">
        <f t="shared" si="207"/>
        <v>-162.39660992414207</v>
      </c>
      <c r="AF282" s="31" t="str">
        <f t="shared" si="193"/>
        <v>-1.33333333333333E-06</v>
      </c>
      <c r="AG282" s="31" t="str">
        <f t="shared" si="194"/>
        <v>0.0274545257334617i</v>
      </c>
      <c r="AH282" s="31">
        <f t="shared" si="208"/>
        <v>2.7454525733461702E-2</v>
      </c>
      <c r="AI282" s="31">
        <f t="shared" si="209"/>
        <v>1.5707963267948966</v>
      </c>
      <c r="AJ282" s="31" t="str">
        <f t="shared" si="195"/>
        <v>1+0.0887750245522864i</v>
      </c>
      <c r="AK282" s="31">
        <f t="shared" si="210"/>
        <v>1.0039327691555142</v>
      </c>
      <c r="AL282" s="31">
        <f t="shared" si="211"/>
        <v>8.8542909012913534E-2</v>
      </c>
      <c r="AM282" s="31" t="str">
        <f t="shared" si="196"/>
        <v>1+88.8637995768388i</v>
      </c>
      <c r="AN282" s="31">
        <f t="shared" si="212"/>
        <v>88.869425986852065</v>
      </c>
      <c r="AO282" s="31">
        <f t="shared" si="213"/>
        <v>1.5595436255077211</v>
      </c>
      <c r="AP282" s="58" t="str">
        <f t="shared" si="214"/>
        <v>-0.00427766067762026+0.000428314587980099i</v>
      </c>
      <c r="AQ282" s="49">
        <f t="shared" si="215"/>
        <v>-47.332549287279718</v>
      </c>
      <c r="AR282" s="61">
        <f t="shared" si="216"/>
        <v>174.28213271587262</v>
      </c>
      <c r="AS282" s="58" t="str">
        <f t="shared" si="217"/>
        <v>0.0582640714054194+0.0122627907942794i</v>
      </c>
      <c r="AT282" s="64">
        <f t="shared" si="218"/>
        <v>-24.503741981689913</v>
      </c>
      <c r="AU282" s="61">
        <f t="shared" si="219"/>
        <v>11.885522791730505</v>
      </c>
    </row>
    <row r="283" spans="14:47" x14ac:dyDescent="0.3">
      <c r="N283" s="10">
        <v>65</v>
      </c>
      <c r="O283" s="50">
        <f t="shared" si="187"/>
        <v>4466.8359215096343</v>
      </c>
      <c r="P283" s="48" t="str">
        <f t="shared" si="188"/>
        <v>51201.9230769231</v>
      </c>
      <c r="Q283" s="17" t="str">
        <f t="shared" si="189"/>
        <v>1+1311.54379866953i</v>
      </c>
      <c r="R283" s="17">
        <f t="shared" si="197"/>
        <v>1311.5441798995946</v>
      </c>
      <c r="S283" s="17">
        <f t="shared" si="198"/>
        <v>1.5700338667022695</v>
      </c>
      <c r="T283" s="17" t="str">
        <f t="shared" si="190"/>
        <v>1+8.4197873494834E-08i</v>
      </c>
      <c r="U283" s="17">
        <f t="shared" si="199"/>
        <v>1.0000000000000036</v>
      </c>
      <c r="V283" s="17">
        <f t="shared" si="200"/>
        <v>8.4197873494833802E-8</v>
      </c>
      <c r="W283" s="31" t="str">
        <f t="shared" si="191"/>
        <v>1-0.0454668516872103i</v>
      </c>
      <c r="X283" s="17">
        <f t="shared" si="201"/>
        <v>1.0010330836702386</v>
      </c>
      <c r="Y283" s="17">
        <f t="shared" si="202"/>
        <v>-4.5435560273710214E-2</v>
      </c>
      <c r="Z283" s="31" t="str">
        <f t="shared" si="192"/>
        <v>0.992018950740124+2.7745512159369i</v>
      </c>
      <c r="AA283" s="17">
        <f t="shared" si="203"/>
        <v>2.9465634302496304</v>
      </c>
      <c r="AB283" s="17">
        <f t="shared" si="204"/>
        <v>1.2274183251772322</v>
      </c>
      <c r="AC283" s="66" t="str">
        <f t="shared" si="205"/>
        <v>-12.6755241742909-3.90302058387451i</v>
      </c>
      <c r="AD283" s="64">
        <f t="shared" si="206"/>
        <v>22.452719693392929</v>
      </c>
      <c r="AE283" s="61">
        <f t="shared" si="207"/>
        <v>-162.88546500362983</v>
      </c>
      <c r="AF283" s="31" t="str">
        <f t="shared" si="193"/>
        <v>-1.33333333333333E-06</v>
      </c>
      <c r="AG283" s="31" t="str">
        <f t="shared" si="194"/>
        <v>0.0280940237894429i</v>
      </c>
      <c r="AH283" s="31">
        <f t="shared" si="208"/>
        <v>2.8094023789442899E-2</v>
      </c>
      <c r="AI283" s="31">
        <f t="shared" si="209"/>
        <v>1.5707963267948966</v>
      </c>
      <c r="AJ283" s="31" t="str">
        <f t="shared" si="195"/>
        <v>1+0.0908428605139066i</v>
      </c>
      <c r="AK283" s="31">
        <f t="shared" si="210"/>
        <v>1.0041177347833017</v>
      </c>
      <c r="AL283" s="31">
        <f t="shared" si="211"/>
        <v>9.0594199285485455E-2</v>
      </c>
      <c r="AM283" s="31" t="str">
        <f t="shared" si="196"/>
        <v>1+90.9337033744206i</v>
      </c>
      <c r="AN283" s="31">
        <f t="shared" si="212"/>
        <v>90.939201719539597</v>
      </c>
      <c r="AO283" s="31">
        <f t="shared" si="213"/>
        <v>1.559799747371482</v>
      </c>
      <c r="AP283" s="58" t="str">
        <f t="shared" si="214"/>
        <v>-0.00427608487173398+0.000435911459924507i</v>
      </c>
      <c r="AQ283" s="49">
        <f t="shared" si="215"/>
        <v>-47.334174186717455</v>
      </c>
      <c r="AR283" s="61">
        <f t="shared" si="216"/>
        <v>174.17927714253256</v>
      </c>
      <c r="AS283" s="58" t="str">
        <f t="shared" si="217"/>
        <v>0.0559029885638158+0.0111642410246486i</v>
      </c>
      <c r="AT283" s="64">
        <f t="shared" si="218"/>
        <v>-24.881454493324526</v>
      </c>
      <c r="AU283" s="61">
        <f t="shared" si="219"/>
        <v>11.29381213890273</v>
      </c>
    </row>
    <row r="284" spans="14:47" x14ac:dyDescent="0.3">
      <c r="N284" s="10">
        <v>66</v>
      </c>
      <c r="O284" s="50">
        <f t="shared" ref="O284:O318" si="220">10^(3+(N284/100))</f>
        <v>4570.8818961487532</v>
      </c>
      <c r="P284" s="48" t="str">
        <f t="shared" si="188"/>
        <v>51201.9230769231</v>
      </c>
      <c r="Q284" s="17" t="str">
        <f t="shared" si="189"/>
        <v>1+1342.09357824781i</v>
      </c>
      <c r="R284" s="17">
        <f t="shared" si="197"/>
        <v>1342.0939508000213</v>
      </c>
      <c r="S284" s="17">
        <f t="shared" si="198"/>
        <v>1.5700512224063894</v>
      </c>
      <c r="T284" s="17" t="str">
        <f t="shared" si="190"/>
        <v>1+8.61590939122051E-08i</v>
      </c>
      <c r="U284" s="17">
        <f t="shared" si="199"/>
        <v>1.0000000000000036</v>
      </c>
      <c r="V284" s="17">
        <f t="shared" si="200"/>
        <v>8.6159093912204884E-8</v>
      </c>
      <c r="W284" s="31" t="str">
        <f t="shared" si="191"/>
        <v>1-0.0465259107125907i</v>
      </c>
      <c r="X284" s="17">
        <f t="shared" si="201"/>
        <v>1.00108174509759</v>
      </c>
      <c r="Y284" s="17">
        <f t="shared" si="202"/>
        <v>-4.6492383315424102E-2</v>
      </c>
      <c r="Z284" s="31" t="str">
        <f t="shared" si="192"/>
        <v>0.991642815476584+2.83917881599227i</v>
      </c>
      <c r="AA284" s="17">
        <f t="shared" si="203"/>
        <v>3.0073729104761178</v>
      </c>
      <c r="AB284" s="17">
        <f t="shared" si="204"/>
        <v>1.2347711009304014</v>
      </c>
      <c r="AC284" s="66" t="str">
        <f t="shared" si="205"/>
        <v>-12.1681796682818-3.63482513552435i</v>
      </c>
      <c r="AD284" s="64">
        <f t="shared" si="206"/>
        <v>22.075712250657105</v>
      </c>
      <c r="AE284" s="61">
        <f t="shared" si="207"/>
        <v>-163.36829381820195</v>
      </c>
      <c r="AF284" s="31" t="str">
        <f t="shared" si="193"/>
        <v>-1.33333333333333E-06</v>
      </c>
      <c r="AG284" s="31" t="str">
        <f t="shared" si="194"/>
        <v>0.0287484176687058i</v>
      </c>
      <c r="AH284" s="31">
        <f t="shared" si="208"/>
        <v>2.8748417668705801E-2</v>
      </c>
      <c r="AI284" s="31">
        <f t="shared" si="209"/>
        <v>1.5707963267948966</v>
      </c>
      <c r="AJ284" s="31" t="str">
        <f t="shared" si="195"/>
        <v>1+0.0929588625626187i</v>
      </c>
      <c r="AK284" s="31">
        <f t="shared" si="210"/>
        <v>1.0043113810611406</v>
      </c>
      <c r="AL284" s="31">
        <f t="shared" si="211"/>
        <v>9.2692478993163421E-2</v>
      </c>
      <c r="AM284" s="31" t="str">
        <f t="shared" si="196"/>
        <v>1+93.0518214251814i</v>
      </c>
      <c r="AN284" s="31">
        <f t="shared" si="212"/>
        <v>93.057194619996196</v>
      </c>
      <c r="AO284" s="31">
        <f t="shared" si="213"/>
        <v>1.5600500405839897</v>
      </c>
      <c r="AP284" s="58" t="str">
        <f t="shared" si="214"/>
        <v>-0.00427443604427919+0.000443726076976426i</v>
      </c>
      <c r="AQ284" s="49">
        <f t="shared" si="215"/>
        <v>-47.335872753461857</v>
      </c>
      <c r="AR284" s="61">
        <f t="shared" si="216"/>
        <v>174.0733953157621</v>
      </c>
      <c r="AS284" s="58" t="str">
        <f t="shared" si="217"/>
        <v>0.0536249724652504+0.0101374889457863i</v>
      </c>
      <c r="AT284" s="64">
        <f t="shared" si="218"/>
        <v>-25.260160502804759</v>
      </c>
      <c r="AU284" s="61">
        <f t="shared" si="219"/>
        <v>10.705101497560168</v>
      </c>
    </row>
    <row r="285" spans="14:47" x14ac:dyDescent="0.3">
      <c r="N285" s="10">
        <v>67</v>
      </c>
      <c r="O285" s="50">
        <f t="shared" si="220"/>
        <v>4677.3514128719844</v>
      </c>
      <c r="P285" s="48" t="str">
        <f t="shared" si="188"/>
        <v>51201.9230769231</v>
      </c>
      <c r="Q285" s="17" t="str">
        <f t="shared" si="189"/>
        <v>1+1373.35495360598i</v>
      </c>
      <c r="R285" s="17">
        <f t="shared" si="197"/>
        <v>1373.3553176778701</v>
      </c>
      <c r="S285" s="17">
        <f t="shared" si="198"/>
        <v>1.570068183046885</v>
      </c>
      <c r="T285" s="17" t="str">
        <f t="shared" si="190"/>
        <v>1+8.81659970216188E-08i</v>
      </c>
      <c r="U285" s="17">
        <f t="shared" si="199"/>
        <v>1.000000000000004</v>
      </c>
      <c r="V285" s="17">
        <f t="shared" si="200"/>
        <v>8.816599702161857E-8</v>
      </c>
      <c r="W285" s="31" t="str">
        <f t="shared" si="191"/>
        <v>1-0.0476096383916741i</v>
      </c>
      <c r="X285" s="17">
        <f t="shared" si="201"/>
        <v>1.0011326973322698</v>
      </c>
      <c r="Y285" s="17">
        <f t="shared" si="202"/>
        <v>-4.7573715333258056E-2</v>
      </c>
      <c r="Z285" s="31" t="str">
        <f t="shared" si="192"/>
        <v>0.991248953504202+2.90531178623686i</v>
      </c>
      <c r="AA285" s="17">
        <f t="shared" si="203"/>
        <v>3.0697574925505089</v>
      </c>
      <c r="AB285" s="17">
        <f t="shared" si="204"/>
        <v>1.2419959484400953</v>
      </c>
      <c r="AC285" s="66" t="str">
        <f t="shared" si="205"/>
        <v>-11.6786957711605-3.38299185269346i</v>
      </c>
      <c r="AD285" s="64">
        <f t="shared" si="206"/>
        <v>21.697818742456704</v>
      </c>
      <c r="AE285" s="61">
        <f t="shared" si="207"/>
        <v>-163.84517450713832</v>
      </c>
      <c r="AF285" s="31" t="str">
        <f t="shared" si="193"/>
        <v>-1.33333333333333E-06</v>
      </c>
      <c r="AG285" s="31" t="str">
        <f t="shared" si="194"/>
        <v>0.0294180543395468i</v>
      </c>
      <c r="AH285" s="31">
        <f t="shared" si="208"/>
        <v>2.9418054339546799E-2</v>
      </c>
      <c r="AI285" s="31">
        <f t="shared" si="209"/>
        <v>1.5707963267948966</v>
      </c>
      <c r="AJ285" s="31" t="str">
        <f t="shared" si="195"/>
        <v>1+0.0951241526307174i</v>
      </c>
      <c r="AK285" s="31">
        <f t="shared" si="210"/>
        <v>1.0045141135960769</v>
      </c>
      <c r="AL285" s="31">
        <f t="shared" si="211"/>
        <v>9.4838786724718127E-2</v>
      </c>
      <c r="AM285" s="31" t="str">
        <f t="shared" si="196"/>
        <v>1+95.2192767833482i</v>
      </c>
      <c r="AN285" s="31">
        <f t="shared" si="212"/>
        <v>95.224527676139587</v>
      </c>
      <c r="AO285" s="31">
        <f t="shared" si="213"/>
        <v>1.5602946377285061</v>
      </c>
      <c r="AP285" s="58" t="str">
        <f t="shared" si="214"/>
        <v>-0.0042727108722841+0.000451761642146075i</v>
      </c>
      <c r="AQ285" s="49">
        <f t="shared" si="215"/>
        <v>-47.337648501545573</v>
      </c>
      <c r="AR285" s="61">
        <f t="shared" si="216"/>
        <v>173.96443532526945</v>
      </c>
      <c r="AS285" s="58" t="str">
        <f t="shared" si="217"/>
        <v>0.0514279963502754+0.00917855929014799i</v>
      </c>
      <c r="AT285" s="64">
        <f t="shared" si="218"/>
        <v>-25.639829759088862</v>
      </c>
      <c r="AU285" s="61">
        <f t="shared" si="219"/>
        <v>10.119260818131144</v>
      </c>
    </row>
    <row r="286" spans="14:47" x14ac:dyDescent="0.3">
      <c r="N286" s="10">
        <v>68</v>
      </c>
      <c r="O286" s="50">
        <f t="shared" si="220"/>
        <v>4786.3009232263848</v>
      </c>
      <c r="P286" s="48" t="str">
        <f t="shared" si="188"/>
        <v>51201.9230769231</v>
      </c>
      <c r="Q286" s="17" t="str">
        <f t="shared" si="189"/>
        <v>1+1405.34449993906i</v>
      </c>
      <c r="R286" s="17">
        <f t="shared" si="197"/>
        <v>1405.3448557236643</v>
      </c>
      <c r="S286" s="17">
        <f t="shared" si="198"/>
        <v>1.5700847576164736</v>
      </c>
      <c r="T286" s="17" t="str">
        <f t="shared" si="190"/>
        <v>1+9.02196469096684E-08i</v>
      </c>
      <c r="U286" s="17">
        <f t="shared" si="199"/>
        <v>1.000000000000004</v>
      </c>
      <c r="V286" s="17">
        <f t="shared" si="200"/>
        <v>9.0219646909668158E-8</v>
      </c>
      <c r="W286" s="31" t="str">
        <f t="shared" si="191"/>
        <v>1-0.0487186093312209i</v>
      </c>
      <c r="X286" s="17">
        <f t="shared" si="201"/>
        <v>1.0011860480925452</v>
      </c>
      <c r="Y286" s="17">
        <f t="shared" si="202"/>
        <v>-4.8680119542979267E-2</v>
      </c>
      <c r="Z286" s="31" t="str">
        <f t="shared" si="192"/>
        <v>0.990836529388929+2.97298519124686i</v>
      </c>
      <c r="AA286" s="17">
        <f t="shared" si="203"/>
        <v>3.1337514220730123</v>
      </c>
      <c r="AB286" s="17">
        <f t="shared" si="204"/>
        <v>1.2490937656431942</v>
      </c>
      <c r="AC286" s="66" t="str">
        <f t="shared" si="205"/>
        <v>-11.2066378182798-3.1466269782871i</v>
      </c>
      <c r="AD286" s="64">
        <f t="shared" si="206"/>
        <v>21.319072188322018</v>
      </c>
      <c r="AE286" s="61">
        <f t="shared" si="207"/>
        <v>-164.31619130350305</v>
      </c>
      <c r="AF286" s="31" t="str">
        <f t="shared" si="193"/>
        <v>-1.33333333333333E-06</v>
      </c>
      <c r="AG286" s="31" t="str">
        <f t="shared" si="194"/>
        <v>0.0301032888521927i</v>
      </c>
      <c r="AH286" s="31">
        <f t="shared" si="208"/>
        <v>3.0103288852192701E-2</v>
      </c>
      <c r="AI286" s="31">
        <f t="shared" si="209"/>
        <v>1.5707963267948966</v>
      </c>
      <c r="AJ286" s="31" t="str">
        <f t="shared" si="195"/>
        <v>1+0.097339878783658i</v>
      </c>
      <c r="AK286" s="31">
        <f t="shared" si="210"/>
        <v>1.0047263567766187</v>
      </c>
      <c r="AL286" s="31">
        <f t="shared" si="211"/>
        <v>9.7034181339217498E-2</v>
      </c>
      <c r="AM286" s="31" t="str">
        <f t="shared" si="196"/>
        <v>1+97.4372186624418i</v>
      </c>
      <c r="AN286" s="31">
        <f t="shared" si="212"/>
        <v>97.442350036688339</v>
      </c>
      <c r="AO286" s="31">
        <f t="shared" si="213"/>
        <v>1.5605336683765381</v>
      </c>
      <c r="AP286" s="58" t="str">
        <f t="shared" si="214"/>
        <v>-0.00427090588736476+0.000460021410331297i</v>
      </c>
      <c r="AQ286" s="49">
        <f t="shared" si="215"/>
        <v>-47.339505100246711</v>
      </c>
      <c r="AR286" s="61">
        <f t="shared" si="216"/>
        <v>173.85234392679939</v>
      </c>
      <c r="AS286" s="58" t="str">
        <f t="shared" si="217"/>
        <v>0.0493100112159939+0.00828365435267004i</v>
      </c>
      <c r="AT286" s="64">
        <f t="shared" si="218"/>
        <v>-26.020432911924697</v>
      </c>
      <c r="AU286" s="61">
        <f t="shared" si="219"/>
        <v>9.5361526232963527</v>
      </c>
    </row>
    <row r="287" spans="14:47" x14ac:dyDescent="0.3">
      <c r="N287" s="10">
        <v>69</v>
      </c>
      <c r="O287" s="50">
        <f t="shared" si="220"/>
        <v>4897.7881936844633</v>
      </c>
      <c r="P287" s="48" t="str">
        <f t="shared" si="188"/>
        <v>51201.9230769231</v>
      </c>
      <c r="Q287" s="17" t="str">
        <f t="shared" si="189"/>
        <v>1+1438.07917852795i</v>
      </c>
      <c r="R287" s="17">
        <f t="shared" si="197"/>
        <v>1438.0795262139097</v>
      </c>
      <c r="S287" s="17">
        <f t="shared" si="198"/>
        <v>1.5701009549031744</v>
      </c>
      <c r="T287" s="17" t="str">
        <f t="shared" si="190"/>
        <v>1+9.23211324487078E-08i</v>
      </c>
      <c r="U287" s="17">
        <f t="shared" si="199"/>
        <v>1.0000000000000042</v>
      </c>
      <c r="V287" s="17">
        <f t="shared" si="200"/>
        <v>9.2321132448707537E-8</v>
      </c>
      <c r="W287" s="31" t="str">
        <f t="shared" si="191"/>
        <v>1-0.0498534115223022i</v>
      </c>
      <c r="X287" s="17">
        <f t="shared" si="201"/>
        <v>1.001241910149796</v>
      </c>
      <c r="Y287" s="17">
        <f t="shared" si="202"/>
        <v>-4.9812171733523175E-2</v>
      </c>
      <c r="Z287" s="31" t="str">
        <f t="shared" si="192"/>
        <v>0.990404668323922+3.04223491235737i</v>
      </c>
      <c r="AA287" s="17">
        <f t="shared" si="203"/>
        <v>3.1993897338404826</v>
      </c>
      <c r="AB287" s="17">
        <f t="shared" si="204"/>
        <v>1.2560655384171353</v>
      </c>
      <c r="AC287" s="66" t="str">
        <f t="shared" si="205"/>
        <v>-10.7515658754993-2.92487717629844i</v>
      </c>
      <c r="AD287" s="64">
        <f t="shared" si="206"/>
        <v>20.939504853284753</v>
      </c>
      <c r="AE287" s="61">
        <f t="shared" si="207"/>
        <v>-164.78143418764202</v>
      </c>
      <c r="AF287" s="31" t="str">
        <f t="shared" si="193"/>
        <v>-1.33333333333333E-06</v>
      </c>
      <c r="AG287" s="31" t="str">
        <f t="shared" si="194"/>
        <v>0.0308044845270521i</v>
      </c>
      <c r="AH287" s="31">
        <f t="shared" si="208"/>
        <v>3.08044845270521E-2</v>
      </c>
      <c r="AI287" s="31">
        <f t="shared" si="209"/>
        <v>1.5707963267948966</v>
      </c>
      <c r="AJ287" s="31" t="str">
        <f t="shared" si="195"/>
        <v>1+0.0996072158287754i</v>
      </c>
      <c r="AK287" s="31">
        <f t="shared" si="210"/>
        <v>1.0049485546261363</v>
      </c>
      <c r="AL287" s="31">
        <f t="shared" si="211"/>
        <v>9.9279742167198162E-2</v>
      </c>
      <c r="AM287" s="31" t="str">
        <f t="shared" si="196"/>
        <v>1+99.7068230446043i</v>
      </c>
      <c r="AN287" s="31">
        <f t="shared" si="212"/>
        <v>99.711837620455256</v>
      </c>
      <c r="AO287" s="31">
        <f t="shared" si="213"/>
        <v>1.5607672591559789</v>
      </c>
      <c r="AP287" s="58" t="str">
        <f t="shared" si="214"/>
        <v>-0.00426901746991868+0.000468508685614216i</v>
      </c>
      <c r="AQ287" s="49">
        <f t="shared" si="215"/>
        <v>-47.341446381069247</v>
      </c>
      <c r="AR287" s="61">
        <f t="shared" si="216"/>
        <v>173.73706653451134</v>
      </c>
      <c r="AS287" s="58" t="str">
        <f t="shared" si="217"/>
        <v>0.0472689529129387+0.00744914976635963i</v>
      </c>
      <c r="AT287" s="64">
        <f t="shared" si="218"/>
        <v>-26.401941527784484</v>
      </c>
      <c r="AU287" s="61">
        <f t="shared" si="219"/>
        <v>8.9556323468693311</v>
      </c>
    </row>
    <row r="288" spans="14:47" x14ac:dyDescent="0.3">
      <c r="N288" s="10">
        <v>70</v>
      </c>
      <c r="O288" s="50">
        <f t="shared" si="220"/>
        <v>5011.8723362727324</v>
      </c>
      <c r="P288" s="48" t="str">
        <f t="shared" si="188"/>
        <v>51201.9230769231</v>
      </c>
      <c r="Q288" s="17" t="str">
        <f t="shared" si="189"/>
        <v>1+1471.57634573251i</v>
      </c>
      <c r="R288" s="17">
        <f t="shared" si="197"/>
        <v>1471.5766855041729</v>
      </c>
      <c r="S288" s="17">
        <f t="shared" si="198"/>
        <v>1.5701167834949696</v>
      </c>
      <c r="T288" s="17" t="str">
        <f t="shared" si="190"/>
        <v>1+9.44715678741862E-08i</v>
      </c>
      <c r="U288" s="17">
        <f t="shared" si="199"/>
        <v>1.0000000000000044</v>
      </c>
      <c r="V288" s="17">
        <f t="shared" si="200"/>
        <v>9.4471567874185917E-8</v>
      </c>
      <c r="W288" s="31" t="str">
        <f t="shared" si="191"/>
        <v>1-0.0510146466520605i</v>
      </c>
      <c r="X288" s="17">
        <f t="shared" si="201"/>
        <v>1.0013004015644029</v>
      </c>
      <c r="Y288" s="17">
        <f t="shared" si="202"/>
        <v>-5.0970460521171372E-2</v>
      </c>
      <c r="Z288" s="31" t="str">
        <f t="shared" si="192"/>
        <v>0.989952454273962+3.11309766668716i</v>
      </c>
      <c r="AA288" s="17">
        <f t="shared" si="203"/>
        <v>3.2667082734851118</v>
      </c>
      <c r="AB288" s="17">
        <f t="shared" si="204"/>
        <v>1.2629123344388786</v>
      </c>
      <c r="AC288" s="66" t="str">
        <f t="shared" si="205"/>
        <v>-10.3130363482674-2.71692848426714i</v>
      </c>
      <c r="AD288" s="64">
        <f t="shared" si="206"/>
        <v>20.559148242020981</v>
      </c>
      <c r="AE288" s="61">
        <f t="shared" si="207"/>
        <v>-165.24099855015913</v>
      </c>
      <c r="AF288" s="31" t="str">
        <f t="shared" si="193"/>
        <v>-1.33333333333333E-06</v>
      </c>
      <c r="AG288" s="31" t="str">
        <f t="shared" si="194"/>
        <v>0.0315220131473534i</v>
      </c>
      <c r="AH288" s="31">
        <f t="shared" si="208"/>
        <v>3.1522013147353402E-2</v>
      </c>
      <c r="AI288" s="31">
        <f t="shared" si="209"/>
        <v>1.5707963267948966</v>
      </c>
      <c r="AJ288" s="31" t="str">
        <f t="shared" si="195"/>
        <v>1+0.101927365938183i</v>
      </c>
      <c r="AK288" s="31">
        <f t="shared" si="210"/>
        <v>1.0051811716934895</v>
      </c>
      <c r="AL288" s="31">
        <f t="shared" si="211"/>
        <v>0.10157656919827467</v>
      </c>
      <c r="AM288" s="31" t="str">
        <f t="shared" si="196"/>
        <v>1+102.029293304121i</v>
      </c>
      <c r="AN288" s="31">
        <f t="shared" si="212"/>
        <v>102.03419373983581</v>
      </c>
      <c r="AO288" s="31">
        <f t="shared" si="213"/>
        <v>1.5609955338177268</v>
      </c>
      <c r="AP288" s="58" t="str">
        <f t="shared" si="214"/>
        <v>-0.0042670418431404+0.000477226818295404i</v>
      </c>
      <c r="AQ288" s="49">
        <f t="shared" si="215"/>
        <v>-47.343476344993192</v>
      </c>
      <c r="AR288" s="61">
        <f t="shared" si="216"/>
        <v>173.61854721404703</v>
      </c>
      <c r="AS288" s="58" t="str">
        <f t="shared" si="217"/>
        <v>0.0453027487639678+0.00667159000373941i</v>
      </c>
      <c r="AT288" s="64">
        <f t="shared" si="218"/>
        <v>-26.784328102972218</v>
      </c>
      <c r="AU288" s="61">
        <f t="shared" si="219"/>
        <v>8.3775486638879002</v>
      </c>
    </row>
    <row r="289" spans="14:47" x14ac:dyDescent="0.3">
      <c r="N289" s="10">
        <v>71</v>
      </c>
      <c r="O289" s="50">
        <f t="shared" si="220"/>
        <v>5128.6138399136489</v>
      </c>
      <c r="P289" s="48" t="str">
        <f t="shared" si="188"/>
        <v>51201.9230769231</v>
      </c>
      <c r="Q289" s="17" t="str">
        <f t="shared" si="189"/>
        <v>1+1505.8537621942i</v>
      </c>
      <c r="R289" s="17">
        <f t="shared" si="197"/>
        <v>1505.8540942317177</v>
      </c>
      <c r="S289" s="17">
        <f t="shared" si="198"/>
        <v>1.5701322517843561</v>
      </c>
      <c r="T289" s="17" t="str">
        <f t="shared" si="190"/>
        <v>1+9.667209337543E-08i</v>
      </c>
      <c r="U289" s="17">
        <f t="shared" si="199"/>
        <v>1.0000000000000047</v>
      </c>
      <c r="V289" s="17">
        <f t="shared" si="200"/>
        <v>9.6672093375429699E-8</v>
      </c>
      <c r="W289" s="31" t="str">
        <f t="shared" si="191"/>
        <v>1-0.0522029304227321i</v>
      </c>
      <c r="X289" s="17">
        <f t="shared" si="201"/>
        <v>1.0013616459325374</v>
      </c>
      <c r="Y289" s="17">
        <f t="shared" si="202"/>
        <v>-5.2155587606924916E-2</v>
      </c>
      <c r="Z289" s="31" t="str">
        <f t="shared" si="192"/>
        <v>0.989478928032419+3.18561102660653i</v>
      </c>
      <c r="AA289" s="17">
        <f t="shared" si="203"/>
        <v>3.3357437194510755</v>
      </c>
      <c r="AB289" s="17">
        <f t="shared" si="204"/>
        <v>1.2696352972192801</v>
      </c>
      <c r="AC289" s="66" t="str">
        <f t="shared" si="205"/>
        <v>-9.8906034774993-2.52200521337936i</v>
      </c>
      <c r="AD289" s="64">
        <f t="shared" si="206"/>
        <v>20.178033095888765</v>
      </c>
      <c r="AE289" s="61">
        <f t="shared" si="207"/>
        <v>-165.69498486511719</v>
      </c>
      <c r="AF289" s="31" t="str">
        <f t="shared" si="193"/>
        <v>-1.33333333333333E-06</v>
      </c>
      <c r="AG289" s="31" t="str">
        <f t="shared" si="194"/>
        <v>0.0322562551562685i</v>
      </c>
      <c r="AH289" s="31">
        <f t="shared" si="208"/>
        <v>3.2256255156268503E-2</v>
      </c>
      <c r="AI289" s="31">
        <f t="shared" si="209"/>
        <v>1.5707963267948966</v>
      </c>
      <c r="AJ289" s="31" t="str">
        <f t="shared" si="195"/>
        <v>1+0.104301559286178i</v>
      </c>
      <c r="AK289" s="31">
        <f t="shared" si="210"/>
        <v>1.0054246939823628</v>
      </c>
      <c r="AL289" s="31">
        <f t="shared" si="211"/>
        <v>0.1039257832536945</v>
      </c>
      <c r="AM289" s="31" t="str">
        <f t="shared" si="196"/>
        <v>1+104.405860845464i</v>
      </c>
      <c r="AN289" s="31">
        <f t="shared" si="212"/>
        <v>104.41064973881923</v>
      </c>
      <c r="AO289" s="31">
        <f t="shared" si="213"/>
        <v>1.5612186133008124</v>
      </c>
      <c r="AP289" s="58" t="str">
        <f t="shared" si="214"/>
        <v>-0.00426497506686003+0.000486179201646652i</v>
      </c>
      <c r="AQ289" s="49">
        <f t="shared" si="215"/>
        <v>-47.345599170001577</v>
      </c>
      <c r="AR289" s="61">
        <f t="shared" si="216"/>
        <v>173.49672867637543</v>
      </c>
      <c r="AS289" s="58" t="str">
        <f t="shared" si="217"/>
        <v>0.0434093237089231+0.00594768365105977i</v>
      </c>
      <c r="AT289" s="64">
        <f t="shared" si="218"/>
        <v>-27.167566074112813</v>
      </c>
      <c r="AU289" s="61">
        <f t="shared" si="219"/>
        <v>7.8017438112582269</v>
      </c>
    </row>
    <row r="290" spans="14:47" x14ac:dyDescent="0.3">
      <c r="N290" s="10">
        <v>72</v>
      </c>
      <c r="O290" s="50">
        <f t="shared" si="220"/>
        <v>5248.0746024977261</v>
      </c>
      <c r="P290" s="48" t="str">
        <f t="shared" si="188"/>
        <v>51201.9230769231</v>
      </c>
      <c r="Q290" s="17" t="str">
        <f t="shared" si="189"/>
        <v>1+1540.92960225293i</v>
      </c>
      <c r="R290" s="17">
        <f t="shared" si="197"/>
        <v>1540.9299267323522</v>
      </c>
      <c r="S290" s="17">
        <f t="shared" si="198"/>
        <v>1.5701473679727964</v>
      </c>
      <c r="T290" s="17" t="str">
        <f t="shared" si="190"/>
        <v>1+9.89238757001884E-08i</v>
      </c>
      <c r="U290" s="17">
        <f t="shared" si="199"/>
        <v>1.0000000000000049</v>
      </c>
      <c r="V290" s="17">
        <f t="shared" si="200"/>
        <v>9.8923875700188089E-8</v>
      </c>
      <c r="W290" s="31" t="str">
        <f t="shared" si="191"/>
        <v>1-0.0534188928781017i</v>
      </c>
      <c r="X290" s="17">
        <f t="shared" si="201"/>
        <v>1.0014257726443443</v>
      </c>
      <c r="Y290" s="17">
        <f t="shared" si="202"/>
        <v>-5.3368168036959276E-2</v>
      </c>
      <c r="Z290" s="31" t="str">
        <f t="shared" si="192"/>
        <v>0.988983085186647+3.25981343965876i</v>
      </c>
      <c r="AA290" s="17">
        <f t="shared" si="203"/>
        <v>3.4065336053186344</v>
      </c>
      <c r="AB290" s="17">
        <f t="shared" si="204"/>
        <v>1.2762356403238739</v>
      </c>
      <c r="AC290" s="66" t="str">
        <f t="shared" si="205"/>
        <v>-9.48382072404786-2.33936880635874i</v>
      </c>
      <c r="AD290" s="64">
        <f t="shared" si="206"/>
        <v>19.796189392661745</v>
      </c>
      <c r="AE290" s="61">
        <f t="shared" si="207"/>
        <v>-166.14349837409222</v>
      </c>
      <c r="AF290" s="31" t="str">
        <f t="shared" si="193"/>
        <v>-1.33333333333333E-06</v>
      </c>
      <c r="AG290" s="31" t="str">
        <f t="shared" si="194"/>
        <v>0.0330075998586295i</v>
      </c>
      <c r="AH290" s="31">
        <f t="shared" si="208"/>
        <v>3.3007599858629499E-2</v>
      </c>
      <c r="AI290" s="31">
        <f t="shared" si="209"/>
        <v>1.5707963267948966</v>
      </c>
      <c r="AJ290" s="31" t="str">
        <f t="shared" si="195"/>
        <v>1+0.106731054701502i</v>
      </c>
      <c r="AK290" s="31">
        <f t="shared" si="210"/>
        <v>1.0056796299208288</v>
      </c>
      <c r="AL290" s="31">
        <f t="shared" si="211"/>
        <v>0.10632852614225977</v>
      </c>
      <c r="AM290" s="31" t="str">
        <f t="shared" si="196"/>
        <v>1+106.837785756203i</v>
      </c>
      <c r="AN290" s="31">
        <f t="shared" si="212"/>
        <v>106.84246564586728</v>
      </c>
      <c r="AO290" s="31">
        <f t="shared" si="213"/>
        <v>1.5614366157960684</v>
      </c>
      <c r="AP290" s="58" t="str">
        <f t="shared" si="214"/>
        <v>-0.00426281303120526+0.000495369268362467i</v>
      </c>
      <c r="AQ290" s="49">
        <f t="shared" si="215"/>
        <v>-47.347819218893306</v>
      </c>
      <c r="AR290" s="61">
        <f t="shared" si="216"/>
        <v>173.37155227250705</v>
      </c>
      <c r="AS290" s="58" t="str">
        <f t="shared" si="217"/>
        <v>0.0415866059821216+0.00527429849918874i</v>
      </c>
      <c r="AT290" s="64">
        <f t="shared" si="218"/>
        <v>-27.551629826231569</v>
      </c>
      <c r="AU290" s="61">
        <f t="shared" si="219"/>
        <v>7.2280538984148324</v>
      </c>
    </row>
    <row r="291" spans="14:47" x14ac:dyDescent="0.3">
      <c r="N291" s="10">
        <v>73</v>
      </c>
      <c r="O291" s="50">
        <f t="shared" si="220"/>
        <v>5370.3179637025269</v>
      </c>
      <c r="P291" s="48" t="str">
        <f t="shared" si="188"/>
        <v>51201.9230769231</v>
      </c>
      <c r="Q291" s="17" t="str">
        <f t="shared" si="189"/>
        <v>1+1576.82246358339i</v>
      </c>
      <c r="R291" s="17">
        <f t="shared" si="197"/>
        <v>1576.8227806767604</v>
      </c>
      <c r="S291" s="17">
        <f t="shared" si="198"/>
        <v>1.5701621400750656</v>
      </c>
      <c r="T291" s="17" t="str">
        <f t="shared" si="190"/>
        <v>1+1.01228108773255E-07i</v>
      </c>
      <c r="U291" s="17">
        <f t="shared" si="199"/>
        <v>1.0000000000000051</v>
      </c>
      <c r="V291" s="17">
        <f t="shared" si="200"/>
        <v>1.0122810877325465E-7</v>
      </c>
      <c r="W291" s="31" t="str">
        <f t="shared" si="191"/>
        <v>1-0.0546631787375576i</v>
      </c>
      <c r="X291" s="17">
        <f t="shared" si="201"/>
        <v>1.0014929171540328</v>
      </c>
      <c r="Y291" s="17">
        <f t="shared" si="202"/>
        <v>-5.4608830466025098E-2</v>
      </c>
      <c r="Z291" s="31" t="str">
        <f t="shared" si="192"/>
        <v>0.988463873987493+3.33574424894543i</v>
      </c>
      <c r="AA291" s="17">
        <f t="shared" si="203"/>
        <v>3.4791163424856713</v>
      </c>
      <c r="AB291" s="17">
        <f t="shared" si="204"/>
        <v>1.282714641788957</v>
      </c>
      <c r="AC291" s="66" t="str">
        <f t="shared" si="205"/>
        <v>-9.09224204421849-2.16831666258909i</v>
      </c>
      <c r="AD291" s="64">
        <f t="shared" si="206"/>
        <v>19.413646348762505</v>
      </c>
      <c r="AE291" s="61">
        <f t="shared" si="207"/>
        <v>-166.58664878157811</v>
      </c>
      <c r="AF291" s="31" t="str">
        <f t="shared" si="193"/>
        <v>-1.33333333333333E-06</v>
      </c>
      <c r="AG291" s="31" t="str">
        <f t="shared" si="194"/>
        <v>0.0337764456273427i</v>
      </c>
      <c r="AH291" s="31">
        <f t="shared" si="208"/>
        <v>3.3776445627342701E-2</v>
      </c>
      <c r="AI291" s="31">
        <f t="shared" si="209"/>
        <v>1.5707963267948966</v>
      </c>
      <c r="AJ291" s="31" t="str">
        <f t="shared" si="195"/>
        <v>1+0.10921714033478i</v>
      </c>
      <c r="AK291" s="31">
        <f t="shared" si="210"/>
        <v>1.0059465113727006</v>
      </c>
      <c r="AL291" s="31">
        <f t="shared" si="211"/>
        <v>0.10878596079789399</v>
      </c>
      <c r="AM291" s="31" t="str">
        <f t="shared" si="196"/>
        <v>1+109.326357475115i</v>
      </c>
      <c r="AN291" s="31">
        <f t="shared" si="212"/>
        <v>109.33093084199288</v>
      </c>
      <c r="AO291" s="31">
        <f t="shared" si="213"/>
        <v>1.5616496568083706</v>
      </c>
      <c r="AP291" s="58" t="str">
        <f t="shared" si="214"/>
        <v>-0.0042605514500885+0.000504800486689168i</v>
      </c>
      <c r="AQ291" s="49">
        <f t="shared" si="215"/>
        <v>-47.350141047390593</v>
      </c>
      <c r="AR291" s="61">
        <f t="shared" si="216"/>
        <v>173.24295798917814</v>
      </c>
      <c r="AS291" s="58" t="str">
        <f t="shared" si="217"/>
        <v>0.0398325323326219+0.00464845649202779i</v>
      </c>
      <c r="AT291" s="64">
        <f t="shared" si="218"/>
        <v>-27.936494698628099</v>
      </c>
      <c r="AU291" s="61">
        <f t="shared" si="219"/>
        <v>6.6563092076000405</v>
      </c>
    </row>
    <row r="292" spans="14:47" x14ac:dyDescent="0.3">
      <c r="N292" s="10">
        <v>74</v>
      </c>
      <c r="O292" s="50">
        <f t="shared" si="220"/>
        <v>5495.4087385762541</v>
      </c>
      <c r="P292" s="48" t="str">
        <f t="shared" si="188"/>
        <v>51201.9230769231</v>
      </c>
      <c r="Q292" s="17" t="str">
        <f t="shared" si="189"/>
        <v>1+1613.55137705576i</v>
      </c>
      <c r="R292" s="17">
        <f t="shared" si="197"/>
        <v>1613.5516869312057</v>
      </c>
      <c r="S292" s="17">
        <f t="shared" si="198"/>
        <v>1.5701765759235025</v>
      </c>
      <c r="T292" s="17" t="str">
        <f t="shared" si="190"/>
        <v>1+1.03586014329506E-07i</v>
      </c>
      <c r="U292" s="17">
        <f t="shared" si="199"/>
        <v>1.0000000000000053</v>
      </c>
      <c r="V292" s="17">
        <f t="shared" si="200"/>
        <v>1.0358601432950563E-7</v>
      </c>
      <c r="W292" s="31" t="str">
        <f t="shared" si="191"/>
        <v>1-0.0559364477379331i</v>
      </c>
      <c r="X292" s="17">
        <f t="shared" si="201"/>
        <v>1.0015632212624117</v>
      </c>
      <c r="Y292" s="17">
        <f t="shared" si="202"/>
        <v>-5.5878217423655376E-2</v>
      </c>
      <c r="Z292" s="31" t="str">
        <f t="shared" si="192"/>
        <v>0.987920193118392+3.41344371398669i</v>
      </c>
      <c r="AA292" s="17">
        <f t="shared" si="203"/>
        <v>3.5535312432179813</v>
      </c>
      <c r="AB292" s="17">
        <f t="shared" si="204"/>
        <v>1.2890736387400039</v>
      </c>
      <c r="AC292" s="66" t="str">
        <f t="shared" si="205"/>
        <v>-8.71542305933851-2.00818093918864i</v>
      </c>
      <c r="AD292" s="64">
        <f t="shared" si="206"/>
        <v>19.030432423806481</v>
      </c>
      <c r="AE292" s="61">
        <f t="shared" si="207"/>
        <v>-167.02454996214192</v>
      </c>
      <c r="AF292" s="31" t="str">
        <f t="shared" si="193"/>
        <v>-1.33333333333333E-06</v>
      </c>
      <c r="AG292" s="31" t="str">
        <f t="shared" si="194"/>
        <v>0.0345632001146118i</v>
      </c>
      <c r="AH292" s="31">
        <f t="shared" si="208"/>
        <v>3.4563200114611801E-2</v>
      </c>
      <c r="AI292" s="31">
        <f t="shared" si="209"/>
        <v>1.5707963267948966</v>
      </c>
      <c r="AJ292" s="31" t="str">
        <f t="shared" si="195"/>
        <v>1+0.111761134341525i</v>
      </c>
      <c r="AK292" s="31">
        <f t="shared" si="210"/>
        <v>1.0062258946922924</v>
      </c>
      <c r="AL292" s="31">
        <f t="shared" si="211"/>
        <v>0.11129927139707388</v>
      </c>
      <c r="AM292" s="31" t="str">
        <f t="shared" si="196"/>
        <v>1+111.872895475866i</v>
      </c>
      <c r="AN292" s="31">
        <f t="shared" si="212"/>
        <v>111.87736474441128</v>
      </c>
      <c r="AO292" s="31">
        <f t="shared" si="213"/>
        <v>1.5618578492174862</v>
      </c>
      <c r="AP292" s="58" t="str">
        <f t="shared" si="214"/>
        <v>-0.00425818585452239+0.000514476356209767i</v>
      </c>
      <c r="AQ292" s="49">
        <f t="shared" si="215"/>
        <v>-47.352569412547979</v>
      </c>
      <c r="AR292" s="61">
        <f t="shared" si="216"/>
        <v>173.11088444560858</v>
      </c>
      <c r="AS292" s="58" t="str">
        <f t="shared" si="217"/>
        <v>0.0381450527996572+0.0040673285701795i</v>
      </c>
      <c r="AT292" s="64">
        <f t="shared" si="218"/>
        <v>-28.322136988741494</v>
      </c>
      <c r="AU292" s="61">
        <f t="shared" si="219"/>
        <v>6.0863344834666533</v>
      </c>
    </row>
    <row r="293" spans="14:47" x14ac:dyDescent="0.3">
      <c r="N293" s="10">
        <v>75</v>
      </c>
      <c r="O293" s="50">
        <f t="shared" si="220"/>
        <v>5623.4132519034993</v>
      </c>
      <c r="P293" s="48" t="str">
        <f t="shared" si="188"/>
        <v>51201.9230769231</v>
      </c>
      <c r="Q293" s="17" t="str">
        <f t="shared" si="189"/>
        <v>1+1651.13581682612i</v>
      </c>
      <c r="R293" s="17">
        <f t="shared" si="197"/>
        <v>1651.1361196479404</v>
      </c>
      <c r="S293" s="17">
        <f t="shared" si="198"/>
        <v>1.5701906831721606</v>
      </c>
      <c r="T293" s="17" t="str">
        <f t="shared" si="190"/>
        <v>1+1.05998842561677E-07i</v>
      </c>
      <c r="U293" s="17">
        <f t="shared" si="199"/>
        <v>1.0000000000000058</v>
      </c>
      <c r="V293" s="17">
        <f t="shared" si="200"/>
        <v>1.059988425616766E-7</v>
      </c>
      <c r="W293" s="31" t="str">
        <f t="shared" si="191"/>
        <v>1-0.0572393749833056i</v>
      </c>
      <c r="X293" s="17">
        <f t="shared" si="201"/>
        <v>1.0016368334124297</v>
      </c>
      <c r="Y293" s="17">
        <f t="shared" si="202"/>
        <v>-5.7176985583003416E-2</v>
      </c>
      <c r="Z293" s="31" t="str">
        <f t="shared" si="192"/>
        <v>0.987350889359326+3.49295303206737i</v>
      </c>
      <c r="AA293" s="17">
        <f t="shared" si="203"/>
        <v>3.6298185440800323</v>
      </c>
      <c r="AB293" s="17">
        <f t="shared" si="204"/>
        <v>1.2953140222176243</v>
      </c>
      <c r="AC293" s="66" t="str">
        <f t="shared" si="205"/>
        <v>-8.35292212285089-1.85832733604008i</v>
      </c>
      <c r="AD293" s="64">
        <f t="shared" si="206"/>
        <v>18.646575327271517</v>
      </c>
      <c r="AE293" s="61">
        <f t="shared" si="207"/>
        <v>-167.45731967961319</v>
      </c>
      <c r="AF293" s="31" t="str">
        <f t="shared" si="193"/>
        <v>-1.33333333333333E-06</v>
      </c>
      <c r="AG293" s="31" t="str">
        <f t="shared" si="194"/>
        <v>0.0353682804680796i</v>
      </c>
      <c r="AH293" s="31">
        <f t="shared" si="208"/>
        <v>3.5368280468079598E-2</v>
      </c>
      <c r="AI293" s="31">
        <f t="shared" si="209"/>
        <v>1.5707963267948966</v>
      </c>
      <c r="AJ293" s="31" t="str">
        <f t="shared" si="195"/>
        <v>1+0.11436438558103i</v>
      </c>
      <c r="AK293" s="31">
        <f t="shared" si="210"/>
        <v>1.0065183618242275</v>
      </c>
      <c r="AL293" s="31">
        <f t="shared" si="211"/>
        <v>0.11386966345415357</v>
      </c>
      <c r="AM293" s="31" t="str">
        <f t="shared" si="196"/>
        <v>1+114.478749966611i</v>
      </c>
      <c r="AN293" s="31">
        <f t="shared" si="212"/>
        <v>114.48311750611022</v>
      </c>
      <c r="AO293" s="31">
        <f t="shared" si="213"/>
        <v>1.5620613033375532</v>
      </c>
      <c r="AP293" s="58" t="str">
        <f t="shared" si="214"/>
        <v>-0.00425571158576688+0.000524400403261253i</v>
      </c>
      <c r="AQ293" s="49">
        <f t="shared" si="215"/>
        <v>-47.355109281472238</v>
      </c>
      <c r="AR293" s="61">
        <f t="shared" si="216"/>
        <v>172.97526889144837</v>
      </c>
      <c r="AS293" s="58" t="str">
        <f t="shared" si="217"/>
        <v>0.0365221350576358+0.00352822944450022i</v>
      </c>
      <c r="AT293" s="64">
        <f t="shared" si="218"/>
        <v>-28.708533954200725</v>
      </c>
      <c r="AU293" s="61">
        <f t="shared" si="219"/>
        <v>5.5179492118351989</v>
      </c>
    </row>
    <row r="294" spans="14:47" x14ac:dyDescent="0.3">
      <c r="N294" s="10">
        <v>76</v>
      </c>
      <c r="O294" s="50">
        <f t="shared" si="220"/>
        <v>5754.399373371567</v>
      </c>
      <c r="P294" s="48" t="str">
        <f t="shared" si="188"/>
        <v>51201.9230769231</v>
      </c>
      <c r="Q294" s="17" t="str">
        <f t="shared" si="189"/>
        <v>1+1689.59571066193i</v>
      </c>
      <c r="R294" s="17">
        <f t="shared" si="197"/>
        <v>1689.5960065906856</v>
      </c>
      <c r="S294" s="17">
        <f t="shared" si="198"/>
        <v>1.5702044693008674</v>
      </c>
      <c r="T294" s="17" t="str">
        <f t="shared" si="190"/>
        <v>1+1.08467872783235E-07i</v>
      </c>
      <c r="U294" s="17">
        <f t="shared" si="199"/>
        <v>1.0000000000000058</v>
      </c>
      <c r="V294" s="17">
        <f t="shared" si="200"/>
        <v>1.0846787278323457E-7</v>
      </c>
      <c r="W294" s="31" t="str">
        <f t="shared" si="191"/>
        <v>1-0.0585726513029468i</v>
      </c>
      <c r="X294" s="17">
        <f t="shared" si="201"/>
        <v>1.0017139089983009</v>
      </c>
      <c r="Y294" s="17">
        <f t="shared" si="202"/>
        <v>-5.8505806032133748E-2</v>
      </c>
      <c r="Z294" s="31" t="str">
        <f t="shared" si="192"/>
        <v>0.986754755140696+3.57431436008034i</v>
      </c>
      <c r="AA294" s="17">
        <f t="shared" si="203"/>
        <v>3.7080194297588709</v>
      </c>
      <c r="AB294" s="17">
        <f t="shared" si="204"/>
        <v>1.3014372322146788</v>
      </c>
      <c r="AC294" s="66" t="str">
        <f t="shared" si="205"/>
        <v>-8.004301288779-1.71815387207063i</v>
      </c>
      <c r="AD294" s="64">
        <f t="shared" si="206"/>
        <v>18.262102027115649</v>
      </c>
      <c r="AE294" s="61">
        <f t="shared" si="207"/>
        <v>-167.88507931850833</v>
      </c>
      <c r="AF294" s="31" t="str">
        <f t="shared" si="193"/>
        <v>-1.33333333333333E-06</v>
      </c>
      <c r="AG294" s="31" t="str">
        <f t="shared" si="194"/>
        <v>0.0361921135520061i</v>
      </c>
      <c r="AH294" s="31">
        <f t="shared" si="208"/>
        <v>3.6192113552006099E-2</v>
      </c>
      <c r="AI294" s="31">
        <f t="shared" si="209"/>
        <v>1.5707963267948966</v>
      </c>
      <c r="AJ294" s="31" t="str">
        <f t="shared" si="195"/>
        <v>1+0.117028274331562i</v>
      </c>
      <c r="AK294" s="31">
        <f t="shared" si="210"/>
        <v>1.0068245214500009</v>
      </c>
      <c r="AL294" s="31">
        <f t="shared" si="211"/>
        <v>0.11649836389256595</v>
      </c>
      <c r="AM294" s="31" t="str">
        <f t="shared" si="196"/>
        <v>1+117.145302605894i</v>
      </c>
      <c r="AN294" s="31">
        <f t="shared" si="212"/>
        <v>117.14957073172089</v>
      </c>
      <c r="AO294" s="31">
        <f t="shared" si="213"/>
        <v>1.5622601269752272</v>
      </c>
      <c r="AP294" s="58" t="str">
        <f t="shared" si="214"/>
        <v>-0.00425312378831292+0.000534576175960235i</v>
      </c>
      <c r="AQ294" s="49">
        <f t="shared" si="215"/>
        <v>-47.35776584036045</v>
      </c>
      <c r="AR294" s="61">
        <f t="shared" si="216"/>
        <v>172.83604720602932</v>
      </c>
      <c r="AS294" s="58" t="str">
        <f t="shared" si="217"/>
        <v>0.0349617683467725+0.00302861233109649i</v>
      </c>
      <c r="AT294" s="64">
        <f t="shared" si="218"/>
        <v>-29.095663813244808</v>
      </c>
      <c r="AU294" s="61">
        <f t="shared" si="219"/>
        <v>4.9509678875209993</v>
      </c>
    </row>
    <row r="295" spans="14:47" x14ac:dyDescent="0.3">
      <c r="N295" s="10">
        <v>77</v>
      </c>
      <c r="O295" s="50">
        <f t="shared" si="220"/>
        <v>5888.4365535558973</v>
      </c>
      <c r="P295" s="48" t="str">
        <f t="shared" si="188"/>
        <v>51201.9230769231</v>
      </c>
      <c r="Q295" s="17" t="str">
        <f t="shared" si="189"/>
        <v>1+1728.95145050798i</v>
      </c>
      <c r="R295" s="17">
        <f t="shared" si="197"/>
        <v>1728.9517397005761</v>
      </c>
      <c r="S295" s="17">
        <f t="shared" si="198"/>
        <v>1.5702179416191901</v>
      </c>
      <c r="T295" s="17" t="str">
        <f t="shared" si="190"/>
        <v>1+1.10994414106685E-07i</v>
      </c>
      <c r="U295" s="17">
        <f t="shared" si="199"/>
        <v>1.0000000000000062</v>
      </c>
      <c r="V295" s="17">
        <f t="shared" si="200"/>
        <v>1.1099441410668455E-7</v>
      </c>
      <c r="W295" s="31" t="str">
        <f t="shared" si="191"/>
        <v>1-0.0599369836176098i</v>
      </c>
      <c r="X295" s="17">
        <f t="shared" si="201"/>
        <v>1.0017946106888265</v>
      </c>
      <c r="Y295" s="17">
        <f t="shared" si="202"/>
        <v>-5.9865364547555568E-2</v>
      </c>
      <c r="Z295" s="31" t="str">
        <f t="shared" si="192"/>
        <v>0.986130525981899+3.65757083687869i</v>
      </c>
      <c r="AA295" s="17">
        <f t="shared" si="203"/>
        <v>3.7881760572944359</v>
      </c>
      <c r="AB295" s="17">
        <f t="shared" si="204"/>
        <v>1.3074447529266959</v>
      </c>
      <c r="AC295" s="66" t="str">
        <f t="shared" si="205"/>
        <v>-7.66912718570347-1.58708965938623i</v>
      </c>
      <c r="AD295" s="64">
        <f t="shared" si="206"/>
        <v>17.877038760173289</v>
      </c>
      <c r="AE295" s="61">
        <f t="shared" si="207"/>
        <v>-168.30795362779895</v>
      </c>
      <c r="AF295" s="31" t="str">
        <f t="shared" si="193"/>
        <v>-1.33333333333333E-06</v>
      </c>
      <c r="AG295" s="31" t="str">
        <f t="shared" si="194"/>
        <v>0.0370351361735972i</v>
      </c>
      <c r="AH295" s="31">
        <f t="shared" si="208"/>
        <v>3.7035136173597202E-2</v>
      </c>
      <c r="AI295" s="31">
        <f t="shared" si="209"/>
        <v>1.5707963267948966</v>
      </c>
      <c r="AJ295" s="31" t="str">
        <f t="shared" si="195"/>
        <v>1+0.119754213022197i</v>
      </c>
      <c r="AK295" s="31">
        <f t="shared" si="210"/>
        <v>1.007145010183025</v>
      </c>
      <c r="AL295" s="31">
        <f t="shared" si="211"/>
        <v>0.11918662108967093</v>
      </c>
      <c r="AM295" s="31" t="str">
        <f t="shared" si="196"/>
        <v>1+119.87396723522i</v>
      </c>
      <c r="AN295" s="31">
        <f t="shared" si="212"/>
        <v>119.87813821006146</v>
      </c>
      <c r="AO295" s="31">
        <f t="shared" si="213"/>
        <v>1.5624544254865189</v>
      </c>
      <c r="AP295" s="58" t="str">
        <f t="shared" si="214"/>
        <v>-0.00425041740270906+0.000545007238811369i</v>
      </c>
      <c r="AQ295" s="49">
        <f t="shared" si="215"/>
        <v>-47.360544503863863</v>
      </c>
      <c r="AR295" s="61">
        <f t="shared" si="216"/>
        <v>172.69315389905222</v>
      </c>
      <c r="AS295" s="58" t="str">
        <f t="shared" si="217"/>
        <v>0.0334619670067114+0.00256606367634137i</v>
      </c>
      <c r="AT295" s="64">
        <f t="shared" si="218"/>
        <v>-29.483505743690557</v>
      </c>
      <c r="AU295" s="61">
        <f t="shared" si="219"/>
        <v>4.3852002712532441</v>
      </c>
    </row>
    <row r="296" spans="14:47" x14ac:dyDescent="0.3">
      <c r="N296" s="10">
        <v>78</v>
      </c>
      <c r="O296" s="50">
        <f t="shared" si="220"/>
        <v>6025.595860743585</v>
      </c>
      <c r="P296" s="48" t="str">
        <f t="shared" si="188"/>
        <v>51201.9230769231</v>
      </c>
      <c r="Q296" s="17" t="str">
        <f t="shared" si="189"/>
        <v>1+1769.22390329846i</v>
      </c>
      <c r="R296" s="17">
        <f t="shared" si="197"/>
        <v>1769.2241859082301</v>
      </c>
      <c r="S296" s="17">
        <f t="shared" si="198"/>
        <v>1.5702311072703103</v>
      </c>
      <c r="T296" s="17" t="str">
        <f t="shared" si="190"/>
        <v>1+1.13579806137679E-07i</v>
      </c>
      <c r="U296" s="17">
        <f t="shared" si="199"/>
        <v>1.0000000000000064</v>
      </c>
      <c r="V296" s="17">
        <f t="shared" si="200"/>
        <v>1.1357980613767851E-7</v>
      </c>
      <c r="W296" s="31" t="str">
        <f t="shared" si="191"/>
        <v>1-0.0613330953143464i</v>
      </c>
      <c r="X296" s="17">
        <f t="shared" si="201"/>
        <v>1.001879108765543</v>
      </c>
      <c r="Y296" s="17">
        <f t="shared" si="202"/>
        <v>-6.1256361869768572E-2</v>
      </c>
      <c r="Z296" s="31" t="str">
        <f t="shared" si="192"/>
        <v>0.985476877809196+3.74276660614842i</v>
      </c>
      <c r="AA296" s="17">
        <f t="shared" si="203"/>
        <v>3.8703315807300438</v>
      </c>
      <c r="AB296" s="17">
        <f t="shared" si="204"/>
        <v>1.3133381082163804</v>
      </c>
      <c r="AC296" s="66" t="str">
        <f t="shared" si="205"/>
        <v>-7.34697180061497-1.4645936811938i</v>
      </c>
      <c r="AD296" s="64">
        <f t="shared" si="206"/>
        <v>17.491411044168284</v>
      </c>
      <c r="AE296" s="61">
        <f t="shared" si="207"/>
        <v>-168.72607047705756</v>
      </c>
      <c r="AF296" s="31" t="str">
        <f t="shared" si="193"/>
        <v>-1.33333333333333E-06</v>
      </c>
      <c r="AG296" s="31" t="str">
        <f t="shared" si="194"/>
        <v>0.0378977953146055i</v>
      </c>
      <c r="AH296" s="31">
        <f t="shared" si="208"/>
        <v>3.7897795314605499E-2</v>
      </c>
      <c r="AI296" s="31">
        <f t="shared" si="209"/>
        <v>1.5707963267948966</v>
      </c>
      <c r="AJ296" s="31" t="str">
        <f t="shared" si="195"/>
        <v>1+0.122543646981711i</v>
      </c>
      <c r="AK296" s="31">
        <f t="shared" si="210"/>
        <v>1.007480493813939</v>
      </c>
      <c r="AL296" s="31">
        <f t="shared" si="211"/>
        <v>0.12193570489294869</v>
      </c>
      <c r="AM296" s="31" t="str">
        <f t="shared" si="196"/>
        <v>1+122.666190628693i</v>
      </c>
      <c r="AN296" s="31">
        <f t="shared" si="212"/>
        <v>122.6702666637472</v>
      </c>
      <c r="AO296" s="31">
        <f t="shared" si="213"/>
        <v>1.5626443018323561</v>
      </c>
      <c r="AP296" s="58" t="str">
        <f t="shared" si="214"/>
        <v>-0.00424758715823838+0.000555697166872155i</v>
      </c>
      <c r="AQ296" s="49">
        <f t="shared" si="215"/>
        <v>-47.363450924784836</v>
      </c>
      <c r="AR296" s="61">
        <f t="shared" si="216"/>
        <v>172.54652211284247</v>
      </c>
      <c r="AS296" s="58" t="str">
        <f t="shared" si="217"/>
        <v>0.0320207736314899+0.00213829789758451i</v>
      </c>
      <c r="AT296" s="64">
        <f t="shared" si="218"/>
        <v>-29.872039880616555</v>
      </c>
      <c r="AU296" s="61">
        <f t="shared" si="219"/>
        <v>3.8204516357848992</v>
      </c>
    </row>
    <row r="297" spans="14:47" x14ac:dyDescent="0.3">
      <c r="N297" s="10">
        <v>79</v>
      </c>
      <c r="O297" s="50">
        <f t="shared" si="220"/>
        <v>6165.9500186148289</v>
      </c>
      <c r="P297" s="48" t="str">
        <f t="shared" si="188"/>
        <v>51201.9230769231</v>
      </c>
      <c r="Q297" s="17" t="str">
        <f t="shared" si="189"/>
        <v>1+1810.43442202091i</v>
      </c>
      <c r="R297" s="17">
        <f t="shared" si="197"/>
        <v>1810.4346981976971</v>
      </c>
      <c r="S297" s="17">
        <f t="shared" si="198"/>
        <v>1.5702439732348126</v>
      </c>
      <c r="T297" s="17" t="str">
        <f t="shared" si="190"/>
        <v>1+1.16225419685293E-07i</v>
      </c>
      <c r="U297" s="17">
        <f t="shared" si="199"/>
        <v>1.0000000000000067</v>
      </c>
      <c r="V297" s="17">
        <f t="shared" si="200"/>
        <v>1.1622541968529248E-7</v>
      </c>
      <c r="W297" s="31" t="str">
        <f t="shared" si="191"/>
        <v>1-0.0627617266300583i</v>
      </c>
      <c r="X297" s="17">
        <f t="shared" si="201"/>
        <v>1.00196758147636</v>
      </c>
      <c r="Y297" s="17">
        <f t="shared" si="202"/>
        <v>-6.267951398057274E-2</v>
      </c>
      <c r="Z297" s="31" t="str">
        <f t="shared" si="192"/>
        <v>0.984792424147177+3.8299468398141i</v>
      </c>
      <c r="AA297" s="17">
        <f t="shared" si="203"/>
        <v>3.9545301761978857</v>
      </c>
      <c r="AB297" s="17">
        <f t="shared" si="204"/>
        <v>1.3191188572918537</v>
      </c>
      <c r="AC297" s="66" t="str">
        <f t="shared" si="205"/>
        <v>-7.03741317716097-1.35015357880266i</v>
      </c>
      <c r="AD297" s="64">
        <f t="shared" si="206"/>
        <v>17.105243691188104</v>
      </c>
      <c r="AE297" s="61">
        <f t="shared" si="207"/>
        <v>-169.13956062494333</v>
      </c>
      <c r="AF297" s="31" t="str">
        <f t="shared" si="193"/>
        <v>-1.33333333333333E-06</v>
      </c>
      <c r="AG297" s="31" t="str">
        <f t="shared" si="194"/>
        <v>0.0387805483683262i</v>
      </c>
      <c r="AH297" s="31">
        <f t="shared" si="208"/>
        <v>3.8780548368326201E-2</v>
      </c>
      <c r="AI297" s="31">
        <f t="shared" si="209"/>
        <v>1.5707963267948966</v>
      </c>
      <c r="AJ297" s="31" t="str">
        <f t="shared" si="195"/>
        <v>1+0.125398055204912i</v>
      </c>
      <c r="AK297" s="31">
        <f t="shared" si="210"/>
        <v>1.0078316686079944</v>
      </c>
      <c r="AL297" s="31">
        <f t="shared" si="211"/>
        <v>0.12474690660505353</v>
      </c>
      <c r="AM297" s="31" t="str">
        <f t="shared" si="196"/>
        <v>1+125.523453260117i</v>
      </c>
      <c r="AN297" s="31">
        <f t="shared" si="212"/>
        <v>125.52743651626434</v>
      </c>
      <c r="AO297" s="31">
        <f t="shared" si="213"/>
        <v>1.5628298566328944</v>
      </c>
      <c r="AP297" s="58" t="str">
        <f t="shared" si="214"/>
        <v>-0.00424462756545498+0.000566649539446349i</v>
      </c>
      <c r="AQ297" s="49">
        <f t="shared" si="215"/>
        <v>-47.366491004113712</v>
      </c>
      <c r="AR297" s="61">
        <f t="shared" si="216"/>
        <v>172.39608362631813</v>
      </c>
      <c r="AS297" s="58" t="str">
        <f t="shared" si="217"/>
        <v>0.0306362618648839+0.00174315216245153i</v>
      </c>
      <c r="AT297" s="64">
        <f t="shared" si="218"/>
        <v>-30.261247312925619</v>
      </c>
      <c r="AU297" s="61">
        <f t="shared" si="219"/>
        <v>3.2565230013748039</v>
      </c>
    </row>
    <row r="298" spans="14:47" x14ac:dyDescent="0.3">
      <c r="N298" s="10">
        <v>80</v>
      </c>
      <c r="O298" s="50">
        <f t="shared" si="220"/>
        <v>6309.5734448019384</v>
      </c>
      <c r="P298" s="48" t="str">
        <f t="shared" si="188"/>
        <v>51201.9230769231</v>
      </c>
      <c r="Q298" s="17" t="str">
        <f t="shared" si="189"/>
        <v>1+1852.60485703786i</v>
      </c>
      <c r="R298" s="17">
        <f t="shared" si="197"/>
        <v>1852.6051269280968</v>
      </c>
      <c r="S298" s="17">
        <f t="shared" si="198"/>
        <v>1.5702565463343845</v>
      </c>
      <c r="T298" s="17" t="str">
        <f t="shared" si="190"/>
        <v>1+1.1893265748885E-07i</v>
      </c>
      <c r="U298" s="17">
        <f t="shared" si="199"/>
        <v>1.0000000000000071</v>
      </c>
      <c r="V298" s="17">
        <f t="shared" si="200"/>
        <v>1.1893265748884945E-7</v>
      </c>
      <c r="W298" s="31" t="str">
        <f t="shared" si="191"/>
        <v>1-0.064223635043979i</v>
      </c>
      <c r="X298" s="17">
        <f t="shared" si="201"/>
        <v>1.0020602154053728</v>
      </c>
      <c r="Y298" s="17">
        <f t="shared" si="202"/>
        <v>-6.4135552381855879E-2</v>
      </c>
      <c r="Z298" s="31" t="str">
        <f t="shared" si="192"/>
        <v>0.98407571317786+3.91915776198958i</v>
      </c>
      <c r="AA298" s="17">
        <f t="shared" si="203"/>
        <v>4.0408170674542649</v>
      </c>
      <c r="AB298" s="17">
        <f t="shared" si="204"/>
        <v>1.3247885905971537</v>
      </c>
      <c r="AC298" s="66" t="str">
        <f t="shared" si="205"/>
        <v>-6.74003603290553-1.24328445238404i</v>
      </c>
      <c r="AD298" s="64">
        <f t="shared" si="206"/>
        <v>16.718560822475791</v>
      </c>
      <c r="AE298" s="61">
        <f t="shared" si="207"/>
        <v>-169.54855749993186</v>
      </c>
      <c r="AF298" s="31" t="str">
        <f t="shared" si="193"/>
        <v>-1.33333333333333E-06</v>
      </c>
      <c r="AG298" s="31" t="str">
        <f t="shared" si="194"/>
        <v>0.039683863382113i</v>
      </c>
      <c r="AH298" s="31">
        <f t="shared" si="208"/>
        <v>3.9683863382113001E-2</v>
      </c>
      <c r="AI298" s="31">
        <f t="shared" si="209"/>
        <v>1.5707963267948966</v>
      </c>
      <c r="AJ298" s="31" t="str">
        <f t="shared" si="195"/>
        <v>1+0.128318951136821i</v>
      </c>
      <c r="AK298" s="31">
        <f t="shared" si="210"/>
        <v>1.0081992626563729</v>
      </c>
      <c r="AL298" s="31">
        <f t="shared" si="211"/>
        <v>0.12762153893510644</v>
      </c>
      <c r="AM298" s="31" t="str">
        <f t="shared" si="196"/>
        <v>1+128.447270087958i</v>
      </c>
      <c r="AN298" s="31">
        <f t="shared" si="212"/>
        <v>128.45116267690545</v>
      </c>
      <c r="AO298" s="31">
        <f t="shared" si="213"/>
        <v>1.5630111882206055</v>
      </c>
      <c r="AP298" s="58" t="str">
        <f t="shared" si="214"/>
        <v>-0.00424153290859058+0.000577867933277135i</v>
      </c>
      <c r="AQ298" s="49">
        <f t="shared" si="215"/>
        <v>-47.369670901412526</v>
      </c>
      <c r="AR298" s="61">
        <f t="shared" si="216"/>
        <v>172.2417688608225</v>
      </c>
      <c r="AS298" s="58" t="str">
        <f t="shared" si="217"/>
        <v>0.0293065388556299+0.00137858122697739i</v>
      </c>
      <c r="AT298" s="64">
        <f t="shared" si="218"/>
        <v>-30.651110078936728</v>
      </c>
      <c r="AU298" s="61">
        <f t="shared" si="219"/>
        <v>2.6932113608906776</v>
      </c>
    </row>
    <row r="299" spans="14:47" x14ac:dyDescent="0.3">
      <c r="N299" s="10">
        <v>81</v>
      </c>
      <c r="O299" s="50">
        <f t="shared" si="220"/>
        <v>6456.5422903465615</v>
      </c>
      <c r="P299" s="48" t="str">
        <f t="shared" si="188"/>
        <v>51201.9230769231</v>
      </c>
      <c r="Q299" s="17" t="str">
        <f t="shared" si="189"/>
        <v>1+1895.75756767213i</v>
      </c>
      <c r="R299" s="17">
        <f t="shared" si="197"/>
        <v>1895.7578314189159</v>
      </c>
      <c r="S299" s="17">
        <f t="shared" si="198"/>
        <v>1.5702688332354338</v>
      </c>
      <c r="T299" s="17" t="str">
        <f t="shared" si="190"/>
        <v>1+1.21702954961668E-07i</v>
      </c>
      <c r="U299" s="17">
        <f t="shared" si="199"/>
        <v>1.0000000000000075</v>
      </c>
      <c r="V299" s="17">
        <f t="shared" si="200"/>
        <v>1.217029549616674E-7</v>
      </c>
      <c r="W299" s="31" t="str">
        <f t="shared" si="191"/>
        <v>1-0.0657195956793005i</v>
      </c>
      <c r="X299" s="17">
        <f t="shared" si="201"/>
        <v>1.0021572058595651</v>
      </c>
      <c r="Y299" s="17">
        <f t="shared" si="202"/>
        <v>-6.5625224375557914E-2</v>
      </c>
      <c r="Z299" s="31" t="str">
        <f t="shared" si="192"/>
        <v>0.983325224661187+4.01044667348667i</v>
      </c>
      <c r="AA299" s="17">
        <f t="shared" si="203"/>
        <v>4.1292385518803911</v>
      </c>
      <c r="AB299" s="17">
        <f t="shared" si="204"/>
        <v>1.33034892591263</v>
      </c>
      <c r="AC299" s="66" t="str">
        <f t="shared" si="205"/>
        <v>-6.45443230026405-1.14352767958814i</v>
      </c>
      <c r="AD299" s="64">
        <f t="shared" si="206"/>
        <v>16.331385884401655</v>
      </c>
      <c r="AE299" s="61">
        <f t="shared" si="207"/>
        <v>-169.95319699313117</v>
      </c>
      <c r="AF299" s="31" t="str">
        <f t="shared" si="193"/>
        <v>-1.33333333333333E-06</v>
      </c>
      <c r="AG299" s="31" t="str">
        <f t="shared" si="194"/>
        <v>0.0406082193055431i</v>
      </c>
      <c r="AH299" s="31">
        <f t="shared" si="208"/>
        <v>4.0608219305543099E-2</v>
      </c>
      <c r="AI299" s="31">
        <f t="shared" si="209"/>
        <v>1.5707963267948966</v>
      </c>
      <c r="AJ299" s="31" t="str">
        <f t="shared" si="195"/>
        <v>1+0.131307883475126i</v>
      </c>
      <c r="AK299" s="31">
        <f t="shared" si="210"/>
        <v>1.0085840372833179</v>
      </c>
      <c r="AL299" s="31">
        <f t="shared" si="211"/>
        <v>0.13056093591345599</v>
      </c>
      <c r="AM299" s="31" t="str">
        <f t="shared" si="196"/>
        <v>1+131.439191358601i</v>
      </c>
      <c r="AN299" s="31">
        <f t="shared" si="212"/>
        <v>131.44299534400045</v>
      </c>
      <c r="AO299" s="31">
        <f t="shared" si="213"/>
        <v>1.563188392692171</v>
      </c>
      <c r="AP299" s="58" t="str">
        <f t="shared" si="214"/>
        <v>-0.00423829723784451+0.000589355915210172i</v>
      </c>
      <c r="AQ299" s="49">
        <f t="shared" si="215"/>
        <v>-47.372997045550306</v>
      </c>
      <c r="AR299" s="61">
        <f t="shared" si="216"/>
        <v>172.08350688798109</v>
      </c>
      <c r="AS299" s="58" t="str">
        <f t="shared" si="217"/>
        <v>0.0280297473922353+0.00104265235031294i</v>
      </c>
      <c r="AT299" s="64">
        <f t="shared" si="218"/>
        <v>-31.041611161148658</v>
      </c>
      <c r="AU299" s="61">
        <f t="shared" si="219"/>
        <v>2.1303098948499484</v>
      </c>
    </row>
    <row r="300" spans="14:47" x14ac:dyDescent="0.3">
      <c r="N300" s="10">
        <v>82</v>
      </c>
      <c r="O300" s="50">
        <f t="shared" si="220"/>
        <v>6606.9344800759654</v>
      </c>
      <c r="P300" s="48" t="str">
        <f t="shared" si="188"/>
        <v>51201.9230769231</v>
      </c>
      <c r="Q300" s="17" t="str">
        <f t="shared" si="189"/>
        <v>1+1939.9154340621i</v>
      </c>
      <c r="R300" s="17">
        <f t="shared" si="197"/>
        <v>1939.9156918052768</v>
      </c>
      <c r="S300" s="17">
        <f t="shared" si="198"/>
        <v>1.5702808404526232</v>
      </c>
      <c r="T300" s="17" t="str">
        <f t="shared" si="190"/>
        <v>1+1.24537780952135E-07i</v>
      </c>
      <c r="U300" s="17">
        <f t="shared" si="199"/>
        <v>1.0000000000000078</v>
      </c>
      <c r="V300" s="17">
        <f t="shared" si="200"/>
        <v>1.2453778095213435E-7</v>
      </c>
      <c r="W300" s="31" t="str">
        <f t="shared" si="191"/>
        <v>1-0.0672504017141526i</v>
      </c>
      <c r="X300" s="17">
        <f t="shared" si="201"/>
        <v>1.0022587572731478</v>
      </c>
      <c r="Y300" s="17">
        <f t="shared" si="202"/>
        <v>-6.7149293344469077E-2</v>
      </c>
      <c r="Z300" s="31" t="str">
        <f t="shared" si="192"/>
        <v>0.982539366710393+4.10386197689457i</v>
      </c>
      <c r="AA300" s="17">
        <f t="shared" si="203"/>
        <v>4.2198420269645949</v>
      </c>
      <c r="AB300" s="17">
        <f t="shared" si="204"/>
        <v>1.3358015046620138</v>
      </c>
      <c r="AC300" s="66" t="str">
        <f t="shared" si="205"/>
        <v>-6.18020159577607-1.05044975557284i</v>
      </c>
      <c r="AD300" s="64">
        <f t="shared" si="206"/>
        <v>15.943741665486314</v>
      </c>
      <c r="AE300" s="61">
        <f t="shared" si="207"/>
        <v>-170.35361726298413</v>
      </c>
      <c r="AF300" s="31" t="str">
        <f t="shared" si="193"/>
        <v>-1.33333333333333E-06</v>
      </c>
      <c r="AG300" s="31" t="str">
        <f t="shared" si="194"/>
        <v>0.0415541062443622i</v>
      </c>
      <c r="AH300" s="31">
        <f t="shared" si="208"/>
        <v>4.1554106244362198E-2</v>
      </c>
      <c r="AI300" s="31">
        <f t="shared" si="209"/>
        <v>1.5707963267948966</v>
      </c>
      <c r="AJ300" s="31" t="str">
        <f t="shared" si="195"/>
        <v>1+0.134366436991314i</v>
      </c>
      <c r="AK300" s="31">
        <f t="shared" si="210"/>
        <v>1.0089867885109998</v>
      </c>
      <c r="AL300" s="31">
        <f t="shared" si="211"/>
        <v>0.13356645276694457</v>
      </c>
      <c r="AM300" s="31" t="str">
        <f t="shared" si="196"/>
        <v>1+134.500803428305i</v>
      </c>
      <c r="AN300" s="31">
        <f t="shared" si="212"/>
        <v>134.50452082684635</v>
      </c>
      <c r="AO300" s="31">
        <f t="shared" si="213"/>
        <v>1.563361563959206</v>
      </c>
      <c r="AP300" s="58" t="str">
        <f t="shared" si="214"/>
        <v>-0.00423491436157126+0.000601117034295236i</v>
      </c>
      <c r="AQ300" s="49">
        <f t="shared" si="215"/>
        <v>-47.376476145796396</v>
      </c>
      <c r="AR300" s="61">
        <f t="shared" si="216"/>
        <v>171.92122543975483</v>
      </c>
      <c r="AS300" s="58" t="str">
        <f t="shared" si="217"/>
        <v>0.0268040677371038+0.000733540301384845i</v>
      </c>
      <c r="AT300" s="64">
        <f t="shared" si="218"/>
        <v>-31.432734480310074</v>
      </c>
      <c r="AU300" s="61">
        <f t="shared" si="219"/>
        <v>1.5676081767707051</v>
      </c>
    </row>
    <row r="301" spans="14:47" x14ac:dyDescent="0.3">
      <c r="N301" s="10">
        <v>83</v>
      </c>
      <c r="O301" s="50">
        <f t="shared" si="220"/>
        <v>6760.8297539198229</v>
      </c>
      <c r="P301" s="48" t="str">
        <f t="shared" si="188"/>
        <v>51201.9230769231</v>
      </c>
      <c r="Q301" s="17" t="str">
        <f t="shared" si="189"/>
        <v>1+1985.10186929302i</v>
      </c>
      <c r="R301" s="17">
        <f t="shared" si="197"/>
        <v>1985.1021211692469</v>
      </c>
      <c r="S301" s="17">
        <f t="shared" si="198"/>
        <v>1.5702925743523244</v>
      </c>
      <c r="T301" s="17" t="str">
        <f t="shared" si="190"/>
        <v>1+1.27438638522515E-07i</v>
      </c>
      <c r="U301" s="17">
        <f t="shared" si="199"/>
        <v>1.000000000000008</v>
      </c>
      <c r="V301" s="17">
        <f t="shared" si="200"/>
        <v>1.2743863852251431E-7</v>
      </c>
      <c r="W301" s="31" t="str">
        <f t="shared" si="191"/>
        <v>1-0.068816864802158i</v>
      </c>
      <c r="X301" s="17">
        <f t="shared" si="201"/>
        <v>1.00236508363031</v>
      </c>
      <c r="Y301" s="17">
        <f t="shared" si="202"/>
        <v>-6.8708539033498203E-2</v>
      </c>
      <c r="Z301" s="31" t="str">
        <f t="shared" si="192"/>
        <v>0.981716472415405+4.19945320224365i</v>
      </c>
      <c r="AA301" s="17">
        <f t="shared" si="203"/>
        <v>4.3126760172827954</v>
      </c>
      <c r="AB301" s="17">
        <f t="shared" si="204"/>
        <v>1.3411479884222723</v>
      </c>
      <c r="AC301" s="66" t="str">
        <f t="shared" si="205"/>
        <v>-5.91695162234067-0.96364115748972i</v>
      </c>
      <c r="AD301" s="64">
        <f t="shared" si="206"/>
        <v>15.555650314356033</v>
      </c>
      <c r="AE301" s="61">
        <f t="shared" si="207"/>
        <v>-170.7499585516108</v>
      </c>
      <c r="AF301" s="31" t="str">
        <f t="shared" si="193"/>
        <v>-1.33333333333333E-06</v>
      </c>
      <c r="AG301" s="31" t="str">
        <f t="shared" si="194"/>
        <v>0.0425220257203458i</v>
      </c>
      <c r="AH301" s="31">
        <f t="shared" si="208"/>
        <v>4.2522025720345802E-2</v>
      </c>
      <c r="AI301" s="31">
        <f t="shared" si="209"/>
        <v>1.5707963267948966</v>
      </c>
      <c r="AJ301" s="31" t="str">
        <f t="shared" si="195"/>
        <v>1+0.137496233370945i</v>
      </c>
      <c r="AK301" s="31">
        <f t="shared" si="210"/>
        <v>1.009408348584059</v>
      </c>
      <c r="AL301" s="31">
        <f t="shared" si="211"/>
        <v>0.13663946575159847</v>
      </c>
      <c r="AM301" s="31" t="str">
        <f t="shared" si="196"/>
        <v>1+137.633729604316i</v>
      </c>
      <c r="AN301" s="31">
        <f t="shared" si="212"/>
        <v>137.63736238679513</v>
      </c>
      <c r="AO301" s="31">
        <f t="shared" si="213"/>
        <v>1.5635307937978398</v>
      </c>
      <c r="AP301" s="58" t="str">
        <f t="shared" si="214"/>
        <v>-0.00423137783838304+0.0006131548132945i</v>
      </c>
      <c r="AQ301" s="49">
        <f t="shared" si="215"/>
        <v>-47.380115203275402</v>
      </c>
      <c r="AR301" s="61">
        <f t="shared" si="216"/>
        <v>171.75485092086663</v>
      </c>
      <c r="AS301" s="58" t="str">
        <f t="shared" si="217"/>
        <v>0.0256277191795604+0.0004495224706869i</v>
      </c>
      <c r="AT301" s="64">
        <f t="shared" si="218"/>
        <v>-31.824464888919366</v>
      </c>
      <c r="AU301" s="61">
        <f t="shared" si="219"/>
        <v>1.0048923692558376</v>
      </c>
    </row>
    <row r="302" spans="14:47" x14ac:dyDescent="0.3">
      <c r="N302" s="10">
        <v>84</v>
      </c>
      <c r="O302" s="50">
        <f t="shared" si="220"/>
        <v>6918.3097091893687</v>
      </c>
      <c r="P302" s="48" t="str">
        <f t="shared" si="188"/>
        <v>51201.9230769231</v>
      </c>
      <c r="Q302" s="17" t="str">
        <f t="shared" si="189"/>
        <v>1+2031.34083181097i</v>
      </c>
      <c r="R302" s="17">
        <f t="shared" si="197"/>
        <v>2031.3410779537944</v>
      </c>
      <c r="S302" s="17">
        <f t="shared" si="198"/>
        <v>1.5703040411559934</v>
      </c>
      <c r="T302" s="17" t="str">
        <f t="shared" si="190"/>
        <v>1+1.3040706574589E-07i</v>
      </c>
      <c r="U302" s="17">
        <f t="shared" si="199"/>
        <v>1.0000000000000084</v>
      </c>
      <c r="V302" s="17">
        <f t="shared" si="200"/>
        <v>1.3040706574588925E-7</v>
      </c>
      <c r="W302" s="31" t="str">
        <f t="shared" si="191"/>
        <v>1-0.0704198155027803i</v>
      </c>
      <c r="X302" s="17">
        <f t="shared" si="201"/>
        <v>1.0024764089071851</v>
      </c>
      <c r="Y302" s="17">
        <f t="shared" si="202"/>
        <v>-7.0303757831001609E-2</v>
      </c>
      <c r="Z302" s="31" t="str">
        <f t="shared" si="192"/>
        <v>0.980854796307094+4.2972710332669i</v>
      </c>
      <c r="AA302" s="17">
        <f t="shared" si="203"/>
        <v>4.4077902019938975</v>
      </c>
      <c r="AB302" s="17">
        <f t="shared" si="204"/>
        <v>1.3463900556317214</v>
      </c>
      <c r="AC302" s="66" t="str">
        <f t="shared" si="205"/>
        <v>-5.66429850896503-0.882715235999986i</v>
      </c>
      <c r="AD302" s="64">
        <f t="shared" si="206"/>
        <v>15.167133358518548</v>
      </c>
      <c r="AE302" s="61">
        <f t="shared" si="207"/>
        <v>-171.14236301250941</v>
      </c>
      <c r="AF302" s="31" t="str">
        <f t="shared" si="193"/>
        <v>-1.33333333333333E-06</v>
      </c>
      <c r="AG302" s="31" t="str">
        <f t="shared" si="194"/>
        <v>0.0435124909372118i</v>
      </c>
      <c r="AH302" s="31">
        <f t="shared" si="208"/>
        <v>4.3512490937211802E-2</v>
      </c>
      <c r="AI302" s="31">
        <f t="shared" si="209"/>
        <v>1.5707963267948966</v>
      </c>
      <c r="AJ302" s="31" t="str">
        <f t="shared" si="195"/>
        <v>1+0.140698932073487i</v>
      </c>
      <c r="AK302" s="31">
        <f t="shared" si="210"/>
        <v>1.0098495875558002</v>
      </c>
      <c r="AL302" s="31">
        <f t="shared" si="211"/>
        <v>0.13978137193943152</v>
      </c>
      <c r="AM302" s="31" t="str">
        <f t="shared" si="196"/>
        <v>1+140.839631005561i</v>
      </c>
      <c r="AN302" s="31">
        <f t="shared" si="212"/>
        <v>140.84318109792386</v>
      </c>
      <c r="AO302" s="31">
        <f t="shared" si="213"/>
        <v>1.563696171897178</v>
      </c>
      <c r="AP302" s="58" t="str">
        <f t="shared" si="214"/>
        <v>-0.00422768096918658+0.000625472739564014i</v>
      </c>
      <c r="AQ302" s="49">
        <f t="shared" si="215"/>
        <v>-47.383921522787901</v>
      </c>
      <c r="AR302" s="61">
        <f t="shared" si="216"/>
        <v>171.58430842379377</v>
      </c>
      <c r="AS302" s="58" t="str">
        <f t="shared" si="217"/>
        <v>0.0244989613270592+0.000188974098337465i</v>
      </c>
      <c r="AT302" s="64">
        <f t="shared" si="218"/>
        <v>-32.216788164269346</v>
      </c>
      <c r="AU302" s="61">
        <f t="shared" si="219"/>
        <v>0.44194541128437653</v>
      </c>
    </row>
    <row r="303" spans="14:47" x14ac:dyDescent="0.3">
      <c r="N303" s="10">
        <v>85</v>
      </c>
      <c r="O303" s="50">
        <f t="shared" si="220"/>
        <v>7079.4578438413828</v>
      </c>
      <c r="P303" s="48" t="str">
        <f t="shared" si="188"/>
        <v>51201.9230769231</v>
      </c>
      <c r="Q303" s="17" t="str">
        <f t="shared" si="189"/>
        <v>1+2078.65683812592i</v>
      </c>
      <c r="R303" s="17">
        <f t="shared" si="197"/>
        <v>2078.6570786658503</v>
      </c>
      <c r="S303" s="17">
        <f t="shared" si="198"/>
        <v>1.5703152469434694</v>
      </c>
      <c r="T303" s="17" t="str">
        <f t="shared" si="190"/>
        <v>1+1.33444636521664E-07i</v>
      </c>
      <c r="U303" s="17">
        <f t="shared" si="199"/>
        <v>1.0000000000000089</v>
      </c>
      <c r="V303" s="17">
        <f t="shared" si="200"/>
        <v>1.334446365216632E-7</v>
      </c>
      <c r="W303" s="31" t="str">
        <f t="shared" si="191"/>
        <v>1-0.0720601037216987i</v>
      </c>
      <c r="X303" s="17">
        <f t="shared" si="201"/>
        <v>1.0025929675338752</v>
      </c>
      <c r="Y303" s="17">
        <f t="shared" si="202"/>
        <v>-7.1935763049737769E-2</v>
      </c>
      <c r="Z303" s="31" t="str">
        <f t="shared" si="192"/>
        <v>0.979952510654909+4.39736733427309i</v>
      </c>
      <c r="AA303" s="17">
        <f t="shared" si="203"/>
        <v>4.5052354428676518</v>
      </c>
      <c r="AB303" s="17">
        <f t="shared" si="204"/>
        <v>1.3515293984913666</v>
      </c>
      <c r="AC303" s="66" t="str">
        <f t="shared" si="205"/>
        <v>-5.42186709247671-0.807307135956634i</v>
      </c>
      <c r="AD303" s="64">
        <f t="shared" si="206"/>
        <v>14.778211723857236</v>
      </c>
      <c r="AE303" s="61">
        <f t="shared" si="207"/>
        <v>-171.53097454930318</v>
      </c>
      <c r="AF303" s="31" t="str">
        <f t="shared" si="193"/>
        <v>-1.33333333333333E-06</v>
      </c>
      <c r="AG303" s="31" t="str">
        <f t="shared" si="194"/>
        <v>0.0445260270527287i</v>
      </c>
      <c r="AH303" s="31">
        <f t="shared" si="208"/>
        <v>4.4526027052728699E-2</v>
      </c>
      <c r="AI303" s="31">
        <f t="shared" si="209"/>
        <v>1.5707963267948966</v>
      </c>
      <c r="AJ303" s="31" t="str">
        <f t="shared" si="195"/>
        <v>1+0.143976231212185i</v>
      </c>
      <c r="AK303" s="31">
        <f t="shared" si="210"/>
        <v>1.0103114149380201</v>
      </c>
      <c r="AL303" s="31">
        <f t="shared" si="211"/>
        <v>0.14299358895591438</v>
      </c>
      <c r="AM303" s="31" t="str">
        <f t="shared" si="196"/>
        <v>1+144.120207443397i</v>
      </c>
      <c r="AN303" s="31">
        <f t="shared" si="212"/>
        <v>144.12367672775969</v>
      </c>
      <c r="AO303" s="31">
        <f t="shared" si="213"/>
        <v>1.5638577859066731</v>
      </c>
      <c r="AP303" s="58" t="str">
        <f t="shared" si="214"/>
        <v>-0.00422381678917636+0.000638074255274341i</v>
      </c>
      <c r="AQ303" s="49">
        <f t="shared" si="215"/>
        <v>-47.387902724999378</v>
      </c>
      <c r="AR303" s="61">
        <f t="shared" si="216"/>
        <v>171.40952174652341</v>
      </c>
      <c r="AS303" s="58" t="str">
        <f t="shared" si="217"/>
        <v>0.0234160951534391-0.0000496363723530209i</v>
      </c>
      <c r="AT303" s="64">
        <f t="shared" si="218"/>
        <v>-32.60969100114216</v>
      </c>
      <c r="AU303" s="61">
        <f t="shared" si="219"/>
        <v>-0.121452802779772</v>
      </c>
    </row>
    <row r="304" spans="14:47" x14ac:dyDescent="0.3">
      <c r="N304" s="10">
        <v>86</v>
      </c>
      <c r="O304" s="50">
        <f t="shared" si="220"/>
        <v>7244.3596007499036</v>
      </c>
      <c r="P304" s="48" t="str">
        <f t="shared" si="188"/>
        <v>51201.9230769231</v>
      </c>
      <c r="Q304" s="17" t="str">
        <f t="shared" si="189"/>
        <v>1+2127.07497581073i</v>
      </c>
      <c r="R304" s="17">
        <f t="shared" si="197"/>
        <v>2127.0752108753036</v>
      </c>
      <c r="S304" s="17">
        <f t="shared" si="198"/>
        <v>1.5703261976561975</v>
      </c>
      <c r="T304" s="17" t="str">
        <f t="shared" si="190"/>
        <v>1+1.36552961410072E-07i</v>
      </c>
      <c r="U304" s="17">
        <f t="shared" si="199"/>
        <v>1.0000000000000093</v>
      </c>
      <c r="V304" s="17">
        <f t="shared" si="200"/>
        <v>1.3655296141007116E-7</v>
      </c>
      <c r="W304" s="31" t="str">
        <f t="shared" si="191"/>
        <v>1-0.0737385991614387i</v>
      </c>
      <c r="X304" s="17">
        <f t="shared" si="201"/>
        <v>1.0027150048774034</v>
      </c>
      <c r="Y304" s="17">
        <f t="shared" si="202"/>
        <v>-7.3605385206964261E-2</v>
      </c>
      <c r="Z304" s="31" t="str">
        <f t="shared" si="192"/>
        <v>0.979007701590009+4.49979517764596i</v>
      </c>
      <c r="AA304" s="17">
        <f t="shared" si="203"/>
        <v>4.6050638128627908</v>
      </c>
      <c r="AB304" s="17">
        <f t="shared" si="204"/>
        <v>1.3565677200540409</v>
      </c>
      <c r="AC304" s="66" t="str">
        <f t="shared" si="205"/>
        <v>-5.1892911455241-0.737072747988462i</v>
      </c>
      <c r="AD304" s="64">
        <f t="shared" si="206"/>
        <v>14.388905754747991</v>
      </c>
      <c r="AE304" s="61">
        <f t="shared" si="207"/>
        <v>-171.9159386651929</v>
      </c>
      <c r="AF304" s="31" t="str">
        <f t="shared" si="193"/>
        <v>-1.33333333333333E-06</v>
      </c>
      <c r="AG304" s="31" t="str">
        <f t="shared" si="194"/>
        <v>0.0455631714571605i</v>
      </c>
      <c r="AH304" s="31">
        <f t="shared" si="208"/>
        <v>4.5563171457160503E-2</v>
      </c>
      <c r="AI304" s="31">
        <f t="shared" si="209"/>
        <v>1.5707963267948966</v>
      </c>
      <c r="AJ304" s="31" t="str">
        <f t="shared" si="195"/>
        <v>1+0.147329868454423i</v>
      </c>
      <c r="AK304" s="31">
        <f t="shared" si="210"/>
        <v>1.0107947814164839</v>
      </c>
      <c r="AL304" s="31">
        <f t="shared" si="211"/>
        <v>0.14627755466445516</v>
      </c>
      <c r="AM304" s="31" t="str">
        <f t="shared" si="196"/>
        <v>1+147.477198322877i</v>
      </c>
      <c r="AN304" s="31">
        <f t="shared" si="212"/>
        <v>147.48058863852285</v>
      </c>
      <c r="AO304" s="31">
        <f t="shared" si="213"/>
        <v>1.5640157214824226</v>
      </c>
      <c r="AP304" s="58" t="str">
        <f t="shared" si="214"/>
        <v>-0.00421977805980962+0.000650962746935177i</v>
      </c>
      <c r="AQ304" s="49">
        <f t="shared" si="215"/>
        <v>-47.392066758998368</v>
      </c>
      <c r="AR304" s="61">
        <f t="shared" si="216"/>
        <v>171.23041341328377</v>
      </c>
      <c r="AS304" s="58" t="str">
        <f t="shared" si="217"/>
        <v>0.0223774638225686-0.000267751808291462i</v>
      </c>
      <c r="AT304" s="64">
        <f t="shared" si="218"/>
        <v>-33.003161004250359</v>
      </c>
      <c r="AU304" s="61">
        <f t="shared" si="219"/>
        <v>-0.68552525190910429</v>
      </c>
    </row>
    <row r="305" spans="14:47" x14ac:dyDescent="0.3">
      <c r="N305" s="10">
        <v>87</v>
      </c>
      <c r="O305" s="50">
        <f t="shared" si="220"/>
        <v>7413.1024130091773</v>
      </c>
      <c r="P305" s="48" t="str">
        <f t="shared" si="188"/>
        <v>51201.9230769231</v>
      </c>
      <c r="Q305" s="17" t="str">
        <f t="shared" si="189"/>
        <v>1+2176.62091680287i</v>
      </c>
      <c r="R305" s="17">
        <f t="shared" si="197"/>
        <v>2176.6211465167212</v>
      </c>
      <c r="S305" s="17">
        <f t="shared" si="198"/>
        <v>1.5703368991003805</v>
      </c>
      <c r="T305" s="17" t="str">
        <f t="shared" si="190"/>
        <v>1+1.39733688486111E-07i</v>
      </c>
      <c r="U305" s="17">
        <f t="shared" si="199"/>
        <v>1.0000000000000098</v>
      </c>
      <c r="V305" s="17">
        <f t="shared" si="200"/>
        <v>1.397336884861101E-7</v>
      </c>
      <c r="W305" s="31" t="str">
        <f t="shared" si="191"/>
        <v>1-0.0754561917824996i</v>
      </c>
      <c r="X305" s="17">
        <f t="shared" si="201"/>
        <v>1.0028427777465008</v>
      </c>
      <c r="Y305" s="17">
        <f t="shared" si="202"/>
        <v>-7.5313472303157408E-2</v>
      </c>
      <c r="Z305" s="31" t="str">
        <f t="shared" si="192"/>
        <v>0.978018365045695+4.60460887198384i</v>
      </c>
      <c r="AA305" s="17">
        <f t="shared" si="203"/>
        <v>4.7073286252734619</v>
      </c>
      <c r="AB305" s="17">
        <f t="shared" si="204"/>
        <v>1.3615067314955336</v>
      </c>
      <c r="AC305" s="66" t="str">
        <f t="shared" si="205"/>
        <v>-4.96621355504718-0.671687692355891i</v>
      </c>
      <c r="AD305" s="64">
        <f t="shared" si="206"/>
        <v>13.999235234713163</v>
      </c>
      <c r="AE305" s="61">
        <f t="shared" si="207"/>
        <v>-172.29740232275392</v>
      </c>
      <c r="AF305" s="31" t="str">
        <f t="shared" si="193"/>
        <v>-1.33333333333333E-06</v>
      </c>
      <c r="AG305" s="31" t="str">
        <f t="shared" si="194"/>
        <v>0.0466244740581988i</v>
      </c>
      <c r="AH305" s="31">
        <f t="shared" si="208"/>
        <v>4.6624474058198799E-2</v>
      </c>
      <c r="AI305" s="31">
        <f t="shared" si="209"/>
        <v>1.5707963267948966</v>
      </c>
      <c r="AJ305" s="31" t="str">
        <f t="shared" si="195"/>
        <v>1+0.150761621943056i</v>
      </c>
      <c r="AK305" s="31">
        <f t="shared" si="210"/>
        <v>1.0113006806340541</v>
      </c>
      <c r="AL305" s="31">
        <f t="shared" si="211"/>
        <v>0.14963472679405243</v>
      </c>
      <c r="AM305" s="31" t="str">
        <f t="shared" si="196"/>
        <v>1+150.912383564999i</v>
      </c>
      <c r="AN305" s="31">
        <f t="shared" si="212"/>
        <v>150.91569670935289</v>
      </c>
      <c r="AO305" s="31">
        <f t="shared" si="213"/>
        <v>1.5641700623324253</v>
      </c>
      <c r="AP305" s="58" t="str">
        <f t="shared" si="214"/>
        <v>-0.00421555726079036+0.000664141534188018i</v>
      </c>
      <c r="AQ305" s="49">
        <f t="shared" si="215"/>
        <v>-47.396421915225929</v>
      </c>
      <c r="AR305" s="61">
        <f t="shared" si="216"/>
        <v>171.04690469847054</v>
      </c>
      <c r="AS305" s="58" t="str">
        <f t="shared" si="217"/>
        <v>0.0213814533051111-0.000466730761059967i</v>
      </c>
      <c r="AT305" s="64">
        <f t="shared" si="218"/>
        <v>-33.397186680512768</v>
      </c>
      <c r="AU305" s="61">
        <f t="shared" si="219"/>
        <v>-1.2504976242834021</v>
      </c>
    </row>
    <row r="306" spans="14:47" x14ac:dyDescent="0.3">
      <c r="N306" s="10">
        <v>88</v>
      </c>
      <c r="O306" s="50">
        <f t="shared" si="220"/>
        <v>7585.7757502918394</v>
      </c>
      <c r="P306" s="48" t="str">
        <f t="shared" si="188"/>
        <v>51201.9230769231</v>
      </c>
      <c r="Q306" s="17" t="str">
        <f t="shared" si="189"/>
        <v>1+2227.32093101609i</v>
      </c>
      <c r="R306" s="17">
        <f t="shared" si="197"/>
        <v>2227.3211555010162</v>
      </c>
      <c r="S306" s="17">
        <f t="shared" si="198"/>
        <v>1.5703473569500559</v>
      </c>
      <c r="T306" s="17" t="str">
        <f t="shared" si="190"/>
        <v>1+1.42988504213379E-07i</v>
      </c>
      <c r="U306" s="17">
        <f t="shared" si="199"/>
        <v>1.0000000000000102</v>
      </c>
      <c r="V306" s="17">
        <f t="shared" si="200"/>
        <v>1.4298850421337801E-7</v>
      </c>
      <c r="W306" s="31" t="str">
        <f t="shared" si="191"/>
        <v>1-0.0772137922752245i</v>
      </c>
      <c r="X306" s="17">
        <f t="shared" si="201"/>
        <v>1.0029765549191674</v>
      </c>
      <c r="Y306" s="17">
        <f t="shared" si="202"/>
        <v>-7.7060890098789678E-2</v>
      </c>
      <c r="Z306" s="31" t="str">
        <f t="shared" si="192"/>
        <v>0.976982402506514+4.71186399089485i</v>
      </c>
      <c r="AA306" s="17">
        <f t="shared" si="203"/>
        <v>4.8120844634626838</v>
      </c>
      <c r="AB306" s="17">
        <f t="shared" si="204"/>
        <v>1.3663481495616678</v>
      </c>
      <c r="AC306" s="66" t="str">
        <f t="shared" si="205"/>
        <v>-4.75228645523987-0.610846336116377i</v>
      </c>
      <c r="AD306" s="64">
        <f t="shared" si="206"/>
        <v>13.609219407531546</v>
      </c>
      <c r="AE306" s="61">
        <f t="shared" si="207"/>
        <v>-172.67551381369964</v>
      </c>
      <c r="AF306" s="31" t="str">
        <f t="shared" si="193"/>
        <v>-1.33333333333333E-06</v>
      </c>
      <c r="AG306" s="31" t="str">
        <f t="shared" si="194"/>
        <v>0.0477104975725307i</v>
      </c>
      <c r="AH306" s="31">
        <f t="shared" si="208"/>
        <v>4.7710497572530701E-2</v>
      </c>
      <c r="AI306" s="31">
        <f t="shared" si="209"/>
        <v>1.5707963267948966</v>
      </c>
      <c r="AJ306" s="31" t="str">
        <f t="shared" si="195"/>
        <v>1+0.15427331123921i</v>
      </c>
      <c r="AK306" s="31">
        <f t="shared" si="210"/>
        <v>1.011830151043499</v>
      </c>
      <c r="AL306" s="31">
        <f t="shared" si="211"/>
        <v>0.15306658250610003</v>
      </c>
      <c r="AM306" s="31" t="str">
        <f t="shared" si="196"/>
        <v>1+154.427584550449i</v>
      </c>
      <c r="AN306" s="31">
        <f t="shared" si="212"/>
        <v>154.43082228002956</v>
      </c>
      <c r="AO306" s="31">
        <f t="shared" si="213"/>
        <v>1.5643208902608137</v>
      </c>
      <c r="AP306" s="58" t="str">
        <f t="shared" si="214"/>
        <v>-0.00421114658209523+0.000677613857830409i</v>
      </c>
      <c r="AQ306" s="49">
        <f t="shared" si="215"/>
        <v>-47.4009768387726</v>
      </c>
      <c r="AR306" s="61">
        <f t="shared" si="216"/>
        <v>170.85891565400169</v>
      </c>
      <c r="AS306" s="58" t="str">
        <f t="shared" si="217"/>
        <v>0.0204264928054782-0.000647851697928412i</v>
      </c>
      <c r="AT306" s="64">
        <f t="shared" si="218"/>
        <v>-33.791757431241074</v>
      </c>
      <c r="AU306" s="61">
        <f t="shared" si="219"/>
        <v>-1.8165981596979313</v>
      </c>
    </row>
    <row r="307" spans="14:47" x14ac:dyDescent="0.3">
      <c r="N307" s="10">
        <v>89</v>
      </c>
      <c r="O307" s="50">
        <f t="shared" si="220"/>
        <v>7762.4711662869322</v>
      </c>
      <c r="P307" s="48" t="str">
        <f t="shared" si="188"/>
        <v>51201.9230769231</v>
      </c>
      <c r="Q307" s="17" t="str">
        <f t="shared" si="189"/>
        <v>1+2279.20190026901i</v>
      </c>
      <c r="R307" s="17">
        <f t="shared" si="197"/>
        <v>2279.202119644036</v>
      </c>
      <c r="S307" s="17">
        <f t="shared" si="198"/>
        <v>1.5703575767501048</v>
      </c>
      <c r="T307" s="17" t="str">
        <f t="shared" si="190"/>
        <v>1+1.46319134338258E-07i</v>
      </c>
      <c r="U307" s="17">
        <f t="shared" si="199"/>
        <v>1.0000000000000107</v>
      </c>
      <c r="V307" s="17">
        <f t="shared" si="200"/>
        <v>1.4631913433825698E-7</v>
      </c>
      <c r="W307" s="31" t="str">
        <f t="shared" si="191"/>
        <v>1-0.0790123325426591i</v>
      </c>
      <c r="X307" s="17">
        <f t="shared" si="201"/>
        <v>1.0031166176939907</v>
      </c>
      <c r="Y307" s="17">
        <f t="shared" si="202"/>
        <v>-7.8848522388547448E-2</v>
      </c>
      <c r="Z307" s="31" t="str">
        <f t="shared" si="192"/>
        <v>0.975897616557026+4.82161740246273i</v>
      </c>
      <c r="AA307" s="17">
        <f t="shared" si="203"/>
        <v>4.9193872112015251</v>
      </c>
      <c r="AB307" s="17">
        <f t="shared" si="204"/>
        <v>1.3710936941850569</v>
      </c>
      <c r="AC307" s="66" t="str">
        <f t="shared" si="205"/>
        <v>-4.54717131885733-0.554260844338322i</v>
      </c>
      <c r="AD307" s="64">
        <f t="shared" si="206"/>
        <v>13.218876998735032</v>
      </c>
      <c r="AE307" s="61">
        <f t="shared" si="207"/>
        <v>-173.05042263821446</v>
      </c>
      <c r="AF307" s="31" t="str">
        <f t="shared" si="193"/>
        <v>-1.33333333333333E-06</v>
      </c>
      <c r="AG307" s="31" t="str">
        <f t="shared" si="194"/>
        <v>0.0488218178241987i</v>
      </c>
      <c r="AH307" s="31">
        <f t="shared" si="208"/>
        <v>4.8821817824198699E-2</v>
      </c>
      <c r="AI307" s="31">
        <f t="shared" si="209"/>
        <v>1.5707963267948966</v>
      </c>
      <c r="AJ307" s="31" t="str">
        <f t="shared" si="195"/>
        <v>1+0.157866798287031i</v>
      </c>
      <c r="AK307" s="31">
        <f t="shared" si="210"/>
        <v>1.0123842778319891</v>
      </c>
      <c r="AL307" s="31">
        <f t="shared" si="211"/>
        <v>0.15657461789609822</v>
      </c>
      <c r="AM307" s="31" t="str">
        <f t="shared" si="196"/>
        <v>1+158.024665085318i</v>
      </c>
      <c r="AN307" s="31">
        <f t="shared" si="212"/>
        <v>158.0278291166683</v>
      </c>
      <c r="AO307" s="31">
        <f t="shared" si="213"/>
        <v>1.5644682852110863</v>
      </c>
      <c r="AP307" s="58" t="str">
        <f t="shared" si="214"/>
        <v>-0.00420653791607506+0.000691382867034468i</v>
      </c>
      <c r="AQ307" s="49">
        <f t="shared" si="215"/>
        <v>-47.405740543043066</v>
      </c>
      <c r="AR307" s="61">
        <f t="shared" si="216"/>
        <v>170.66636514034445</v>
      </c>
      <c r="AS307" s="58" t="str">
        <f t="shared" si="217"/>
        <v>0.019511055015306-0.000812317086223556i</v>
      </c>
      <c r="AT307" s="64">
        <f t="shared" si="218"/>
        <v>-34.186863544308025</v>
      </c>
      <c r="AU307" s="61">
        <f t="shared" si="219"/>
        <v>-2.3840574978700357</v>
      </c>
    </row>
    <row r="308" spans="14:47" x14ac:dyDescent="0.3">
      <c r="N308" s="10">
        <v>90</v>
      </c>
      <c r="O308" s="50">
        <f t="shared" si="220"/>
        <v>7943.2823472428154</v>
      </c>
      <c r="P308" s="48" t="str">
        <f t="shared" si="188"/>
        <v>51201.9230769231</v>
      </c>
      <c r="Q308" s="17" t="str">
        <f t="shared" si="189"/>
        <v>1+2332.29133253826i</v>
      </c>
      <c r="R308" s="17">
        <f t="shared" si="197"/>
        <v>2332.291546919701</v>
      </c>
      <c r="S308" s="17">
        <f t="shared" si="198"/>
        <v>1.5703675639191916</v>
      </c>
      <c r="T308" s="17" t="str">
        <f t="shared" si="190"/>
        <v>1+1.49727344804925E-07i</v>
      </c>
      <c r="U308" s="17">
        <f t="shared" si="199"/>
        <v>1.0000000000000111</v>
      </c>
      <c r="V308" s="17">
        <f t="shared" si="200"/>
        <v>1.497273448049239E-7</v>
      </c>
      <c r="W308" s="31" t="str">
        <f t="shared" si="191"/>
        <v>1-0.0808527661946595i</v>
      </c>
      <c r="X308" s="17">
        <f t="shared" si="201"/>
        <v>1.003263260466229</v>
      </c>
      <c r="Y308" s="17">
        <f t="shared" si="202"/>
        <v>-8.0677271272328682E-2</v>
      </c>
      <c r="Z308" s="31" t="str">
        <f t="shared" si="192"/>
        <v>0.974761706220792+4.93392729939904i</v>
      </c>
      <c r="AA308" s="17">
        <f t="shared" si="203"/>
        <v>5.0292940836333662</v>
      </c>
      <c r="AB308" s="17">
        <f t="shared" si="204"/>
        <v>1.3757450862651417</v>
      </c>
      <c r="AC308" s="66" t="str">
        <f t="shared" si="205"/>
        <v>-4.35053901053961-0.501660265832814i</v>
      </c>
      <c r="AD308" s="64">
        <f t="shared" si="206"/>
        <v>12.828226237423957</v>
      </c>
      <c r="AE308" s="61">
        <f t="shared" si="207"/>
        <v>-173.42227939345574</v>
      </c>
      <c r="AF308" s="31" t="str">
        <f t="shared" si="193"/>
        <v>-1.33333333333333E-06</v>
      </c>
      <c r="AG308" s="31" t="str">
        <f t="shared" si="194"/>
        <v>0.04995902404991i</v>
      </c>
      <c r="AH308" s="31">
        <f t="shared" si="208"/>
        <v>4.9959024049909997E-2</v>
      </c>
      <c r="AI308" s="31">
        <f t="shared" si="209"/>
        <v>1.5707963267948966</v>
      </c>
      <c r="AJ308" s="31" t="str">
        <f t="shared" si="195"/>
        <v>1+0.161543988400918i</v>
      </c>
      <c r="AK308" s="31">
        <f t="shared" si="210"/>
        <v>1.0129641949192854</v>
      </c>
      <c r="AL308" s="31">
        <f t="shared" si="211"/>
        <v>0.16016034742586838</v>
      </c>
      <c r="AM308" s="31" t="str">
        <f t="shared" si="196"/>
        <v>1+161.705532389319i</v>
      </c>
      <c r="AN308" s="31">
        <f t="shared" si="212"/>
        <v>161.70862439991598</v>
      </c>
      <c r="AO308" s="31">
        <f t="shared" si="213"/>
        <v>1.5646123253083644</v>
      </c>
      <c r="AP308" s="58" t="str">
        <f t="shared" si="214"/>
        <v>-0.00420172284967208+0.00070545160572234i</v>
      </c>
      <c r="AQ308" s="49">
        <f t="shared" si="215"/>
        <v>-47.410722423782005</v>
      </c>
      <c r="AR308" s="61">
        <f t="shared" si="216"/>
        <v>170.46917086146786</v>
      </c>
      <c r="AS308" s="58" t="str">
        <f t="shared" si="217"/>
        <v>0.0186336562090329-0.000961257329020544i</v>
      </c>
      <c r="AT308" s="64">
        <f t="shared" si="218"/>
        <v>-34.582496186358036</v>
      </c>
      <c r="AU308" s="61">
        <f t="shared" si="219"/>
        <v>-2.9531085319878945</v>
      </c>
    </row>
    <row r="309" spans="14:47" x14ac:dyDescent="0.3">
      <c r="N309" s="10">
        <v>91</v>
      </c>
      <c r="O309" s="50">
        <f t="shared" si="220"/>
        <v>8128.3051616410066</v>
      </c>
      <c r="P309" s="48" t="str">
        <f t="shared" si="188"/>
        <v>51201.9230769231</v>
      </c>
      <c r="Q309" s="17" t="str">
        <f t="shared" si="189"/>
        <v>1+2386.61737654355i</v>
      </c>
      <c r="R309" s="17">
        <f t="shared" si="197"/>
        <v>2386.6175860450744</v>
      </c>
      <c r="S309" s="17">
        <f t="shared" si="198"/>
        <v>1.5703773237526382</v>
      </c>
      <c r="T309" s="17" t="str">
        <f t="shared" si="190"/>
        <v>1+1.53214942691685E-07i</v>
      </c>
      <c r="U309" s="17">
        <f t="shared" si="199"/>
        <v>1.0000000000000118</v>
      </c>
      <c r="V309" s="17">
        <f t="shared" si="200"/>
        <v>1.5321494269168381E-7</v>
      </c>
      <c r="W309" s="31" t="str">
        <f t="shared" si="191"/>
        <v>1-0.0827360690535096i</v>
      </c>
      <c r="X309" s="17">
        <f t="shared" si="201"/>
        <v>1.0034167913297181</v>
      </c>
      <c r="Y309" s="17">
        <f t="shared" si="202"/>
        <v>-8.2548057422300439E-2</v>
      </c>
      <c r="Z309" s="31" t="str">
        <f t="shared" si="192"/>
        <v>0.973572262079696+5.04885322989776i</v>
      </c>
      <c r="AA309" s="17">
        <f t="shared" si="203"/>
        <v>5.1418636588828388</v>
      </c>
      <c r="AB309" s="17">
        <f t="shared" si="204"/>
        <v>1.3803040456050211</v>
      </c>
      <c r="AC309" s="66" t="str">
        <f t="shared" si="205"/>
        <v>-4.16206980564217-0.452789653634117i</v>
      </c>
      <c r="AD309" s="64">
        <f t="shared" si="206"/>
        <v>12.43728487834602</v>
      </c>
      <c r="AE309" s="61">
        <f t="shared" si="207"/>
        <v>-173.79123567080805</v>
      </c>
      <c r="AF309" s="31" t="str">
        <f t="shared" si="193"/>
        <v>-1.33333333333333E-06</v>
      </c>
      <c r="AG309" s="31" t="str">
        <f t="shared" si="194"/>
        <v>0.0511227192114587i</v>
      </c>
      <c r="AH309" s="31">
        <f t="shared" si="208"/>
        <v>5.1122719211458702E-2</v>
      </c>
      <c r="AI309" s="31">
        <f t="shared" si="209"/>
        <v>1.5707963267948966</v>
      </c>
      <c r="AJ309" s="31" t="str">
        <f t="shared" si="195"/>
        <v>1+0.165306831275743i</v>
      </c>
      <c r="AK309" s="31">
        <f t="shared" si="210"/>
        <v>1.0135710870316039</v>
      </c>
      <c r="AL309" s="31">
        <f t="shared" si="211"/>
        <v>0.16382530328162495</v>
      </c>
      <c r="AM309" s="31" t="str">
        <f t="shared" si="196"/>
        <v>1+165.472138107019i</v>
      </c>
      <c r="AN309" s="31">
        <f t="shared" si="212"/>
        <v>165.47515973616211</v>
      </c>
      <c r="AO309" s="31">
        <f t="shared" si="213"/>
        <v>1.5647530869006927</v>
      </c>
      <c r="AP309" s="58" t="str">
        <f t="shared" si="214"/>
        <v>-0.00419669265679547+0.000719822998060761i</v>
      </c>
      <c r="AQ309" s="49">
        <f t="shared" si="215"/>
        <v>-47.415932273456221</v>
      </c>
      <c r="AR309" s="61">
        <f t="shared" si="216"/>
        <v>170.26724940398921</v>
      </c>
      <c r="AS309" s="58" t="str">
        <f t="shared" si="217"/>
        <v>0.0177928561963784-0.00109573455115625i</v>
      </c>
      <c r="AT309" s="64">
        <f t="shared" si="218"/>
        <v>-34.978647395110222</v>
      </c>
      <c r="AU309" s="61">
        <f t="shared" si="219"/>
        <v>-3.5239862668188309</v>
      </c>
    </row>
    <row r="310" spans="14:47" x14ac:dyDescent="0.3">
      <c r="N310" s="10">
        <v>92</v>
      </c>
      <c r="O310" s="50">
        <f t="shared" si="220"/>
        <v>8317.6377110267094</v>
      </c>
      <c r="P310" s="48" t="str">
        <f t="shared" si="188"/>
        <v>51201.9230769231</v>
      </c>
      <c r="Q310" s="17" t="str">
        <f t="shared" si="189"/>
        <v>1+2442.20883667248i</v>
      </c>
      <c r="R310" s="17">
        <f t="shared" si="197"/>
        <v>2442.2090414051681</v>
      </c>
      <c r="S310" s="17">
        <f t="shared" si="198"/>
        <v>1.5703868614252294</v>
      </c>
      <c r="T310" s="17" t="str">
        <f t="shared" si="190"/>
        <v>1+1.56783777169098E-07i</v>
      </c>
      <c r="U310" s="17">
        <f t="shared" si="199"/>
        <v>1.0000000000000124</v>
      </c>
      <c r="V310" s="17">
        <f t="shared" si="200"/>
        <v>1.567837771690967E-7</v>
      </c>
      <c r="W310" s="31" t="str">
        <f t="shared" si="191"/>
        <v>1-0.0846632396713128i</v>
      </c>
      <c r="X310" s="17">
        <f t="shared" si="201"/>
        <v>1.0035775327056908</v>
      </c>
      <c r="Y310" s="17">
        <f t="shared" si="202"/>
        <v>-8.4461820345236763E-2</v>
      </c>
      <c r="Z310" s="31" t="str">
        <f t="shared" si="192"/>
        <v>0.972326761163242+5.16645612920842i</v>
      </c>
      <c r="AA310" s="17">
        <f t="shared" si="203"/>
        <v>5.25715591032922</v>
      </c>
      <c r="AB310" s="17">
        <f t="shared" si="204"/>
        <v>1.3847722889985332</v>
      </c>
      <c r="AC310" s="66" t="str">
        <f t="shared" si="205"/>
        <v>-3.98145337787305-0.40740922024708i</v>
      </c>
      <c r="AD310" s="64">
        <f t="shared" si="206"/>
        <v>12.046070224183696</v>
      </c>
      <c r="AE310" s="61">
        <f t="shared" si="207"/>
        <v>-174.15744396147306</v>
      </c>
      <c r="AF310" s="31" t="str">
        <f t="shared" si="193"/>
        <v>-1.33333333333333E-06</v>
      </c>
      <c r="AG310" s="31" t="str">
        <f t="shared" si="194"/>
        <v>0.0523135203154222i</v>
      </c>
      <c r="AH310" s="31">
        <f t="shared" si="208"/>
        <v>5.2313520315422198E-2</v>
      </c>
      <c r="AI310" s="31">
        <f t="shared" si="209"/>
        <v>1.5707963267948966</v>
      </c>
      <c r="AJ310" s="31" t="str">
        <f t="shared" si="195"/>
        <v>1+0.169157322020605i</v>
      </c>
      <c r="AK310" s="31">
        <f t="shared" si="210"/>
        <v>1.0142061918531076</v>
      </c>
      <c r="AL310" s="31">
        <f t="shared" si="211"/>
        <v>0.1675710346530894</v>
      </c>
      <c r="AM310" s="31" t="str">
        <f t="shared" si="196"/>
        <v>1+169.326479342626i</v>
      </c>
      <c r="AN310" s="31">
        <f t="shared" si="212"/>
        <v>169.32943219230597</v>
      </c>
      <c r="AO310" s="31">
        <f t="shared" si="213"/>
        <v>1.5648906445994057</v>
      </c>
      <c r="AP310" s="58" t="str">
        <f t="shared" si="214"/>
        <v>-0.00419143829090316+0.000734499833037194i</v>
      </c>
      <c r="AQ310" s="49">
        <f t="shared" si="215"/>
        <v>-47.421380295984036</v>
      </c>
      <c r="AR310" s="61">
        <f t="shared" si="216"/>
        <v>170.06051628079032</v>
      </c>
      <c r="AS310" s="58" t="str">
        <f t="shared" si="217"/>
        <v>0.0169872581457121-0.00121674623548252i</v>
      </c>
      <c r="AT310" s="64">
        <f t="shared" si="218"/>
        <v>-35.375310071800349</v>
      </c>
      <c r="AU310" s="61">
        <f t="shared" si="219"/>
        <v>-4.0969276806827839</v>
      </c>
    </row>
    <row r="311" spans="14:47" x14ac:dyDescent="0.3">
      <c r="N311" s="10">
        <v>93</v>
      </c>
      <c r="O311" s="50">
        <f t="shared" si="220"/>
        <v>8511.3803820237772</v>
      </c>
      <c r="P311" s="48" t="str">
        <f t="shared" si="188"/>
        <v>51201.9230769231</v>
      </c>
      <c r="Q311" s="17" t="str">
        <f t="shared" si="189"/>
        <v>1+2499.09518825309i</v>
      </c>
      <c r="R311" s="17">
        <f t="shared" si="197"/>
        <v>2499.0953883254933</v>
      </c>
      <c r="S311" s="17">
        <f t="shared" si="198"/>
        <v>1.5703961819939589</v>
      </c>
      <c r="T311" s="17" t="str">
        <f t="shared" si="190"/>
        <v>1+1.60435740480445E-07i</v>
      </c>
      <c r="U311" s="17">
        <f t="shared" si="199"/>
        <v>1.0000000000000129</v>
      </c>
      <c r="V311" s="17">
        <f t="shared" si="200"/>
        <v>1.6043574048044363E-7</v>
      </c>
      <c r="W311" s="31" t="str">
        <f t="shared" si="191"/>
        <v>1-0.0866352998594404i</v>
      </c>
      <c r="X311" s="17">
        <f t="shared" si="201"/>
        <v>1.0037458219996411</v>
      </c>
      <c r="Y311" s="17">
        <f t="shared" si="202"/>
        <v>-8.641951863930733E-2</v>
      </c>
      <c r="Z311" s="31" t="str">
        <f t="shared" si="192"/>
        <v>0.971022561597+5.28679835194493i</v>
      </c>
      <c r="AA311" s="17">
        <f t="shared" si="203"/>
        <v>5.3752322395649133</v>
      </c>
      <c r="AB311" s="17">
        <f t="shared" si="204"/>
        <v>1.3891515284610731</v>
      </c>
      <c r="AC311" s="66" t="str">
        <f t="shared" si="205"/>
        <v>-3.80838875885106-0.365293527493802i</v>
      </c>
      <c r="AD311" s="64">
        <f t="shared" si="206"/>
        <v>11.654599148006536</v>
      </c>
      <c r="AE311" s="61">
        <f t="shared" si="207"/>
        <v>-174.52105756997273</v>
      </c>
      <c r="AF311" s="31" t="str">
        <f t="shared" si="193"/>
        <v>-1.33333333333333E-06</v>
      </c>
      <c r="AG311" s="31" t="str">
        <f t="shared" si="194"/>
        <v>0.0535320587403085i</v>
      </c>
      <c r="AH311" s="31">
        <f t="shared" si="208"/>
        <v>5.3532058740308502E-2</v>
      </c>
      <c r="AI311" s="31">
        <f t="shared" si="209"/>
        <v>1.5707963267948966</v>
      </c>
      <c r="AJ311" s="31" t="str">
        <f t="shared" si="195"/>
        <v>1+0.173097502216664i</v>
      </c>
      <c r="AK311" s="31">
        <f t="shared" si="210"/>
        <v>1.0148708022569415</v>
      </c>
      <c r="AL311" s="31">
        <f t="shared" si="211"/>
        <v>0.17139910692861671</v>
      </c>
      <c r="AM311" s="31" t="str">
        <f t="shared" si="196"/>
        <v>1+173.270599718881i</v>
      </c>
      <c r="AN311" s="31">
        <f t="shared" si="212"/>
        <v>173.27348535462858</v>
      </c>
      <c r="AO311" s="31">
        <f t="shared" si="213"/>
        <v>1.5650250713185809</v>
      </c>
      <c r="AP311" s="58" t="str">
        <f t="shared" si="214"/>
        <v>-0.00418595037784215+0.000749484748080133i</v>
      </c>
      <c r="AQ311" s="49">
        <f t="shared" si="215"/>
        <v>-47.427077121801496</v>
      </c>
      <c r="AR311" s="61">
        <f t="shared" si="216"/>
        <v>169.84888597939408</v>
      </c>
      <c r="AS311" s="58" t="str">
        <f t="shared" si="217"/>
        <v>0.0162155082915114-0.00132522871008272i</v>
      </c>
      <c r="AT311" s="64">
        <f t="shared" si="218"/>
        <v>-35.772477973794956</v>
      </c>
      <c r="AU311" s="61">
        <f t="shared" si="219"/>
        <v>-4.6721715905786176</v>
      </c>
    </row>
    <row r="312" spans="14:47" x14ac:dyDescent="0.3">
      <c r="N312" s="10">
        <v>94</v>
      </c>
      <c r="O312" s="50">
        <f t="shared" si="220"/>
        <v>8709.6358995608189</v>
      </c>
      <c r="P312" s="48" t="str">
        <f t="shared" si="188"/>
        <v>51201.9230769231</v>
      </c>
      <c r="Q312" s="17" t="str">
        <f t="shared" si="189"/>
        <v>1+2557.30659318194i</v>
      </c>
      <c r="R312" s="17">
        <f t="shared" si="197"/>
        <v>2557.3067887001398</v>
      </c>
      <c r="S312" s="17">
        <f t="shared" si="198"/>
        <v>1.5704052904007089</v>
      </c>
      <c r="T312" s="17" t="str">
        <f t="shared" si="190"/>
        <v>1+1.64172768945013E-07i</v>
      </c>
      <c r="U312" s="17">
        <f t="shared" si="199"/>
        <v>1.0000000000000133</v>
      </c>
      <c r="V312" s="17">
        <f t="shared" si="200"/>
        <v>1.6417276894501153E-7</v>
      </c>
      <c r="W312" s="31" t="str">
        <f t="shared" si="191"/>
        <v>1-0.0886532952303071i</v>
      </c>
      <c r="X312" s="17">
        <f t="shared" si="201"/>
        <v>1.0039220122874046</v>
      </c>
      <c r="Y312" s="17">
        <f t="shared" si="202"/>
        <v>-8.8422130244404151E-2</v>
      </c>
      <c r="Z312" s="31" t="str">
        <f t="shared" si="192"/>
        <v>0.969656896998833+5.40994370514669i</v>
      </c>
      <c r="AA312" s="17">
        <f t="shared" si="203"/>
        <v>5.4961555100591637</v>
      </c>
      <c r="AB312" s="17">
        <f t="shared" si="204"/>
        <v>1.3934434695976279</v>
      </c>
      <c r="AC312" s="66" t="str">
        <f t="shared" si="205"/>
        <v>-3.64258427251016-0.326230710629238i</v>
      </c>
      <c r="AD312" s="64">
        <f t="shared" si="206"/>
        <v>11.262888115847012</v>
      </c>
      <c r="AE312" s="61">
        <f t="shared" si="207"/>
        <v>-174.88223053514082</v>
      </c>
      <c r="AF312" s="31" t="str">
        <f t="shared" si="193"/>
        <v>-1.33333333333333E-06</v>
      </c>
      <c r="AG312" s="31" t="str">
        <f t="shared" si="194"/>
        <v>0.0547789805713194i</v>
      </c>
      <c r="AH312" s="31">
        <f t="shared" si="208"/>
        <v>5.4778980571319399E-2</v>
      </c>
      <c r="AI312" s="31">
        <f t="shared" si="209"/>
        <v>1.5707963267948966</v>
      </c>
      <c r="AJ312" s="31" t="str">
        <f t="shared" si="195"/>
        <v>1+0.177129460999614i</v>
      </c>
      <c r="AK312" s="31">
        <f t="shared" si="210"/>
        <v>1.0155662686176681</v>
      </c>
      <c r="AL312" s="31">
        <f t="shared" si="211"/>
        <v>0.17531110080110945</v>
      </c>
      <c r="AM312" s="31" t="str">
        <f t="shared" si="196"/>
        <v>1+177.306590460614i</v>
      </c>
      <c r="AN312" s="31">
        <f t="shared" si="212"/>
        <v>177.3094104123295</v>
      </c>
      <c r="AO312" s="31">
        <f t="shared" si="213"/>
        <v>1.5651564383135999</v>
      </c>
      <c r="AP312" s="58" t="str">
        <f t="shared" si="214"/>
        <v>-0.00418021920900502+0.000764780211686967i</v>
      </c>
      <c r="AQ312" s="49">
        <f t="shared" si="215"/>
        <v>-47.433033823251975</v>
      </c>
      <c r="AR312" s="61">
        <f t="shared" si="216"/>
        <v>169.63227201540116</v>
      </c>
      <c r="AS312" s="58" t="str">
        <f t="shared" si="217"/>
        <v>0.0154762955383004-0.00142206048787824i</v>
      </c>
      <c r="AT312" s="64">
        <f t="shared" si="218"/>
        <v>-36.170145707404934</v>
      </c>
      <c r="AU312" s="61">
        <f t="shared" si="219"/>
        <v>-5.249958519739681</v>
      </c>
    </row>
    <row r="313" spans="14:47" x14ac:dyDescent="0.3">
      <c r="N313" s="10">
        <v>95</v>
      </c>
      <c r="O313" s="50">
        <f t="shared" si="220"/>
        <v>8912.5093813374679</v>
      </c>
      <c r="P313" s="48" t="str">
        <f t="shared" si="188"/>
        <v>51201.9230769231</v>
      </c>
      <c r="Q313" s="17" t="str">
        <f t="shared" si="189"/>
        <v>1+2616.87391591645i</v>
      </c>
      <c r="R313" s="17">
        <f t="shared" si="197"/>
        <v>2616.8741069841121</v>
      </c>
      <c r="S313" s="17">
        <f t="shared" si="198"/>
        <v>1.5704141914748715</v>
      </c>
      <c r="T313" s="17" t="str">
        <f t="shared" si="190"/>
        <v>1+1.6799684398476E-07i</v>
      </c>
      <c r="U313" s="17">
        <f t="shared" si="199"/>
        <v>1.0000000000000142</v>
      </c>
      <c r="V313" s="17">
        <f t="shared" si="200"/>
        <v>1.6799684398475842E-7</v>
      </c>
      <c r="W313" s="31" t="str">
        <f t="shared" si="191"/>
        <v>1-0.0907182957517701i</v>
      </c>
      <c r="X313" s="17">
        <f t="shared" si="201"/>
        <v>1.0041064730316729</v>
      </c>
      <c r="Y313" s="17">
        <f t="shared" si="202"/>
        <v>-9.0470652685043729E-2</v>
      </c>
      <c r="Z313" s="31" t="str">
        <f t="shared" si="192"/>
        <v>0.968226870611029+5.53595748210998i</v>
      </c>
      <c r="AA313" s="17">
        <f t="shared" si="203"/>
        <v>5.6199900815484263</v>
      </c>
      <c r="AB313" s="17">
        <f t="shared" si="204"/>
        <v>1.3976498101016237</v>
      </c>
      <c r="AC313" s="66" t="str">
        <f t="shared" si="205"/>
        <v>-3.48375744709058-0.290021736255002i</v>
      </c>
      <c r="AD313" s="64">
        <f t="shared" si="206"/>
        <v>10.870953209364458</v>
      </c>
      <c r="AE313" s="61">
        <f t="shared" si="207"/>
        <v>-175.24111755818049</v>
      </c>
      <c r="AF313" s="31" t="str">
        <f t="shared" si="193"/>
        <v>-1.33333333333333E-06</v>
      </c>
      <c r="AG313" s="31" t="str">
        <f t="shared" si="194"/>
        <v>0.0560549469429147i</v>
      </c>
      <c r="AH313" s="31">
        <f t="shared" si="208"/>
        <v>5.6054946942914699E-2</v>
      </c>
      <c r="AI313" s="31">
        <f t="shared" si="209"/>
        <v>1.5707963267948966</v>
      </c>
      <c r="AJ313" s="31" t="str">
        <f t="shared" si="195"/>
        <v>1+0.181255336167373i</v>
      </c>
      <c r="AK313" s="31">
        <f t="shared" si="210"/>
        <v>1.0162940012069084</v>
      </c>
      <c r="AL313" s="31">
        <f t="shared" si="211"/>
        <v>0.17930861127930559</v>
      </c>
      <c r="AM313" s="31" t="str">
        <f t="shared" si="196"/>
        <v>1+181.43659150354i</v>
      </c>
      <c r="AN313" s="31">
        <f t="shared" si="212"/>
        <v>181.43934726630397</v>
      </c>
      <c r="AO313" s="31">
        <f t="shared" si="213"/>
        <v>1.5652848152188352</v>
      </c>
      <c r="AP313" s="58" t="str">
        <f t="shared" si="214"/>
        <v>-0.0041742347348651+0.000780388505023586i</v>
      </c>
      <c r="AQ313" s="49">
        <f t="shared" si="215"/>
        <v>-47.439261930283394</v>
      </c>
      <c r="AR313" s="61">
        <f t="shared" si="216"/>
        <v>169.41058699129806</v>
      </c>
      <c r="AS313" s="58" t="str">
        <f t="shared" si="217"/>
        <v>0.0147683509726708-0.00150806546065829i</v>
      </c>
      <c r="AT313" s="64">
        <f t="shared" si="218"/>
        <v>-36.568308720918964</v>
      </c>
      <c r="AU313" s="61">
        <f t="shared" si="219"/>
        <v>-5.8305305668824445</v>
      </c>
    </row>
    <row r="314" spans="14:47" x14ac:dyDescent="0.3">
      <c r="N314" s="10">
        <v>96</v>
      </c>
      <c r="O314" s="50">
        <f t="shared" si="220"/>
        <v>9120.1083935591087</v>
      </c>
      <c r="P314" s="48" t="str">
        <f t="shared" si="188"/>
        <v>51201.9230769231</v>
      </c>
      <c r="Q314" s="17" t="str">
        <f t="shared" si="189"/>
        <v>1+2677.82873983959i</v>
      </c>
      <c r="R314" s="17">
        <f t="shared" si="197"/>
        <v>2677.828926558022</v>
      </c>
      <c r="S314" s="17">
        <f t="shared" si="198"/>
        <v>1.5704228899359081</v>
      </c>
      <c r="T314" s="17" t="str">
        <f t="shared" si="190"/>
        <v>1+1.71909993174888E-07i</v>
      </c>
      <c r="U314" s="17">
        <f t="shared" si="199"/>
        <v>1.0000000000000147</v>
      </c>
      <c r="V314" s="17">
        <f t="shared" si="200"/>
        <v>1.7190999317488629E-7</v>
      </c>
      <c r="W314" s="31" t="str">
        <f t="shared" si="191"/>
        <v>1-0.0928313963144392i</v>
      </c>
      <c r="X314" s="17">
        <f t="shared" si="201"/>
        <v>1.0042995908301908</v>
      </c>
      <c r="Y314" s="17">
        <f t="shared" si="202"/>
        <v>-9.2566103304793104E-2</v>
      </c>
      <c r="Z314" s="31" t="str">
        <f t="shared" si="192"/>
        <v>0.966729449155893+5.66490649700735i</v>
      </c>
      <c r="AA314" s="17">
        <f t="shared" si="203"/>
        <v>5.7468018451745264</v>
      </c>
      <c r="AB314" s="17">
        <f t="shared" si="204"/>
        <v>1.4017722383782445</v>
      </c>
      <c r="AC314" s="66" t="str">
        <f t="shared" si="205"/>
        <v>-3.3316349072761-0.256479693440502i</v>
      </c>
      <c r="AD314" s="64">
        <f t="shared" si="206"/>
        <v>10.478810148566923</v>
      </c>
      <c r="AE314" s="61">
        <f t="shared" si="207"/>
        <v>-175.59787393736462</v>
      </c>
      <c r="AF314" s="31" t="str">
        <f t="shared" si="193"/>
        <v>-1.33333333333333E-06</v>
      </c>
      <c r="AG314" s="31" t="str">
        <f t="shared" si="194"/>
        <v>0.0573606343893541i</v>
      </c>
      <c r="AH314" s="31">
        <f t="shared" si="208"/>
        <v>5.7360634389354098E-2</v>
      </c>
      <c r="AI314" s="31">
        <f t="shared" si="209"/>
        <v>1.5707963267948966</v>
      </c>
      <c r="AJ314" s="31" t="str">
        <f t="shared" si="195"/>
        <v>1+0.185477315313565i</v>
      </c>
      <c r="AK314" s="31">
        <f t="shared" si="210"/>
        <v>1.0170554726738987</v>
      </c>
      <c r="AL314" s="31">
        <f t="shared" si="211"/>
        <v>0.18339324659882431</v>
      </c>
      <c r="AM314" s="31" t="str">
        <f t="shared" si="196"/>
        <v>1+185.662792628878i</v>
      </c>
      <c r="AN314" s="31">
        <f t="shared" si="212"/>
        <v>185.66548566374354</v>
      </c>
      <c r="AO314" s="31">
        <f t="shared" si="213"/>
        <v>1.5654102700844861</v>
      </c>
      <c r="AP314" s="58" t="str">
        <f t="shared" si="214"/>
        <v>-0.004167986558959+0.000796311702461315i</v>
      </c>
      <c r="AQ314" s="49">
        <f t="shared" si="215"/>
        <v>-47.445773446433897</v>
      </c>
      <c r="AR314" s="61">
        <f t="shared" si="216"/>
        <v>169.18374266096083</v>
      </c>
      <c r="AS314" s="58" t="str">
        <f t="shared" si="217"/>
        <v>0.0140904472942158-0.00158401595008664i</v>
      </c>
      <c r="AT314" s="64">
        <f t="shared" si="218"/>
        <v>-36.966963297866954</v>
      </c>
      <c r="AU314" s="61">
        <f t="shared" si="219"/>
        <v>-6.4141312764037801</v>
      </c>
    </row>
    <row r="315" spans="14:47" x14ac:dyDescent="0.3">
      <c r="N315" s="10">
        <v>97</v>
      </c>
      <c r="O315" s="50">
        <f t="shared" si="220"/>
        <v>9332.5430079699217</v>
      </c>
      <c r="P315" s="48" t="str">
        <f t="shared" si="188"/>
        <v>51201.9230769231</v>
      </c>
      <c r="Q315" s="17" t="str">
        <f t="shared" si="189"/>
        <v>1+2740.20338400585i</v>
      </c>
      <c r="R315" s="17">
        <f t="shared" si="197"/>
        <v>2740.2035664740515</v>
      </c>
      <c r="S315" s="17">
        <f t="shared" si="198"/>
        <v>1.5704313903958527</v>
      </c>
      <c r="T315" s="17" t="str">
        <f t="shared" si="190"/>
        <v>1+1.75914291318894E-07i</v>
      </c>
      <c r="U315" s="17">
        <f t="shared" si="199"/>
        <v>1.0000000000000155</v>
      </c>
      <c r="V315" s="17">
        <f t="shared" si="200"/>
        <v>1.7591429131889217E-7</v>
      </c>
      <c r="W315" s="31" t="str">
        <f t="shared" si="191"/>
        <v>1-0.0949937173122029i</v>
      </c>
      <c r="X315" s="17">
        <f t="shared" si="201"/>
        <v>1.0045017701969423</v>
      </c>
      <c r="Y315" s="17">
        <f t="shared" si="202"/>
        <v>-9.4709519491101249E-2</v>
      </c>
      <c r="Z315" s="31" t="str">
        <f t="shared" si="192"/>
        <v>0.965161456401757+5.79685912031333i</v>
      </c>
      <c r="AA315" s="17">
        <f t="shared" si="203"/>
        <v>5.8766582593922712</v>
      </c>
      <c r="AB315" s="17">
        <f t="shared" si="204"/>
        <v>1.405812432286013</v>
      </c>
      <c r="AC315" s="66" t="str">
        <f t="shared" si="205"/>
        <v>-3.18595224886062-0.225429117359046i</v>
      </c>
      <c r="AD315" s="64">
        <f t="shared" si="206"/>
        <v>10.086474314566056</v>
      </c>
      <c r="AE315" s="61">
        <f t="shared" si="207"/>
        <v>-175.95265550895914</v>
      </c>
      <c r="AF315" s="31" t="str">
        <f t="shared" si="193"/>
        <v>-1.33333333333333E-06</v>
      </c>
      <c r="AG315" s="31" t="str">
        <f t="shared" si="194"/>
        <v>0.0586967352034045i</v>
      </c>
      <c r="AH315" s="31">
        <f t="shared" si="208"/>
        <v>5.8696735203404501E-2</v>
      </c>
      <c r="AI315" s="31">
        <f t="shared" si="209"/>
        <v>1.5707963267948966</v>
      </c>
      <c r="AJ315" s="31" t="str">
        <f t="shared" si="195"/>
        <v>1+0.189797636987418i</v>
      </c>
      <c r="AK315" s="31">
        <f t="shared" si="210"/>
        <v>1.0178522206126033</v>
      </c>
      <c r="AL315" s="31">
        <f t="shared" si="211"/>
        <v>0.18756662702720969</v>
      </c>
      <c r="AM315" s="31" t="str">
        <f t="shared" si="196"/>
        <v>1+189.987434624406i</v>
      </c>
      <c r="AN315" s="31">
        <f t="shared" si="212"/>
        <v>189.99006635917297</v>
      </c>
      <c r="AO315" s="31">
        <f t="shared" si="213"/>
        <v>1.5655328694125772</v>
      </c>
      <c r="AP315" s="58" t="str">
        <f t="shared" si="214"/>
        <v>-0.00416146393239071+0.000812551651018811i</v>
      </c>
      <c r="AQ315" s="49">
        <f t="shared" si="215"/>
        <v>-47.452580865083362</v>
      </c>
      <c r="AR315" s="61">
        <f t="shared" si="216"/>
        <v>168.95165000018255</v>
      </c>
      <c r="AS315" s="58" t="str">
        <f t="shared" si="217"/>
        <v>0.0134413981754503-0.00165063561867845i</v>
      </c>
      <c r="AT315" s="64">
        <f t="shared" si="218"/>
        <v>-37.366106550517337</v>
      </c>
      <c r="AU315" s="61">
        <f t="shared" si="219"/>
        <v>-7.0010055087766236</v>
      </c>
    </row>
    <row r="316" spans="14:47" x14ac:dyDescent="0.3">
      <c r="N316" s="10">
        <v>98</v>
      </c>
      <c r="O316" s="50">
        <f t="shared" si="220"/>
        <v>9549.9258602143691</v>
      </c>
      <c r="P316" s="48" t="str">
        <f t="shared" si="188"/>
        <v>51201.9230769231</v>
      </c>
      <c r="Q316" s="17" t="str">
        <f t="shared" si="189"/>
        <v>1+2804.0309202772i</v>
      </c>
      <c r="R316" s="17">
        <f t="shared" si="197"/>
        <v>2804.0310985919186</v>
      </c>
      <c r="S316" s="17">
        <f t="shared" si="198"/>
        <v>1.5704396973617567</v>
      </c>
      <c r="T316" s="17" t="str">
        <f t="shared" si="190"/>
        <v>1+1.8001186154866E-07i</v>
      </c>
      <c r="U316" s="17">
        <f t="shared" si="199"/>
        <v>1.0000000000000162</v>
      </c>
      <c r="V316" s="17">
        <f t="shared" si="200"/>
        <v>1.8001186154865806E-7</v>
      </c>
      <c r="W316" s="31" t="str">
        <f t="shared" si="191"/>
        <v>1-0.0972064052362763i</v>
      </c>
      <c r="X316" s="17">
        <f t="shared" si="201"/>
        <v>1.0047134343776634</v>
      </c>
      <c r="Y316" s="17">
        <f t="shared" si="202"/>
        <v>-9.6901958889328496E-2</v>
      </c>
      <c r="Z316" s="31" t="str">
        <f t="shared" si="192"/>
        <v>0.963519566425764+5.93188531505541i</v>
      </c>
      <c r="AA316" s="17">
        <f t="shared" si="203"/>
        <v>6.0096283866687887</v>
      </c>
      <c r="AB316" s="17">
        <f t="shared" si="204"/>
        <v>1.4097720579905682</v>
      </c>
      <c r="AC316" s="66" t="str">
        <f t="shared" si="205"/>
        <v>-3.04645389815552-0.196705344661727i</v>
      </c>
      <c r="AD316" s="64">
        <f t="shared" si="206"/>
        <v>9.6939607723427628</v>
      </c>
      <c r="AE316" s="61">
        <f t="shared" si="207"/>
        <v>-176.30561859395164</v>
      </c>
      <c r="AF316" s="31" t="str">
        <f t="shared" si="193"/>
        <v>-1.33333333333333E-06</v>
      </c>
      <c r="AG316" s="31" t="str">
        <f t="shared" si="194"/>
        <v>0.0600639578034029i</v>
      </c>
      <c r="AH316" s="31">
        <f t="shared" si="208"/>
        <v>6.0063957803402901E-2</v>
      </c>
      <c r="AI316" s="31">
        <f t="shared" si="209"/>
        <v>1.5707963267948966</v>
      </c>
      <c r="AJ316" s="31" t="str">
        <f t="shared" si="195"/>
        <v>1+0.194218591880672i</v>
      </c>
      <c r="AK316" s="31">
        <f t="shared" si="210"/>
        <v>1.0186858502168914</v>
      </c>
      <c r="AL316" s="31">
        <f t="shared" si="211"/>
        <v>0.19183038355700113</v>
      </c>
      <c r="AM316" s="31" t="str">
        <f t="shared" si="196"/>
        <v>1+194.412810472553i</v>
      </c>
      <c r="AN316" s="31">
        <f t="shared" si="212"/>
        <v>194.41538230252462</v>
      </c>
      <c r="AO316" s="31">
        <f t="shared" si="213"/>
        <v>1.5656526781921452</v>
      </c>
      <c r="AP316" s="58" t="str">
        <f t="shared" si="214"/>
        <v>-0.00415465574893776+0.000829109948678251i</v>
      </c>
      <c r="AQ316" s="49">
        <f t="shared" si="215"/>
        <v>-47.459697185945174</v>
      </c>
      <c r="AR316" s="61">
        <f t="shared" si="216"/>
        <v>168.71421928357202</v>
      </c>
      <c r="AS316" s="58" t="str">
        <f t="shared" si="217"/>
        <v>0.0128200575600629-0.00170860224410475i</v>
      </c>
      <c r="AT316" s="64">
        <f t="shared" si="218"/>
        <v>-37.765736413602419</v>
      </c>
      <c r="AU316" s="61">
        <f t="shared" si="219"/>
        <v>-7.5913993103795789</v>
      </c>
    </row>
    <row r="317" spans="14:47" x14ac:dyDescent="0.3">
      <c r="N317" s="10">
        <v>99</v>
      </c>
      <c r="O317" s="50">
        <f t="shared" si="220"/>
        <v>9772.3722095581161</v>
      </c>
      <c r="P317" s="48" t="str">
        <f t="shared" si="188"/>
        <v>51201.9230769231</v>
      </c>
      <c r="Q317" s="17" t="str">
        <f t="shared" si="189"/>
        <v>1+2869.34519085822i</v>
      </c>
      <c r="R317" s="17">
        <f t="shared" si="197"/>
        <v>2869.3453651140007</v>
      </c>
      <c r="S317" s="17">
        <f t="shared" si="198"/>
        <v>1.570447815238079</v>
      </c>
      <c r="T317" s="17" t="str">
        <f t="shared" si="190"/>
        <v>1+1.84204876450157E-07i</v>
      </c>
      <c r="U317" s="17">
        <f t="shared" si="199"/>
        <v>1.0000000000000169</v>
      </c>
      <c r="V317" s="17">
        <f t="shared" si="200"/>
        <v>1.8420487645015492E-7</v>
      </c>
      <c r="W317" s="31" t="str">
        <f t="shared" si="191"/>
        <v>1-0.0994706332830848i</v>
      </c>
      <c r="X317" s="17">
        <f t="shared" si="201"/>
        <v>1.0049350262010663</v>
      </c>
      <c r="Y317" s="17">
        <f t="shared" si="202"/>
        <v>-9.9144499604681108E-2</v>
      </c>
      <c r="Z317" s="31" t="str">
        <f t="shared" si="192"/>
        <v>0.961800296559142+6.07005667390932i</v>
      </c>
      <c r="AA317" s="17">
        <f t="shared" si="203"/>
        <v>6.1457829309968579</v>
      </c>
      <c r="AB317" s="17">
        <f t="shared" si="204"/>
        <v>1.4136527689247191</v>
      </c>
      <c r="AC317" s="66" t="str">
        <f t="shared" si="205"/>
        <v>-2.91289295818512-0.170153899742536i</v>
      </c>
      <c r="AD317" s="64">
        <f t="shared" si="206"/>
        <v>9.3012842935063809</v>
      </c>
      <c r="AE317" s="61">
        <f t="shared" si="207"/>
        <v>-176.65691995017457</v>
      </c>
      <c r="AF317" s="31" t="str">
        <f t="shared" si="193"/>
        <v>-1.33333333333333E-06</v>
      </c>
      <c r="AG317" s="31" t="str">
        <f t="shared" si="194"/>
        <v>0.0614630271088691i</v>
      </c>
      <c r="AH317" s="31">
        <f t="shared" si="208"/>
        <v>6.1463027108869098E-2</v>
      </c>
      <c r="AI317" s="31">
        <f t="shared" si="209"/>
        <v>1.5707963267948966</v>
      </c>
      <c r="AJ317" s="31" t="str">
        <f t="shared" si="195"/>
        <v>1+0.198742524042127i</v>
      </c>
      <c r="AK317" s="31">
        <f t="shared" si="210"/>
        <v>1.0195580370251787</v>
      </c>
      <c r="AL317" s="31">
        <f t="shared" si="211"/>
        <v>0.19618615648072707</v>
      </c>
      <c r="AM317" s="31" t="str">
        <f t="shared" si="196"/>
        <v>1+198.94126656617i</v>
      </c>
      <c r="AN317" s="31">
        <f t="shared" si="212"/>
        <v>198.94377985489243</v>
      </c>
      <c r="AO317" s="31">
        <f t="shared" si="213"/>
        <v>1.5657697599336244</v>
      </c>
      <c r="AP317" s="58" t="str">
        <f t="shared" si="214"/>
        <v>-0.00414755054084656+0.000845987921548703i</v>
      </c>
      <c r="AQ317" s="49">
        <f t="shared" si="215"/>
        <v>-47.467135931768034</v>
      </c>
      <c r="AR317" s="61">
        <f t="shared" si="216"/>
        <v>168.47136016816998</v>
      </c>
      <c r="AS317" s="58" t="str">
        <f t="shared" si="217"/>
        <v>0.0122253189081354-0.00175855036048458i</v>
      </c>
      <c r="AT317" s="64">
        <f t="shared" si="218"/>
        <v>-38.165851638261671</v>
      </c>
      <c r="AU317" s="61">
        <f t="shared" si="219"/>
        <v>-8.18555978200461</v>
      </c>
    </row>
    <row r="318" spans="14:47" x14ac:dyDescent="0.3">
      <c r="N318" s="10">
        <v>100</v>
      </c>
      <c r="O318" s="50">
        <f t="shared" si="220"/>
        <v>10000</v>
      </c>
      <c r="P318" s="48" t="str">
        <f t="shared" si="188"/>
        <v>51201.9230769231</v>
      </c>
      <c r="Q318" s="17" t="str">
        <f t="shared" si="189"/>
        <v>1+2936.18082623969i</v>
      </c>
      <c r="R318" s="17">
        <f t="shared" si="197"/>
        <v>2936.1809965289244</v>
      </c>
      <c r="S318" s="17">
        <f t="shared" si="198"/>
        <v>1.5704557483290205</v>
      </c>
      <c r="T318" s="17" t="str">
        <f t="shared" si="190"/>
        <v>1+1.88495559215388E-07i</v>
      </c>
      <c r="U318" s="17">
        <f t="shared" si="199"/>
        <v>1.0000000000000178</v>
      </c>
      <c r="V318" s="17">
        <f t="shared" si="200"/>
        <v>1.8849555921538577E-7</v>
      </c>
      <c r="W318" s="31" t="str">
        <f t="shared" si="191"/>
        <v>1-0.101787601976309i</v>
      </c>
      <c r="X318" s="17">
        <f t="shared" si="201"/>
        <v>1.00516700896721</v>
      </c>
      <c r="Y318" s="17">
        <f t="shared" si="202"/>
        <v>-0.10143824039066934</v>
      </c>
      <c r="Z318" s="31" t="str">
        <f t="shared" si="192"/>
        <v>0.96+6.21144645715843i</v>
      </c>
      <c r="AA318" s="17">
        <f t="shared" si="203"/>
        <v>6.2851942762452468</v>
      </c>
      <c r="AB318" s="17">
        <f t="shared" si="204"/>
        <v>1.4174562048490351</v>
      </c>
      <c r="AC318" s="66" t="str">
        <f t="shared" si="205"/>
        <v>-2.78503104355948-0.145629910992762i</v>
      </c>
      <c r="AD318" s="64">
        <f t="shared" si="206"/>
        <v>8.9084593790333386</v>
      </c>
      <c r="AE318" s="61">
        <f t="shared" si="207"/>
        <v>-177.00671672941181</v>
      </c>
      <c r="AF318" s="31" t="str">
        <f t="shared" si="193"/>
        <v>-1.33333333333333E-06</v>
      </c>
      <c r="AG318" s="31" t="str">
        <f t="shared" si="194"/>
        <v>0.0628946849248677i</v>
      </c>
      <c r="AH318" s="31">
        <f t="shared" si="208"/>
        <v>6.2894684924867703E-2</v>
      </c>
      <c r="AI318" s="31">
        <f t="shared" si="209"/>
        <v>1.5707963267948966</v>
      </c>
      <c r="AJ318" s="31" t="str">
        <f t="shared" si="195"/>
        <v>1+0.203371832120498i</v>
      </c>
      <c r="AK318" s="31">
        <f t="shared" si="210"/>
        <v>1.0204705297557828</v>
      </c>
      <c r="AL318" s="31">
        <f t="shared" si="211"/>
        <v>0.20063559384160218</v>
      </c>
      <c r="AM318" s="31" t="str">
        <f t="shared" si="196"/>
        <v>1+203.575203952619i</v>
      </c>
      <c r="AN318" s="31">
        <f t="shared" si="212"/>
        <v>203.57766003260383</v>
      </c>
      <c r="AO318" s="31">
        <f t="shared" si="213"/>
        <v>1.5658841767024572</v>
      </c>
      <c r="AP318" s="58" t="str">
        <f t="shared" si="214"/>
        <v>-0.00414013647541046+0.000863186599852426i</v>
      </c>
      <c r="AQ318" s="49">
        <f t="shared" si="215"/>
        <v>-47.474911165213896</v>
      </c>
      <c r="AR318" s="61">
        <f t="shared" si="216"/>
        <v>168.22298178414366</v>
      </c>
      <c r="AS318" s="58" t="str">
        <f t="shared" si="217"/>
        <v>0.0116561143962977-0.00180107377056165i</v>
      </c>
      <c r="AT318" s="64">
        <f t="shared" si="218"/>
        <v>-38.566451786180579</v>
      </c>
      <c r="AU318" s="61">
        <f t="shared" si="219"/>
        <v>-8.7837349452681917</v>
      </c>
    </row>
    <row r="319" spans="14:47" x14ac:dyDescent="0.3">
      <c r="N319" s="10">
        <v>1</v>
      </c>
      <c r="O319" s="50">
        <f>10^(4+(N319/100))</f>
        <v>10232.929922807549</v>
      </c>
      <c r="P319" s="48" t="str">
        <f t="shared" si="188"/>
        <v>51201.9230769231</v>
      </c>
      <c r="Q319" s="17" t="str">
        <f t="shared" si="189"/>
        <v>1+3004.57326356019i</v>
      </c>
      <c r="R319" s="17">
        <f t="shared" si="197"/>
        <v>3004.5734299731685</v>
      </c>
      <c r="S319" s="17">
        <f t="shared" si="198"/>
        <v>1.5704635008408072</v>
      </c>
      <c r="T319" s="17" t="str">
        <f t="shared" si="190"/>
        <v>1+1.92886184821148E-07i</v>
      </c>
      <c r="U319" s="17">
        <f t="shared" si="199"/>
        <v>1.0000000000000187</v>
      </c>
      <c r="V319" s="17">
        <f t="shared" si="200"/>
        <v>1.9288618482114561E-7</v>
      </c>
      <c r="W319" s="31" t="str">
        <f t="shared" si="191"/>
        <v>1-0.10415853980342i</v>
      </c>
      <c r="X319" s="17">
        <f t="shared" si="201"/>
        <v>1.0054098673744856</v>
      </c>
      <c r="Y319" s="17">
        <f t="shared" si="202"/>
        <v>-0.10378430082260712</v>
      </c>
      <c r="Z319" s="31" t="str">
        <f t="shared" si="192"/>
        <v>0.958114858077964+6.35612963153733i</v>
      </c>
      <c r="AA319" s="17">
        <f t="shared" si="203"/>
        <v>6.4279365253692919</v>
      </c>
      <c r="AB319" s="17">
        <f t="shared" si="204"/>
        <v>1.4211839910074069</v>
      </c>
      <c r="AC319" s="66" t="str">
        <f t="shared" si="205"/>
        <v>-2.66263810576306-0.122997556099305i</v>
      </c>
      <c r="AD319" s="64">
        <f t="shared" si="206"/>
        <v>8.5155002819745693</v>
      </c>
      <c r="AE319" s="61">
        <f t="shared" si="207"/>
        <v>-177.35516643908826</v>
      </c>
      <c r="AF319" s="31" t="str">
        <f t="shared" si="193"/>
        <v>-1.33333333333333E-06</v>
      </c>
      <c r="AG319" s="31" t="str">
        <f t="shared" si="194"/>
        <v>0.0643596903353231i</v>
      </c>
      <c r="AH319" s="31">
        <f t="shared" si="208"/>
        <v>6.43596903353231E-2</v>
      </c>
      <c r="AI319" s="31">
        <f t="shared" si="209"/>
        <v>1.5707963267948966</v>
      </c>
      <c r="AJ319" s="31" t="str">
        <f t="shared" si="195"/>
        <v>1+0.208108970636203i</v>
      </c>
      <c r="AK319" s="31">
        <f t="shared" si="210"/>
        <v>1.0214251532340781</v>
      </c>
      <c r="AL319" s="31">
        <f t="shared" si="211"/>
        <v>0.20518034975353708</v>
      </c>
      <c r="AM319" s="31" t="str">
        <f t="shared" si="196"/>
        <v>1+208.31707960684i</v>
      </c>
      <c r="AN319" s="31">
        <f t="shared" si="212"/>
        <v>208.31947978027048</v>
      </c>
      <c r="AO319" s="31">
        <f t="shared" si="213"/>
        <v>1.565995989151939</v>
      </c>
      <c r="AP319" s="58" t="str">
        <f t="shared" si="214"/>
        <v>-0.00413240135243114+0.000880706692714227i</v>
      </c>
      <c r="AQ319" s="49">
        <f t="shared" si="215"/>
        <v>-47.483037505873668</v>
      </c>
      <c r="AR319" s="61">
        <f t="shared" si="216"/>
        <v>167.96899283292498</v>
      </c>
      <c r="AS319" s="58" t="str">
        <f t="shared" si="217"/>
        <v>0.0111114140801341-0.00183672793285097i</v>
      </c>
      <c r="AT319" s="64">
        <f t="shared" si="218"/>
        <v>-38.9675372238991</v>
      </c>
      <c r="AU319" s="61">
        <f t="shared" si="219"/>
        <v>-9.3861736061632897</v>
      </c>
    </row>
    <row r="320" spans="14:47" x14ac:dyDescent="0.3">
      <c r="N320" s="10">
        <v>2</v>
      </c>
      <c r="O320" s="50">
        <f t="shared" ref="O320:O383" si="221">10^(4+(N320/100))</f>
        <v>10471.285480509003</v>
      </c>
      <c r="P320" s="48" t="str">
        <f t="shared" si="188"/>
        <v>51201.9230769231</v>
      </c>
      <c r="Q320" s="17" t="str">
        <f t="shared" si="189"/>
        <v>1+3074.55876539526i</v>
      </c>
      <c r="R320" s="17">
        <f t="shared" si="197"/>
        <v>3074.5589280202171</v>
      </c>
      <c r="S320" s="17">
        <f t="shared" si="198"/>
        <v>1.5704710768839198</v>
      </c>
      <c r="T320" s="17" t="str">
        <f t="shared" si="190"/>
        <v>1+1.97379081235252E-07i</v>
      </c>
      <c r="U320" s="17">
        <f t="shared" si="199"/>
        <v>1.0000000000000195</v>
      </c>
      <c r="V320" s="17">
        <f t="shared" si="200"/>
        <v>1.9737908123524944E-7</v>
      </c>
      <c r="W320" s="31" t="str">
        <f t="shared" si="191"/>
        <v>1-0.106584703867036i</v>
      </c>
      <c r="X320" s="17">
        <f t="shared" si="201"/>
        <v>1.0056641084867373</v>
      </c>
      <c r="Y320" s="17">
        <f t="shared" si="202"/>
        <v>-0.10618382145456221</v>
      </c>
      <c r="Z320" s="31" t="str">
        <f t="shared" si="192"/>
        <v>0.956140872154272+6.50418290998021i</v>
      </c>
      <c r="AA320" s="17">
        <f t="shared" si="203"/>
        <v>6.574085540505429</v>
      </c>
      <c r="AB320" s="17">
        <f t="shared" si="204"/>
        <v>1.4248377373721997</v>
      </c>
      <c r="AC320" s="66" t="str">
        <f t="shared" si="205"/>
        <v>-2.54549225045463-0.102129535409797i</v>
      </c>
      <c r="AD320" s="64">
        <f t="shared" si="206"/>
        <v>8.1224210301250057</v>
      </c>
      <c r="AE320" s="61">
        <f t="shared" si="207"/>
        <v>-177.70242690813942</v>
      </c>
      <c r="AF320" s="31" t="str">
        <f t="shared" si="193"/>
        <v>-1.33333333333333E-06</v>
      </c>
      <c r="AG320" s="31" t="str">
        <f t="shared" si="194"/>
        <v>0.0658588201054955i</v>
      </c>
      <c r="AH320" s="31">
        <f t="shared" si="208"/>
        <v>6.58588201054955E-2</v>
      </c>
      <c r="AI320" s="31">
        <f t="shared" si="209"/>
        <v>1.5707963267948966</v>
      </c>
      <c r="AJ320" s="31" t="str">
        <f t="shared" si="195"/>
        <v>1+0.212956451282788i</v>
      </c>
      <c r="AK320" s="31">
        <f t="shared" si="210"/>
        <v>1.0224238114123509</v>
      </c>
      <c r="AL320" s="31">
        <f t="shared" si="211"/>
        <v>0.20982208258403692</v>
      </c>
      <c r="AM320" s="31" t="str">
        <f t="shared" si="196"/>
        <v>1+213.169407734071i</v>
      </c>
      <c r="AN320" s="31">
        <f t="shared" si="212"/>
        <v>213.17175327349216</v>
      </c>
      <c r="AO320" s="31">
        <f t="shared" si="213"/>
        <v>1.5661052565553211</v>
      </c>
      <c r="AP320" s="58" t="str">
        <f t="shared" si="214"/>
        <v>-0.00412433260267114+0.000898548561738846i</v>
      </c>
      <c r="AQ320" s="49">
        <f t="shared" si="215"/>
        <v>-47.49153014737675</v>
      </c>
      <c r="AR320" s="61">
        <f t="shared" si="216"/>
        <v>167.70930169316213</v>
      </c>
      <c r="AS320" s="58" t="str">
        <f t="shared" si="217"/>
        <v>0.0105902250255503-0.0018660322279771i</v>
      </c>
      <c r="AT320" s="64">
        <f t="shared" si="218"/>
        <v>-39.369109117251732</v>
      </c>
      <c r="AU320" s="61">
        <f t="shared" si="219"/>
        <v>-9.9931252149772654</v>
      </c>
    </row>
    <row r="321" spans="14:47" x14ac:dyDescent="0.3">
      <c r="N321" s="10">
        <v>3</v>
      </c>
      <c r="O321" s="50">
        <f t="shared" si="221"/>
        <v>10715.193052376071</v>
      </c>
      <c r="P321" s="48" t="str">
        <f t="shared" si="188"/>
        <v>51201.9230769231</v>
      </c>
      <c r="Q321" s="17" t="str">
        <f t="shared" si="189"/>
        <v>1+3146.17443898434i</v>
      </c>
      <c r="R321" s="17">
        <f t="shared" si="197"/>
        <v>3146.1745979075017</v>
      </c>
      <c r="S321" s="17">
        <f t="shared" si="198"/>
        <v>1.5704784804752732</v>
      </c>
      <c r="T321" s="17" t="str">
        <f t="shared" si="190"/>
        <v>1+2.01976630650847E-07i</v>
      </c>
      <c r="U321" s="17">
        <f t="shared" si="199"/>
        <v>1.0000000000000204</v>
      </c>
      <c r="V321" s="17">
        <f t="shared" si="200"/>
        <v>2.0197663065084425E-7</v>
      </c>
      <c r="W321" s="31" t="str">
        <f t="shared" si="191"/>
        <v>1-0.109067380551457i</v>
      </c>
      <c r="X321" s="17">
        <f t="shared" si="201"/>
        <v>1.005930262742083</v>
      </c>
      <c r="Y321" s="17">
        <f t="shared" si="202"/>
        <v>-0.10863796395807652</v>
      </c>
      <c r="Z321" s="31" t="str">
        <f t="shared" si="192"/>
        <v>0.954073855140125+6.65568479229499i</v>
      </c>
      <c r="AA321" s="17">
        <f t="shared" si="203"/>
        <v>6.7237189839737317</v>
      </c>
      <c r="AB321" s="17">
        <f t="shared" si="204"/>
        <v>1.4284190379738149</v>
      </c>
      <c r="AC321" s="66" t="str">
        <f t="shared" si="205"/>
        <v>-2.43337954823706-0.0829065723647652i</v>
      </c>
      <c r="AD321" s="64">
        <f t="shared" si="206"/>
        <v>7.7292354486481489</v>
      </c>
      <c r="AE321" s="61">
        <f t="shared" si="207"/>
        <v>-178.04865625667233</v>
      </c>
      <c r="AF321" s="31" t="str">
        <f t="shared" si="193"/>
        <v>-1.33333333333333E-06</v>
      </c>
      <c r="AG321" s="31" t="str">
        <f t="shared" si="194"/>
        <v>0.0673928690938324i</v>
      </c>
      <c r="AH321" s="31">
        <f t="shared" si="208"/>
        <v>6.7392869093832394E-2</v>
      </c>
      <c r="AI321" s="31">
        <f t="shared" si="209"/>
        <v>1.5707963267948966</v>
      </c>
      <c r="AJ321" s="31" t="str">
        <f t="shared" si="195"/>
        <v>1+0.217916844258655i</v>
      </c>
      <c r="AK321" s="31">
        <f t="shared" si="210"/>
        <v>1.0234684904830489</v>
      </c>
      <c r="AL321" s="31">
        <f t="shared" si="211"/>
        <v>0.2145624529934472</v>
      </c>
      <c r="AM321" s="31" t="str">
        <f t="shared" si="196"/>
        <v>1+218.134761102914i</v>
      </c>
      <c r="AN321" s="31">
        <f t="shared" si="212"/>
        <v>218.13705325190716</v>
      </c>
      <c r="AO321" s="31">
        <f t="shared" si="213"/>
        <v>1.5662120368371844</v>
      </c>
      <c r="AP321" s="58" t="str">
        <f t="shared" si="214"/>
        <v>-0.00411591728741238+0.000916712193366832i</v>
      </c>
      <c r="AQ321" s="49">
        <f t="shared" si="215"/>
        <v>-47.500404874546298</v>
      </c>
      <c r="AR321" s="61">
        <f t="shared" si="216"/>
        <v>167.44381653486025</v>
      </c>
      <c r="AS321" s="58" t="str">
        <f t="shared" si="217"/>
        <v>0.0100915904152217-0.00188947210852214i</v>
      </c>
      <c r="AT321" s="64">
        <f t="shared" si="218"/>
        <v>-39.77116942589813</v>
      </c>
      <c r="AU321" s="61">
        <f t="shared" si="219"/>
        <v>-10.604839721812036</v>
      </c>
    </row>
    <row r="322" spans="14:47" x14ac:dyDescent="0.3">
      <c r="N322" s="10">
        <v>4</v>
      </c>
      <c r="O322" s="50">
        <f t="shared" si="221"/>
        <v>10964.781961431856</v>
      </c>
      <c r="P322" s="48" t="str">
        <f t="shared" si="188"/>
        <v>51201.9230769231</v>
      </c>
      <c r="Q322" s="17" t="str">
        <f t="shared" si="189"/>
        <v>1+3219.45825590551i</v>
      </c>
      <c r="R322" s="17">
        <f t="shared" si="197"/>
        <v>3219.4584112111384</v>
      </c>
      <c r="S322" s="17">
        <f t="shared" si="198"/>
        <v>1.570485715540346</v>
      </c>
      <c r="T322" s="17" t="str">
        <f t="shared" si="190"/>
        <v>1+2.06681270749489E-07i</v>
      </c>
      <c r="U322" s="17">
        <f t="shared" si="199"/>
        <v>1.0000000000000213</v>
      </c>
      <c r="V322" s="17">
        <f t="shared" si="200"/>
        <v>2.0668127074948606E-7</v>
      </c>
      <c r="W322" s="31" t="str">
        <f t="shared" si="191"/>
        <v>1-0.111607886204724i</v>
      </c>
      <c r="X322" s="17">
        <f t="shared" si="201"/>
        <v>1.0062088850050404</v>
      </c>
      <c r="Y322" s="17">
        <f t="shared" si="202"/>
        <v>-0.11114791124084306</v>
      </c>
      <c r="Z322" s="31" t="str">
        <f t="shared" si="192"/>
        <v>0.951909422615303+6.81071560678505i</v>
      </c>
      <c r="AA322" s="17">
        <f t="shared" si="203"/>
        <v>6.8769163602132934</v>
      </c>
      <c r="AB322" s="17">
        <f t="shared" si="204"/>
        <v>1.4319294703096836</v>
      </c>
      <c r="AC322" s="66" t="str">
        <f t="shared" si="205"/>
        <v>-2.32609384022861-0.0652169399839294i</v>
      </c>
      <c r="AD322" s="64">
        <f t="shared" si="206"/>
        <v>7.3359571826555738</v>
      </c>
      <c r="AE322" s="61">
        <f t="shared" si="207"/>
        <v>-178.39401286902384</v>
      </c>
      <c r="AF322" s="31" t="str">
        <f t="shared" si="193"/>
        <v>-1.33333333333333E-06</v>
      </c>
      <c r="AG322" s="31" t="str">
        <f t="shared" si="194"/>
        <v>0.0689626506734129i</v>
      </c>
      <c r="AH322" s="31">
        <f t="shared" si="208"/>
        <v>6.8962650673412895E-2</v>
      </c>
      <c r="AI322" s="31">
        <f t="shared" si="209"/>
        <v>1.5707963267948966</v>
      </c>
      <c r="AJ322" s="31" t="str">
        <f t="shared" si="195"/>
        <v>1+0.222992779629818i</v>
      </c>
      <c r="AK322" s="31">
        <f t="shared" si="210"/>
        <v>1.0245612620858904</v>
      </c>
      <c r="AL322" s="31">
        <f t="shared" si="211"/>
        <v>0.21940312182401414</v>
      </c>
      <c r="AM322" s="31" t="str">
        <f t="shared" si="196"/>
        <v>1+223.215772409448i</v>
      </c>
      <c r="AN322" s="31">
        <f t="shared" si="212"/>
        <v>223.2180123832897</v>
      </c>
      <c r="AO322" s="31">
        <f t="shared" si="213"/>
        <v>1.5663163866041021</v>
      </c>
      <c r="AP322" s="58" t="str">
        <f t="shared" si="214"/>
        <v>-0.00410714209924271+0.000935197170006067i</v>
      </c>
      <c r="AQ322" s="49">
        <f t="shared" si="215"/>
        <v>-47.509678080546323</v>
      </c>
      <c r="AR322" s="61">
        <f t="shared" si="216"/>
        <v>167.17244544208577</v>
      </c>
      <c r="AS322" s="58" t="str">
        <f t="shared" si="217"/>
        <v>0.0096145886357015-0.00190750113675856i</v>
      </c>
      <c r="AT322" s="64">
        <f t="shared" si="218"/>
        <v>-40.173720897890739</v>
      </c>
      <c r="AU322" s="61">
        <f t="shared" si="219"/>
        <v>-11.221567426938053</v>
      </c>
    </row>
    <row r="323" spans="14:47" x14ac:dyDescent="0.3">
      <c r="N323" s="10">
        <v>5</v>
      </c>
      <c r="O323" s="50">
        <f t="shared" si="221"/>
        <v>11220.184543019639</v>
      </c>
      <c r="P323" s="48" t="str">
        <f t="shared" si="188"/>
        <v>51201.9230769231</v>
      </c>
      <c r="Q323" s="17" t="str">
        <f t="shared" si="189"/>
        <v>1+3294.44907220852i</v>
      </c>
      <c r="R323" s="17">
        <f t="shared" si="197"/>
        <v>3294.4492239789611</v>
      </c>
      <c r="S323" s="17">
        <f t="shared" si="198"/>
        <v>1.5704927859152626</v>
      </c>
      <c r="T323" s="17" t="str">
        <f t="shared" si="190"/>
        <v>1+2.11495495993634E-07i</v>
      </c>
      <c r="U323" s="17">
        <f t="shared" si="199"/>
        <v>1.0000000000000222</v>
      </c>
      <c r="V323" s="17">
        <f t="shared" si="200"/>
        <v>2.1149549599363084E-7</v>
      </c>
      <c r="W323" s="31" t="str">
        <f t="shared" si="191"/>
        <v>1-0.114207567836562i</v>
      </c>
      <c r="X323" s="17">
        <f t="shared" si="201"/>
        <v>1.0065005556636035</v>
      </c>
      <c r="Y323" s="17">
        <f t="shared" si="202"/>
        <v>-0.11371486754341177</v>
      </c>
      <c r="Z323" s="31" t="str">
        <f t="shared" si="192"/>
        <v>0.949642983528233+6.9693575528403i</v>
      </c>
      <c r="AA323" s="17">
        <f t="shared" si="203"/>
        <v>7.0337590586752778</v>
      </c>
      <c r="AB323" s="17">
        <f t="shared" si="204"/>
        <v>1.4353705948278965</v>
      </c>
      <c r="AC323" s="66" t="str">
        <f t="shared" si="205"/>
        <v>-2.22343653964515-0.0489560123874237i</v>
      </c>
      <c r="AD323" s="64">
        <f t="shared" si="206"/>
        <v>6.9425997197387934</v>
      </c>
      <c r="AE323" s="61">
        <f t="shared" si="207"/>
        <v>-178.73865536983564</v>
      </c>
      <c r="AF323" s="31" t="str">
        <f t="shared" si="193"/>
        <v>-1.33333333333333E-06</v>
      </c>
      <c r="AG323" s="31" t="str">
        <f t="shared" si="194"/>
        <v>0.0705689971632091i</v>
      </c>
      <c r="AH323" s="31">
        <f t="shared" si="208"/>
        <v>7.0568997163209093E-2</v>
      </c>
      <c r="AI323" s="31">
        <f t="shared" si="209"/>
        <v>1.5707963267948966</v>
      </c>
      <c r="AJ323" s="31" t="str">
        <f t="shared" si="195"/>
        <v>1+0.228186948724399i</v>
      </c>
      <c r="AK323" s="31">
        <f t="shared" si="210"/>
        <v>1.025704286609036</v>
      </c>
      <c r="AL323" s="31">
        <f t="shared" si="211"/>
        <v>0.22434574783220274</v>
      </c>
      <c r="AM323" s="31" t="str">
        <f t="shared" si="196"/>
        <v>1+228.415135673124i</v>
      </c>
      <c r="AN323" s="31">
        <f t="shared" si="212"/>
        <v>228.41732465943048</v>
      </c>
      <c r="AO323" s="31">
        <f t="shared" si="213"/>
        <v>1.5664183611746065</v>
      </c>
      <c r="AP323" s="58" t="str">
        <f t="shared" si="214"/>
        <v>-0.00409799336420059+0.0009540026399434i</v>
      </c>
      <c r="AQ323" s="49">
        <f t="shared" si="215"/>
        <v>-47.519366783959768</v>
      </c>
      <c r="AR323" s="61">
        <f t="shared" si="216"/>
        <v>166.8950965446125</v>
      </c>
      <c r="AS323" s="58" t="str">
        <f t="shared" si="217"/>
        <v>0.00915833235024565-0.00192054291466671i</v>
      </c>
      <c r="AT323" s="64">
        <f t="shared" si="218"/>
        <v>-40.576767064220967</v>
      </c>
      <c r="AU323" s="61">
        <f t="shared" si="219"/>
        <v>-11.843558825223139</v>
      </c>
    </row>
    <row r="324" spans="14:47" x14ac:dyDescent="0.3">
      <c r="N324" s="10">
        <v>6</v>
      </c>
      <c r="O324" s="50">
        <f t="shared" si="221"/>
        <v>11481.536214968832</v>
      </c>
      <c r="P324" s="48" t="str">
        <f t="shared" si="188"/>
        <v>51201.9230769231</v>
      </c>
      <c r="Q324" s="17" t="str">
        <f t="shared" si="189"/>
        <v>1+3371.18664901681i</v>
      </c>
      <c r="R324" s="17">
        <f t="shared" si="197"/>
        <v>3371.1867973325343</v>
      </c>
      <c r="S324" s="17">
        <f t="shared" si="198"/>
        <v>1.5704996953488266</v>
      </c>
      <c r="T324" s="17" t="str">
        <f t="shared" si="190"/>
        <v>1+2.16421858949228E-07i</v>
      </c>
      <c r="U324" s="17">
        <f t="shared" si="199"/>
        <v>1.0000000000000235</v>
      </c>
      <c r="V324" s="17">
        <f t="shared" si="200"/>
        <v>2.1642185894922461E-7</v>
      </c>
      <c r="W324" s="31" t="str">
        <f t="shared" si="191"/>
        <v>1-0.116867803832583i</v>
      </c>
      <c r="X324" s="17">
        <f t="shared" si="201"/>
        <v>1.0068058817729717</v>
      </c>
      <c r="Y324" s="17">
        <f t="shared" si="202"/>
        <v>-0.11634005851187981</v>
      </c>
      <c r="Z324" s="31" t="str">
        <f t="shared" si="192"/>
        <v>0.947269730457744+7.13169474452043i</v>
      </c>
      <c r="AA324" s="17">
        <f t="shared" si="203"/>
        <v>7.1943303976994128</v>
      </c>
      <c r="AB324" s="17">
        <f t="shared" si="204"/>
        <v>1.4387439544808978</v>
      </c>
      <c r="AC324" s="66" t="str">
        <f t="shared" si="205"/>
        <v>-2.12521643049049-0.0340258403337176i</v>
      </c>
      <c r="AD324" s="64">
        <f t="shared" si="206"/>
        <v>6.5491764124567498</v>
      </c>
      <c r="AE324" s="61">
        <f t="shared" si="207"/>
        <v>-179.08274260276363</v>
      </c>
      <c r="AF324" s="31" t="str">
        <f t="shared" si="193"/>
        <v>-1.33333333333333E-06</v>
      </c>
      <c r="AG324" s="31" t="str">
        <f t="shared" si="194"/>
        <v>0.0722127602693922i</v>
      </c>
      <c r="AH324" s="31">
        <f t="shared" si="208"/>
        <v>7.2212760269392204E-2</v>
      </c>
      <c r="AI324" s="31">
        <f t="shared" si="209"/>
        <v>1.5707963267948966</v>
      </c>
      <c r="AJ324" s="31" t="str">
        <f t="shared" si="195"/>
        <v>1+0.233502105559606i</v>
      </c>
      <c r="AK324" s="31">
        <f t="shared" si="210"/>
        <v>1.0268998165842516</v>
      </c>
      <c r="AL324" s="31">
        <f t="shared" si="211"/>
        <v>0.22939198525777432</v>
      </c>
      <c r="AM324" s="31" t="str">
        <f t="shared" si="196"/>
        <v>1+233.735607665166i</v>
      </c>
      <c r="AN324" s="31">
        <f t="shared" si="212"/>
        <v>233.73774682452213</v>
      </c>
      <c r="AO324" s="31">
        <f t="shared" si="213"/>
        <v>1.5665180146084765</v>
      </c>
      <c r="AP324" s="58" t="str">
        <f t="shared" si="214"/>
        <v>-0.00408845704541427+0.000973127286049391i</v>
      </c>
      <c r="AQ324" s="49">
        <f t="shared" si="215"/>
        <v>-47.529488645732656</v>
      </c>
      <c r="AR324" s="61">
        <f t="shared" si="216"/>
        <v>166.61167815888109</v>
      </c>
      <c r="AS324" s="58" t="str">
        <f t="shared" si="217"/>
        <v>0.00872196756192851-0.00192899291063226i</v>
      </c>
      <c r="AT324" s="64">
        <f t="shared" si="218"/>
        <v>-40.98031223327591</v>
      </c>
      <c r="AU324" s="61">
        <f t="shared" si="219"/>
        <v>-12.471064443882579</v>
      </c>
    </row>
    <row r="325" spans="14:47" x14ac:dyDescent="0.3">
      <c r="N325" s="10">
        <v>7</v>
      </c>
      <c r="O325" s="50">
        <f t="shared" si="221"/>
        <v>11748.975549395318</v>
      </c>
      <c r="P325" s="48" t="str">
        <f t="shared" si="188"/>
        <v>51201.9230769231</v>
      </c>
      <c r="Q325" s="17" t="str">
        <f t="shared" si="189"/>
        <v>1+3449.71167360935i</v>
      </c>
      <c r="R325" s="17">
        <f t="shared" si="197"/>
        <v>3449.7118185489962</v>
      </c>
      <c r="S325" s="17">
        <f t="shared" si="198"/>
        <v>1.5705064475045083</v>
      </c>
      <c r="T325" s="17" t="str">
        <f t="shared" si="190"/>
        <v>1+2.21462971639119E-07i</v>
      </c>
      <c r="U325" s="17">
        <f t="shared" si="199"/>
        <v>1.0000000000000244</v>
      </c>
      <c r="V325" s="17">
        <f t="shared" si="200"/>
        <v>2.2146297163911537E-7</v>
      </c>
      <c r="W325" s="31" t="str">
        <f t="shared" si="191"/>
        <v>1-0.119590004685124i</v>
      </c>
      <c r="X325" s="17">
        <f t="shared" si="201"/>
        <v>1.0071254982476554</v>
      </c>
      <c r="Y325" s="17">
        <f t="shared" si="202"/>
        <v>-0.11902473124437928</v>
      </c>
      <c r="Z325" s="31" t="str">
        <f t="shared" si="192"/>
        <v>0.944784629415884+7.29781325515325i</v>
      </c>
      <c r="AA325" s="17">
        <f t="shared" si="203"/>
        <v>7.3587156693998566</v>
      </c>
      <c r="AB325" s="17">
        <f t="shared" si="204"/>
        <v>1.4420510743448538</v>
      </c>
      <c r="AC325" s="66" t="str">
        <f t="shared" si="205"/>
        <v>-2.03124946434504-0.020334749762288i</v>
      </c>
      <c r="AD325" s="64">
        <f t="shared" si="206"/>
        <v>6.1557005007810703</v>
      </c>
      <c r="AE325" s="61">
        <f t="shared" si="207"/>
        <v>-179.42643361144695</v>
      </c>
      <c r="AF325" s="31" t="str">
        <f t="shared" si="193"/>
        <v>-1.33333333333333E-06</v>
      </c>
      <c r="AG325" s="31" t="str">
        <f t="shared" si="194"/>
        <v>0.0738948115369192i</v>
      </c>
      <c r="AH325" s="31">
        <f t="shared" si="208"/>
        <v>7.3894811536919194E-2</v>
      </c>
      <c r="AI325" s="31">
        <f t="shared" si="209"/>
        <v>1.5707963267948966</v>
      </c>
      <c r="AJ325" s="31" t="str">
        <f t="shared" si="195"/>
        <v>1+0.238941068301946i</v>
      </c>
      <c r="AK325" s="31">
        <f t="shared" si="210"/>
        <v>1.0281502001756724</v>
      </c>
      <c r="AL325" s="31">
        <f t="shared" si="211"/>
        <v>0.23454348122321522</v>
      </c>
      <c r="AM325" s="31" t="str">
        <f t="shared" si="196"/>
        <v>1+239.180009370248i</v>
      </c>
      <c r="AN325" s="31">
        <f t="shared" si="212"/>
        <v>239.18209983682289</v>
      </c>
      <c r="AO325" s="31">
        <f t="shared" si="213"/>
        <v>1.5666153997353605</v>
      </c>
      <c r="AP325" s="58" t="str">
        <f t="shared" si="214"/>
        <v>-0.0040785187483798+0.000992569293298705i</v>
      </c>
      <c r="AQ325" s="49">
        <f t="shared" si="215"/>
        <v>-47.540061985911038</v>
      </c>
      <c r="AR325" s="61">
        <f t="shared" si="216"/>
        <v>166.32209893864044</v>
      </c>
      <c r="AS325" s="58" t="str">
        <f t="shared" si="217"/>
        <v>0.00830467267116863-0.00193322018718923i</v>
      </c>
      <c r="AT325" s="64">
        <f t="shared" si="218"/>
        <v>-41.384361485129972</v>
      </c>
      <c r="AU325" s="61">
        <f t="shared" si="219"/>
        <v>-13.104334672806544</v>
      </c>
    </row>
    <row r="326" spans="14:47" x14ac:dyDescent="0.3">
      <c r="N326" s="10">
        <v>8</v>
      </c>
      <c r="O326" s="50">
        <f t="shared" si="221"/>
        <v>12022.644346174151</v>
      </c>
      <c r="P326" s="48" t="str">
        <f t="shared" si="188"/>
        <v>51201.9230769231</v>
      </c>
      <c r="Q326" s="17" t="str">
        <f t="shared" si="189"/>
        <v>1+3530.06578099356i</v>
      </c>
      <c r="R326" s="17">
        <f t="shared" si="197"/>
        <v>3530.0659226339772</v>
      </c>
      <c r="S326" s="17">
        <f t="shared" si="198"/>
        <v>1.5705130459623877</v>
      </c>
      <c r="T326" s="17" t="str">
        <f t="shared" si="190"/>
        <v>1+2.26621506927982E-07i</v>
      </c>
      <c r="U326" s="17">
        <f t="shared" si="199"/>
        <v>1.0000000000000258</v>
      </c>
      <c r="V326" s="17">
        <f t="shared" si="200"/>
        <v>2.266215069279781E-7</v>
      </c>
      <c r="W326" s="31" t="str">
        <f t="shared" si="191"/>
        <v>1-0.12237561374111i</v>
      </c>
      <c r="X326" s="17">
        <f t="shared" si="201"/>
        <v>1.0074600691037403</v>
      </c>
      <c r="Y326" s="17">
        <f t="shared" si="202"/>
        <v>-0.12177015430904548</v>
      </c>
      <c r="Z326" s="31" t="str">
        <f t="shared" si="192"/>
        <v>0.942182409170163+7.46780116297191i</v>
      </c>
      <c r="AA326" s="17">
        <f t="shared" si="203"/>
        <v>7.5270021855871887</v>
      </c>
      <c r="AB326" s="17">
        <f t="shared" si="204"/>
        <v>1.4452934613005168</v>
      </c>
      <c r="AC326" s="66" t="str">
        <f t="shared" si="205"/>
        <v>-1.94135855614425-0.00779696234059264i</v>
      </c>
      <c r="AD326" s="64">
        <f t="shared" si="206"/>
        <v>5.7621851345035964</v>
      </c>
      <c r="AE326" s="61">
        <f t="shared" si="207"/>
        <v>-179.76988762236346</v>
      </c>
      <c r="AF326" s="31" t="str">
        <f t="shared" si="193"/>
        <v>-1.33333333333333E-06</v>
      </c>
      <c r="AG326" s="31" t="str">
        <f t="shared" si="194"/>
        <v>0.0756160428116365i</v>
      </c>
      <c r="AH326" s="31">
        <f t="shared" si="208"/>
        <v>7.5616042811636502E-2</v>
      </c>
      <c r="AI326" s="31">
        <f t="shared" si="209"/>
        <v>1.5707963267948966</v>
      </c>
      <c r="AJ326" s="31" t="str">
        <f t="shared" si="195"/>
        <v>1+0.244506720761458i</v>
      </c>
      <c r="AK326" s="31">
        <f t="shared" si="210"/>
        <v>1.0294578847614513</v>
      </c>
      <c r="AL326" s="31">
        <f t="shared" si="211"/>
        <v>0.23980187295726921</v>
      </c>
      <c r="AM326" s="31" t="str">
        <f t="shared" si="196"/>
        <v>1+244.75122748222i</v>
      </c>
      <c r="AN326" s="31">
        <f t="shared" si="212"/>
        <v>244.75327036436798</v>
      </c>
      <c r="AO326" s="31">
        <f t="shared" si="213"/>
        <v>1.5667105681827485</v>
      </c>
      <c r="AP326" s="58" t="str">
        <f t="shared" si="214"/>
        <v>-0.00406816372802904+0.00101232631513938i</v>
      </c>
      <c r="AQ326" s="49">
        <f t="shared" si="215"/>
        <v>-47.551105800091037</v>
      </c>
      <c r="AR326" s="61">
        <f t="shared" si="216"/>
        <v>166.02626803563078</v>
      </c>
      <c r="AS326" s="58" t="str">
        <f t="shared" si="217"/>
        <v>0.0079056575313604-0.00193356903412301i</v>
      </c>
      <c r="AT326" s="64">
        <f t="shared" si="218"/>
        <v>-41.788920665587447</v>
      </c>
      <c r="AU326" s="61">
        <f t="shared" si="219"/>
        <v>-13.74361958673272</v>
      </c>
    </row>
    <row r="327" spans="14:47" x14ac:dyDescent="0.3">
      <c r="N327" s="10">
        <v>9</v>
      </c>
      <c r="O327" s="50">
        <f t="shared" si="221"/>
        <v>12302.687708123816</v>
      </c>
      <c r="P327" s="48" t="str">
        <f t="shared" si="188"/>
        <v>51201.9230769231</v>
      </c>
      <c r="Q327" s="17" t="str">
        <f t="shared" si="189"/>
        <v>1+3612.29157598079i</v>
      </c>
      <c r="R327" s="17">
        <f t="shared" si="197"/>
        <v>3612.2917143970781</v>
      </c>
      <c r="S327" s="17">
        <f t="shared" si="198"/>
        <v>1.5705194942210523</v>
      </c>
      <c r="T327" s="17" t="str">
        <f t="shared" si="190"/>
        <v>1+2.31900199939508E-07i</v>
      </c>
      <c r="U327" s="17">
        <f t="shared" si="199"/>
        <v>1.0000000000000269</v>
      </c>
      <c r="V327" s="17">
        <f t="shared" si="200"/>
        <v>2.3190019993950384E-7</v>
      </c>
      <c r="W327" s="31" t="str">
        <f t="shared" si="191"/>
        <v>1-0.125226107967334i</v>
      </c>
      <c r="X327" s="17">
        <f t="shared" si="201"/>
        <v>1.0078102887531197</v>
      </c>
      <c r="Y327" s="17">
        <f t="shared" si="202"/>
        <v>-0.1245776177309969</v>
      </c>
      <c r="Z327" s="31" t="str">
        <f t="shared" si="192"/>
        <v>0.939457550062551+7.64174859781522i</v>
      </c>
      <c r="AA327" s="17">
        <f t="shared" si="203"/>
        <v>7.699279324753741</v>
      </c>
      <c r="AB327" s="17">
        <f t="shared" si="204"/>
        <v>1.4484726037716011</v>
      </c>
      <c r="AC327" s="66" t="str">
        <f t="shared" si="205"/>
        <v>-1.8553733797461+0.00366776296950537i</v>
      </c>
      <c r="AD327" s="64">
        <f t="shared" si="206"/>
        <v>5.3686433956121249</v>
      </c>
      <c r="AE327" s="61">
        <f t="shared" si="207"/>
        <v>179.88673597079756</v>
      </c>
      <c r="AF327" s="31" t="str">
        <f t="shared" si="193"/>
        <v>-1.33333333333333E-06</v>
      </c>
      <c r="AG327" s="31" t="str">
        <f t="shared" si="194"/>
        <v>0.077377366713149i</v>
      </c>
      <c r="AH327" s="31">
        <f t="shared" si="208"/>
        <v>7.7377366713149001E-2</v>
      </c>
      <c r="AI327" s="31">
        <f t="shared" si="209"/>
        <v>1.5707963267948966</v>
      </c>
      <c r="AJ327" s="31" t="str">
        <f t="shared" si="195"/>
        <v>1+0.250202013920747i</v>
      </c>
      <c r="AK327" s="31">
        <f t="shared" si="210"/>
        <v>1.0308254206071936</v>
      </c>
      <c r="AL327" s="31">
        <f t="shared" si="211"/>
        <v>0.24516878483651589</v>
      </c>
      <c r="AM327" s="31" t="str">
        <f t="shared" si="196"/>
        <v>1+250.452215934668i</v>
      </c>
      <c r="AN327" s="31">
        <f t="shared" si="212"/>
        <v>250.45421231551597</v>
      </c>
      <c r="AO327" s="31">
        <f t="shared" si="213"/>
        <v>1.5668035704033114</v>
      </c>
      <c r="AP327" s="58" t="str">
        <f t="shared" si="214"/>
        <v>-0.00405737689774495+0.00103239543875606i</v>
      </c>
      <c r="AQ327" s="49">
        <f t="shared" si="215"/>
        <v>-47.56263977549623</v>
      </c>
      <c r="AR327" s="61">
        <f t="shared" si="216"/>
        <v>165.72409527065489</v>
      </c>
      <c r="AS327" s="58" t="str">
        <f t="shared" si="217"/>
        <v>0.00752416250591264-0.00193036051117816i</v>
      </c>
      <c r="AT327" s="64">
        <f t="shared" si="218"/>
        <v>-42.193996379884105</v>
      </c>
      <c r="AU327" s="61">
        <f t="shared" si="219"/>
        <v>-14.389168758547525</v>
      </c>
    </row>
    <row r="328" spans="14:47" x14ac:dyDescent="0.3">
      <c r="N328" s="10">
        <v>10</v>
      </c>
      <c r="O328" s="50">
        <f t="shared" si="221"/>
        <v>12589.254117941671</v>
      </c>
      <c r="P328" s="48" t="str">
        <f t="shared" si="188"/>
        <v>51201.9230769231</v>
      </c>
      <c r="Q328" s="17" t="str">
        <f t="shared" si="189"/>
        <v>1+3696.43265577594i</v>
      </c>
      <c r="R328" s="17">
        <f t="shared" si="197"/>
        <v>3696.4327910414881</v>
      </c>
      <c r="S328" s="17">
        <f t="shared" si="198"/>
        <v>1.5705257956994521</v>
      </c>
      <c r="T328" s="17" t="str">
        <f t="shared" si="190"/>
        <v>1+2.37301849506604E-07i</v>
      </c>
      <c r="U328" s="17">
        <f t="shared" si="199"/>
        <v>1.0000000000000282</v>
      </c>
      <c r="V328" s="17">
        <f t="shared" si="200"/>
        <v>2.3730184950659955E-7</v>
      </c>
      <c r="W328" s="31" t="str">
        <f t="shared" si="191"/>
        <v>1-0.128142998733566i</v>
      </c>
      <c r="X328" s="17">
        <f t="shared" si="201"/>
        <v>1.008176883351543</v>
      </c>
      <c r="Y328" s="17">
        <f t="shared" si="202"/>
        <v>-0.12744843294571939</v>
      </c>
      <c r="Z328" s="31" t="str">
        <f t="shared" si="192"/>
        <v>0.936604272301555+7.81974778891558i</v>
      </c>
      <c r="AA328" s="17">
        <f t="shared" si="203"/>
        <v>7.8756385801497801</v>
      </c>
      <c r="AB328" s="17">
        <f t="shared" si="204"/>
        <v>1.4515899715168674</v>
      </c>
      <c r="AC328" s="66" t="str">
        <f t="shared" si="205"/>
        <v>-1.77313016400118+0.0141344682915752i</v>
      </c>
      <c r="AD328" s="64">
        <f t="shared" si="206"/>
        <v>4.9750883206410093</v>
      </c>
      <c r="AE328" s="61">
        <f t="shared" si="207"/>
        <v>179.54327762161279</v>
      </c>
      <c r="AF328" s="31" t="str">
        <f t="shared" si="193"/>
        <v>-1.33333333333333E-06</v>
      </c>
      <c r="AG328" s="31" t="str">
        <f t="shared" si="194"/>
        <v>0.0791797171187034i</v>
      </c>
      <c r="AH328" s="31">
        <f t="shared" si="208"/>
        <v>7.9179717118703405E-2</v>
      </c>
      <c r="AI328" s="31">
        <f t="shared" si="209"/>
        <v>1.5707963267948966</v>
      </c>
      <c r="AJ328" s="31" t="str">
        <f t="shared" si="195"/>
        <v>1+0.256029967499632i</v>
      </c>
      <c r="AK328" s="31">
        <f t="shared" si="210"/>
        <v>1.0322554646296926</v>
      </c>
      <c r="AL328" s="31">
        <f t="shared" si="211"/>
        <v>0.25064582523922507</v>
      </c>
      <c r="AM328" s="31" t="str">
        <f t="shared" si="196"/>
        <v>1+256.285997467132i</v>
      </c>
      <c r="AN328" s="31">
        <f t="shared" si="212"/>
        <v>256.28794840515383</v>
      </c>
      <c r="AO328" s="31">
        <f t="shared" si="213"/>
        <v>1.5668944557016189</v>
      </c>
      <c r="AP328" s="58" t="str">
        <f t="shared" si="214"/>
        <v>-0.00404614284048823+0.00105277314928558i</v>
      </c>
      <c r="AQ328" s="49">
        <f t="shared" si="215"/>
        <v>-47.574684306587415</v>
      </c>
      <c r="AR328" s="61">
        <f t="shared" si="216"/>
        <v>165.41549131536985</v>
      </c>
      <c r="AS328" s="58" t="str">
        <f t="shared" si="217"/>
        <v>0.0071594575296303-0.00192389390453084i</v>
      </c>
      <c r="AT328" s="64">
        <f t="shared" si="218"/>
        <v>-42.599595985946408</v>
      </c>
      <c r="AU328" s="61">
        <f t="shared" si="219"/>
        <v>-15.041231063017332</v>
      </c>
    </row>
    <row r="329" spans="14:47" x14ac:dyDescent="0.3">
      <c r="N329" s="10">
        <v>11</v>
      </c>
      <c r="O329" s="50">
        <f t="shared" si="221"/>
        <v>12882.49551693136</v>
      </c>
      <c r="P329" s="48" t="str">
        <f t="shared" si="188"/>
        <v>51201.9230769231</v>
      </c>
      <c r="Q329" s="17" t="str">
        <f t="shared" si="189"/>
        <v>1+3782.53363309327i</v>
      </c>
      <c r="R329" s="17">
        <f t="shared" si="197"/>
        <v>3782.5337652797989</v>
      </c>
      <c r="S329" s="17">
        <f t="shared" si="198"/>
        <v>1.5705319537387119</v>
      </c>
      <c r="T329" s="17" t="str">
        <f t="shared" si="190"/>
        <v>1+2.4282931965537E-07i</v>
      </c>
      <c r="U329" s="17">
        <f t="shared" si="199"/>
        <v>1.0000000000000295</v>
      </c>
      <c r="V329" s="17">
        <f t="shared" si="200"/>
        <v>2.4282931965536525E-7</v>
      </c>
      <c r="W329" s="31" t="str">
        <f t="shared" si="191"/>
        <v>1-0.1311278326139i</v>
      </c>
      <c r="X329" s="17">
        <f t="shared" si="201"/>
        <v>1.0085606122023698</v>
      </c>
      <c r="Y329" s="17">
        <f t="shared" si="202"/>
        <v>-0.13038393271607837</v>
      </c>
      <c r="Z329" s="31" t="str">
        <f t="shared" si="192"/>
        <v>0.933616523702497+8.00189311380025i</v>
      </c>
      <c r="AA329" s="17">
        <f t="shared" si="203"/>
        <v>8.056173608979277</v>
      </c>
      <c r="AB329" s="17">
        <f t="shared" si="204"/>
        <v>1.4546470154723261</v>
      </c>
      <c r="AC329" s="66" t="str">
        <f t="shared" si="205"/>
        <v>-1.69447148995946+0.0236733161043657i</v>
      </c>
      <c r="AD329" s="64">
        <f t="shared" si="206"/>
        <v>4.581532923003544</v>
      </c>
      <c r="AE329" s="61">
        <f t="shared" si="207"/>
        <v>179.19957764461688</v>
      </c>
      <c r="AF329" s="31" t="str">
        <f t="shared" si="193"/>
        <v>-1.33333333333333E-06</v>
      </c>
      <c r="AG329" s="31" t="str">
        <f t="shared" si="194"/>
        <v>0.0810240496583418i</v>
      </c>
      <c r="AH329" s="31">
        <f t="shared" si="208"/>
        <v>8.1024049658341799E-2</v>
      </c>
      <c r="AI329" s="31">
        <f t="shared" si="209"/>
        <v>1.5707963267948966</v>
      </c>
      <c r="AJ329" s="31" t="str">
        <f t="shared" si="195"/>
        <v>1+0.261993671556243i</v>
      </c>
      <c r="AK329" s="31">
        <f t="shared" si="210"/>
        <v>1.0337507842490474</v>
      </c>
      <c r="AL329" s="31">
        <f t="shared" si="211"/>
        <v>0.25623458320607012</v>
      </c>
      <c r="AM329" s="31" t="str">
        <f t="shared" si="196"/>
        <v>1+262.2556652278i</v>
      </c>
      <c r="AN329" s="31">
        <f t="shared" si="212"/>
        <v>262.25757175737726</v>
      </c>
      <c r="AO329" s="31">
        <f t="shared" si="213"/>
        <v>1.5669832722602499</v>
      </c>
      <c r="AP329" s="58" t="str">
        <f t="shared" si="214"/>
        <v>-0.00403444582220464+0.00107345529305771i</v>
      </c>
      <c r="AQ329" s="49">
        <f t="shared" si="215"/>
        <v>-47.58726051010332</v>
      </c>
      <c r="AR329" s="61">
        <f t="shared" si="216"/>
        <v>165.10036788510993</v>
      </c>
      <c r="AS329" s="58" t="str">
        <f t="shared" si="217"/>
        <v>0.00681084117703535-0.00191444810108735i</v>
      </c>
      <c r="AT329" s="64">
        <f t="shared" si="218"/>
        <v>-43.005727587099784</v>
      </c>
      <c r="AU329" s="61">
        <f t="shared" si="219"/>
        <v>-15.700054470273143</v>
      </c>
    </row>
    <row r="330" spans="14:47" x14ac:dyDescent="0.3">
      <c r="N330" s="10">
        <v>12</v>
      </c>
      <c r="O330" s="50">
        <f t="shared" si="221"/>
        <v>13182.567385564091</v>
      </c>
      <c r="P330" s="48" t="str">
        <f t="shared" si="188"/>
        <v>51201.9230769231</v>
      </c>
      <c r="Q330" s="17" t="str">
        <f t="shared" si="189"/>
        <v>1+3870.6401598106i</v>
      </c>
      <c r="R330" s="17">
        <f t="shared" si="197"/>
        <v>3870.6402889881956</v>
      </c>
      <c r="S330" s="17">
        <f t="shared" si="198"/>
        <v>1.5705379716039043</v>
      </c>
      <c r="T330" s="17" t="str">
        <f t="shared" si="190"/>
        <v>1+2.48485541123644E-07i</v>
      </c>
      <c r="U330" s="17">
        <f t="shared" si="199"/>
        <v>1.0000000000000309</v>
      </c>
      <c r="V330" s="17">
        <f t="shared" si="200"/>
        <v>2.4848554112363885E-7</v>
      </c>
      <c r="W330" s="31" t="str">
        <f t="shared" si="191"/>
        <v>1-0.134182192206767i</v>
      </c>
      <c r="X330" s="17">
        <f t="shared" si="201"/>
        <v>1.0089622692179394</v>
      </c>
      <c r="Y330" s="17">
        <f t="shared" si="202"/>
        <v>-0.1333854710100304</v>
      </c>
      <c r="Z330" s="31" t="str">
        <f t="shared" si="192"/>
        <v>0.930487966850025+8.18828114833142i</v>
      </c>
      <c r="AA330" s="17">
        <f t="shared" si="203"/>
        <v>8.2409802827438199</v>
      </c>
      <c r="AB330" s="17">
        <f t="shared" si="204"/>
        <v>1.4576451676401265</v>
      </c>
      <c r="AC330" s="66" t="str">
        <f t="shared" si="205"/>
        <v>-1.61924608977467+0.0323498903205873i</v>
      </c>
      <c r="AD330" s="64">
        <f t="shared" si="206"/>
        <v>4.1879902153141133</v>
      </c>
      <c r="AE330" s="61">
        <f t="shared" si="207"/>
        <v>178.85547622857399</v>
      </c>
      <c r="AF330" s="31" t="str">
        <f t="shared" si="193"/>
        <v>-1.33333333333333E-06</v>
      </c>
      <c r="AG330" s="31" t="str">
        <f t="shared" si="194"/>
        <v>0.082911342221589i</v>
      </c>
      <c r="AH330" s="31">
        <f t="shared" si="208"/>
        <v>8.2911342221588996E-2</v>
      </c>
      <c r="AI330" s="31">
        <f t="shared" si="209"/>
        <v>1.5707963267948966</v>
      </c>
      <c r="AJ330" s="31" t="str">
        <f t="shared" si="195"/>
        <v>1+0.268096288125409i</v>
      </c>
      <c r="AK330" s="31">
        <f t="shared" si="210"/>
        <v>1.0353142613267829</v>
      </c>
      <c r="AL330" s="31">
        <f t="shared" si="211"/>
        <v>0.26193662490270381</v>
      </c>
      <c r="AM330" s="31" t="str">
        <f t="shared" si="196"/>
        <v>1+268.364384413535i</v>
      </c>
      <c r="AN330" s="31">
        <f t="shared" si="212"/>
        <v>268.36624754550559</v>
      </c>
      <c r="AO330" s="31">
        <f t="shared" si="213"/>
        <v>1.5670700671653108</v>
      </c>
      <c r="AP330" s="58" t="str">
        <f t="shared" si="214"/>
        <v>-0.00402226980768684+0.00109443703994968i</v>
      </c>
      <c r="AQ330" s="49">
        <f t="shared" si="215"/>
        <v>-47.600390239422701</v>
      </c>
      <c r="AR330" s="61">
        <f t="shared" si="216"/>
        <v>164.77863794302851</v>
      </c>
      <c r="AS330" s="58" t="str">
        <f t="shared" si="217"/>
        <v>0.00647763973991047-0.00190228288456156i</v>
      </c>
      <c r="AT330" s="64">
        <f t="shared" si="218"/>
        <v>-43.412400024108592</v>
      </c>
      <c r="AU330" s="61">
        <f t="shared" si="219"/>
        <v>-16.365885828397456</v>
      </c>
    </row>
    <row r="331" spans="14:47" x14ac:dyDescent="0.3">
      <c r="N331" s="10">
        <v>13</v>
      </c>
      <c r="O331" s="50">
        <f t="shared" si="221"/>
        <v>13489.628825916556</v>
      </c>
      <c r="P331" s="48" t="str">
        <f t="shared" si="188"/>
        <v>51201.9230769231</v>
      </c>
      <c r="Q331" s="17" t="str">
        <f t="shared" si="189"/>
        <v>1+3960.79895117464i</v>
      </c>
      <c r="R331" s="17">
        <f t="shared" si="197"/>
        <v>3960.7990774117957</v>
      </c>
      <c r="S331" s="17">
        <f t="shared" si="198"/>
        <v>1.5705438524857789</v>
      </c>
      <c r="T331" s="17" t="str">
        <f t="shared" si="190"/>
        <v>1+2.54273512914916E-07i</v>
      </c>
      <c r="U331" s="17">
        <f t="shared" si="199"/>
        <v>1.0000000000000324</v>
      </c>
      <c r="V331" s="17">
        <f t="shared" si="200"/>
        <v>2.5427351291491051E-7</v>
      </c>
      <c r="W331" s="31" t="str">
        <f t="shared" si="191"/>
        <v>1-0.137307696974054i</v>
      </c>
      <c r="X331" s="17">
        <f t="shared" si="201"/>
        <v>1.0093826844405043</v>
      </c>
      <c r="Y331" s="17">
        <f t="shared" si="202"/>
        <v>-0.13645442283593878</v>
      </c>
      <c r="Z331" s="31" t="str">
        <f t="shared" si="192"/>
        <v>0.9272119656556+8.37901071791215i</v>
      </c>
      <c r="AA331" s="17">
        <f t="shared" si="203"/>
        <v>8.4301567387648024</v>
      </c>
      <c r="AB331" s="17">
        <f t="shared" si="204"/>
        <v>1.4605858410209049</v>
      </c>
      <c r="AC331" s="66" t="str">
        <f t="shared" si="205"/>
        <v>-1.54730864779937+0.040225480067498i</v>
      </c>
      <c r="AD331" s="64">
        <f t="shared" si="206"/>
        <v>3.7944732317071739</v>
      </c>
      <c r="AE331" s="61">
        <f t="shared" si="207"/>
        <v>178.51081344969052</v>
      </c>
      <c r="AF331" s="31" t="str">
        <f t="shared" si="193"/>
        <v>-1.33333333333333E-06</v>
      </c>
      <c r="AG331" s="31" t="str">
        <f t="shared" si="194"/>
        <v>0.0848425954759434i</v>
      </c>
      <c r="AH331" s="31">
        <f t="shared" si="208"/>
        <v>8.4842595475943403E-2</v>
      </c>
      <c r="AI331" s="31">
        <f t="shared" si="209"/>
        <v>1.5707963267948966</v>
      </c>
      <c r="AJ331" s="31" t="str">
        <f t="shared" si="195"/>
        <v>1+0.274341052895213i</v>
      </c>
      <c r="AK331" s="31">
        <f t="shared" si="210"/>
        <v>1.0369488961871043</v>
      </c>
      <c r="AL331" s="31">
        <f t="shared" si="211"/>
        <v>0.26775348987973135</v>
      </c>
      <c r="AM331" s="31" t="str">
        <f t="shared" si="196"/>
        <v>1+274.615393948109i</v>
      </c>
      <c r="AN331" s="31">
        <f t="shared" si="212"/>
        <v>274.61721467030264</v>
      </c>
      <c r="AO331" s="31">
        <f t="shared" si="213"/>
        <v>1.567154886431376</v>
      </c>
      <c r="AP331" s="58" t="str">
        <f t="shared" si="214"/>
        <v>-0.00400959847906908+0.00111571284496069i</v>
      </c>
      <c r="AQ331" s="49">
        <f t="shared" si="215"/>
        <v>-47.614096098129295</v>
      </c>
      <c r="AR331" s="61">
        <f t="shared" si="216"/>
        <v>164.45021591581425</v>
      </c>
      <c r="AS331" s="58" t="str">
        <f t="shared" si="217"/>
        <v>0.00615920631606077-0.00188764015716698i</v>
      </c>
      <c r="AT331" s="64">
        <f t="shared" si="218"/>
        <v>-43.819622866422122</v>
      </c>
      <c r="AU331" s="61">
        <f t="shared" si="219"/>
        <v>-17.038970634495257</v>
      </c>
    </row>
    <row r="332" spans="14:47" x14ac:dyDescent="0.3">
      <c r="N332" s="10">
        <v>14</v>
      </c>
      <c r="O332" s="50">
        <f t="shared" si="221"/>
        <v>13803.842646028841</v>
      </c>
      <c r="P332" s="48" t="str">
        <f t="shared" si="188"/>
        <v>51201.9230769231</v>
      </c>
      <c r="Q332" s="17" t="str">
        <f t="shared" si="189"/>
        <v>1+4053.05781056997i</v>
      </c>
      <c r="R332" s="17">
        <f t="shared" si="197"/>
        <v>4053.0579339336173</v>
      </c>
      <c r="S332" s="17">
        <f t="shared" si="198"/>
        <v>1.5705495995024557</v>
      </c>
      <c r="T332" s="17" t="str">
        <f t="shared" si="190"/>
        <v>1+2.60196303888442E-07i</v>
      </c>
      <c r="U332" s="17">
        <f t="shared" si="199"/>
        <v>1.0000000000000338</v>
      </c>
      <c r="V332" s="17">
        <f t="shared" si="200"/>
        <v>2.6019630388843613E-7</v>
      </c>
      <c r="W332" s="31" t="str">
        <f t="shared" si="191"/>
        <v>1-0.140506004099759i</v>
      </c>
      <c r="X332" s="17">
        <f t="shared" si="201"/>
        <v>1.0098227256246919</v>
      </c>
      <c r="Y332" s="17">
        <f t="shared" si="202"/>
        <v>-0.139592184032205</v>
      </c>
      <c r="Z332" s="31" t="str">
        <f t="shared" si="192"/>
        <v>0.92378157128147+8.57418294988482i</v>
      </c>
      <c r="AA332" s="17">
        <f t="shared" si="203"/>
        <v>8.6238034329137392</v>
      </c>
      <c r="AB332" s="17">
        <f t="shared" si="204"/>
        <v>1.4634704295865133</v>
      </c>
      <c r="AC332" s="66" t="str">
        <f t="shared" si="205"/>
        <v>-1.47851960430205+0.0473573470341329i</v>
      </c>
      <c r="AD332" s="64">
        <f t="shared" si="206"/>
        <v>3.4009950501624293</v>
      </c>
      <c r="AE332" s="61">
        <f t="shared" si="207"/>
        <v>178.16542928513402</v>
      </c>
      <c r="AF332" s="31" t="str">
        <f t="shared" si="193"/>
        <v>-1.33333333333333E-06</v>
      </c>
      <c r="AG332" s="31" t="str">
        <f t="shared" si="194"/>
        <v>0.0868188333974436i</v>
      </c>
      <c r="AH332" s="31">
        <f t="shared" si="208"/>
        <v>8.6818833397443604E-2</v>
      </c>
      <c r="AI332" s="31">
        <f t="shared" si="209"/>
        <v>1.5707963267948966</v>
      </c>
      <c r="AJ332" s="31" t="str">
        <f t="shared" si="195"/>
        <v>1+0.280731276922595i</v>
      </c>
      <c r="AK332" s="31">
        <f t="shared" si="210"/>
        <v>1.0386578117178875</v>
      </c>
      <c r="AL332" s="31">
        <f t="shared" si="211"/>
        <v>0.27368668712621841</v>
      </c>
      <c r="AM332" s="31" t="str">
        <f t="shared" si="196"/>
        <v>1+281.012008199518i</v>
      </c>
      <c r="AN332" s="31">
        <f t="shared" si="212"/>
        <v>281.01378747728012</v>
      </c>
      <c r="AO332" s="31">
        <f t="shared" si="213"/>
        <v>1.5672377750258579</v>
      </c>
      <c r="AP332" s="58" t="str">
        <f t="shared" si="214"/>
        <v>-0.00399641525713506+0.00113727640913085i</v>
      </c>
      <c r="AQ332" s="49">
        <f t="shared" si="215"/>
        <v>-47.628401452653918</v>
      </c>
      <c r="AR332" s="61">
        <f t="shared" si="216"/>
        <v>164.11501792120544</v>
      </c>
      <c r="AS332" s="58" t="str">
        <f t="shared" si="217"/>
        <v>0.00585491991102506-0.00187074509063485i</v>
      </c>
      <c r="AT332" s="64">
        <f t="shared" si="218"/>
        <v>-44.227406402491489</v>
      </c>
      <c r="AU332" s="61">
        <f t="shared" si="219"/>
        <v>-17.719552793660529</v>
      </c>
    </row>
    <row r="333" spans="14:47" x14ac:dyDescent="0.3">
      <c r="N333" s="10">
        <v>15</v>
      </c>
      <c r="O333" s="50">
        <f t="shared" si="221"/>
        <v>14125.375446227561</v>
      </c>
      <c r="P333" s="48" t="str">
        <f t="shared" si="188"/>
        <v>51201.9230769231</v>
      </c>
      <c r="Q333" s="17" t="str">
        <f t="shared" si="189"/>
        <v>1+4147.46565486503i</v>
      </c>
      <c r="R333" s="17">
        <f t="shared" si="197"/>
        <v>4147.4657754205782</v>
      </c>
      <c r="S333" s="17">
        <f t="shared" si="198"/>
        <v>1.5705552157010776</v>
      </c>
      <c r="T333" s="17" t="str">
        <f t="shared" si="190"/>
        <v>1+2.66257054386397E-07i</v>
      </c>
      <c r="U333" s="17">
        <f t="shared" si="199"/>
        <v>1.0000000000000355</v>
      </c>
      <c r="V333" s="17">
        <f t="shared" si="200"/>
        <v>2.6625705438639071E-7</v>
      </c>
      <c r="W333" s="31" t="str">
        <f t="shared" si="191"/>
        <v>1-0.143778809368654i</v>
      </c>
      <c r="X333" s="17">
        <f t="shared" si="201"/>
        <v>1.010283299883487</v>
      </c>
      <c r="Y333" s="17">
        <f t="shared" si="202"/>
        <v>-0.14280017100777972</v>
      </c>
      <c r="Z333" s="31" t="str">
        <f t="shared" si="192"/>
        <v>0.920189507401244+8.77390132715027i</v>
      </c>
      <c r="AA333" s="17">
        <f t="shared" si="203"/>
        <v>8.8220231935821065</v>
      </c>
      <c r="AB333" s="17">
        <f t="shared" si="204"/>
        <v>1.4663003082902419</v>
      </c>
      <c r="AC333" s="66" t="str">
        <f t="shared" si="205"/>
        <v>-1.41274496217996+0.0537989772210658i</v>
      </c>
      <c r="AD333" s="64">
        <f t="shared" si="206"/>
        <v>3.0075688148422408</v>
      </c>
      <c r="AE333" s="61">
        <f t="shared" si="207"/>
        <v>177.81916362722055</v>
      </c>
      <c r="AF333" s="31" t="str">
        <f t="shared" si="193"/>
        <v>-1.33333333333333E-06</v>
      </c>
      <c r="AG333" s="31" t="str">
        <f t="shared" si="194"/>
        <v>0.0888411038135944i</v>
      </c>
      <c r="AH333" s="31">
        <f t="shared" si="208"/>
        <v>8.8841103813594405E-2</v>
      </c>
      <c r="AI333" s="31">
        <f t="shared" si="209"/>
        <v>1.5707963267948966</v>
      </c>
      <c r="AJ333" s="31" t="str">
        <f t="shared" si="195"/>
        <v>1+0.287270348388919i</v>
      </c>
      <c r="AK333" s="31">
        <f t="shared" si="210"/>
        <v>1.0404442575474626</v>
      </c>
      <c r="AL333" s="31">
        <f t="shared" si="211"/>
        <v>0.27973769091360418</v>
      </c>
      <c r="AM333" s="31" t="str">
        <f t="shared" si="196"/>
        <v>1+287.557618737309i</v>
      </c>
      <c r="AN333" s="31">
        <f t="shared" si="212"/>
        <v>287.55935751401233</v>
      </c>
      <c r="AO333" s="31">
        <f t="shared" si="213"/>
        <v>1.5673187768928281</v>
      </c>
      <c r="AP333" s="58" t="str">
        <f t="shared" si="214"/>
        <v>-0.0039827033256212+0.00115912063994961i</v>
      </c>
      <c r="AQ333" s="49">
        <f t="shared" si="215"/>
        <v>-47.64333044385863</v>
      </c>
      <c r="AR333" s="61">
        <f t="shared" si="216"/>
        <v>163.77296200748077</v>
      </c>
      <c r="AS333" s="58" t="str">
        <f t="shared" si="217"/>
        <v>0.00556418455422361-0.00185180721014098i</v>
      </c>
      <c r="AT333" s="64">
        <f t="shared" si="218"/>
        <v>-44.635761629016379</v>
      </c>
      <c r="AU333" s="61">
        <f t="shared" si="219"/>
        <v>-18.407874365298664</v>
      </c>
    </row>
    <row r="334" spans="14:47" x14ac:dyDescent="0.3">
      <c r="N334" s="10">
        <v>16</v>
      </c>
      <c r="O334" s="50">
        <f t="shared" si="221"/>
        <v>14454.397707459291</v>
      </c>
      <c r="P334" s="48" t="str">
        <f t="shared" si="188"/>
        <v>51201.9230769231</v>
      </c>
      <c r="Q334" s="17" t="str">
        <f t="shared" si="189"/>
        <v>1+4244.07254034849i</v>
      </c>
      <c r="R334" s="17">
        <f t="shared" si="197"/>
        <v>4244.0726581598583</v>
      </c>
      <c r="S334" s="17">
        <f t="shared" si="198"/>
        <v>1.5705607040594256</v>
      </c>
      <c r="T334" s="17" t="str">
        <f t="shared" si="190"/>
        <v>1+2.72458977898916E-07i</v>
      </c>
      <c r="U334" s="17">
        <f t="shared" si="199"/>
        <v>1.0000000000000371</v>
      </c>
      <c r="V334" s="17">
        <f t="shared" si="200"/>
        <v>2.7245897789890926E-7</v>
      </c>
      <c r="W334" s="31" t="str">
        <f t="shared" si="191"/>
        <v>1-0.147127848065414i</v>
      </c>
      <c r="X334" s="17">
        <f t="shared" si="201"/>
        <v>1.0107653553997384</v>
      </c>
      <c r="Y334" s="17">
        <f t="shared" si="202"/>
        <v>-0.14607982042990766</v>
      </c>
      <c r="Z334" s="31" t="str">
        <f t="shared" si="192"/>
        <v>0.916428154765838+8.97827174303568i</v>
      </c>
      <c r="AA334" s="17">
        <f t="shared" si="203"/>
        <v>9.0249212769220577</v>
      </c>
      <c r="AB334" s="17">
        <f t="shared" si="204"/>
        <v>1.4690768331117916</v>
      </c>
      <c r="AC334" s="66" t="str">
        <f t="shared" si="205"/>
        <v>-1.34985609698964+0.0596003178987568i</v>
      </c>
      <c r="AD334" s="64">
        <f t="shared" si="206"/>
        <v>2.6142077584496075</v>
      </c>
      <c r="AE334" s="61">
        <f t="shared" si="207"/>
        <v>177.47185629863623</v>
      </c>
      <c r="AF334" s="31" t="str">
        <f t="shared" si="193"/>
        <v>-1.33333333333333E-06</v>
      </c>
      <c r="AG334" s="31" t="str">
        <f t="shared" si="194"/>
        <v>0.0909104789589382i</v>
      </c>
      <c r="AH334" s="31">
        <f t="shared" si="208"/>
        <v>9.0910478958938196E-2</v>
      </c>
      <c r="AI334" s="31">
        <f t="shared" si="209"/>
        <v>1.5707963267948966</v>
      </c>
      <c r="AJ334" s="31" t="str">
        <f t="shared" si="195"/>
        <v>1+0.293961734396432i</v>
      </c>
      <c r="AK334" s="31">
        <f t="shared" si="210"/>
        <v>1.0423116142926541</v>
      </c>
      <c r="AL334" s="31">
        <f t="shared" si="211"/>
        <v>0.28590793642771106</v>
      </c>
      <c r="AM334" s="31" t="str">
        <f t="shared" si="196"/>
        <v>1+294.255696130829i</v>
      </c>
      <c r="AN334" s="31">
        <f t="shared" si="212"/>
        <v>294.2573953283736</v>
      </c>
      <c r="AO334" s="31">
        <f t="shared" si="213"/>
        <v>1.5673979349762945</v>
      </c>
      <c r="AP334" s="58" t="str">
        <f t="shared" si="214"/>
        <v>-0.003968445658697+0.00118123761141994i</v>
      </c>
      <c r="AQ334" s="49">
        <f t="shared" si="215"/>
        <v>-47.658907997420059</v>
      </c>
      <c r="AR334" s="61">
        <f t="shared" si="216"/>
        <v>163.42396840505981</v>
      </c>
      <c r="AS334" s="58" t="str">
        <f t="shared" si="217"/>
        <v>0.00528642843080962-0.00183102141459097i</v>
      </c>
      <c r="AT334" s="64">
        <f t="shared" si="218"/>
        <v>-45.044700238970449</v>
      </c>
      <c r="AU334" s="61">
        <f t="shared" si="219"/>
        <v>-19.104175296303964</v>
      </c>
    </row>
    <row r="335" spans="14:47" x14ac:dyDescent="0.3">
      <c r="N335" s="10">
        <v>17</v>
      </c>
      <c r="O335" s="50">
        <f t="shared" si="221"/>
        <v>14791.083881682089</v>
      </c>
      <c r="P335" s="48" t="str">
        <f t="shared" si="188"/>
        <v>51201.9230769231</v>
      </c>
      <c r="Q335" s="17" t="str">
        <f t="shared" si="189"/>
        <v>1+4342.92968926979i</v>
      </c>
      <c r="R335" s="17">
        <f t="shared" si="197"/>
        <v>4342.929804399444</v>
      </c>
      <c r="S335" s="17">
        <f t="shared" si="198"/>
        <v>1.5705660674874993</v>
      </c>
      <c r="T335" s="17" t="str">
        <f t="shared" si="190"/>
        <v>1+2.78805362767937E-07i</v>
      </c>
      <c r="U335" s="17">
        <f t="shared" si="199"/>
        <v>1.0000000000000389</v>
      </c>
      <c r="V335" s="17">
        <f t="shared" si="200"/>
        <v>2.7880536276792981E-7</v>
      </c>
      <c r="W335" s="31" t="str">
        <f t="shared" si="191"/>
        <v>1-0.150554895894686i</v>
      </c>
      <c r="X335" s="17">
        <f t="shared" si="201"/>
        <v>1.0112698832052005</v>
      </c>
      <c r="Y335" s="17">
        <f t="shared" si="202"/>
        <v>-0.14943258885527846</v>
      </c>
      <c r="Z335" s="31" t="str">
        <f t="shared" si="192"/>
        <v>0.912489535042018+9.18740255744072i</v>
      </c>
      <c r="AA335" s="17">
        <f t="shared" si="203"/>
        <v>9.2326054233910302</v>
      </c>
      <c r="AB335" s="17">
        <f t="shared" si="204"/>
        <v>1.4718013411344264</v>
      </c>
      <c r="AC335" s="66" t="str">
        <f t="shared" si="205"/>
        <v>-1.28972957056908+0.0648080005503046i</v>
      </c>
      <c r="AD335" s="64">
        <f t="shared" si="206"/>
        <v>2.2209252246124738</v>
      </c>
      <c r="AE335" s="61">
        <f t="shared" si="207"/>
        <v>177.12334706906003</v>
      </c>
      <c r="AF335" s="31" t="str">
        <f t="shared" si="193"/>
        <v>-1.33333333333333E-06</v>
      </c>
      <c r="AG335" s="31" t="str">
        <f t="shared" si="194"/>
        <v>0.0930280560435684i</v>
      </c>
      <c r="AH335" s="31">
        <f t="shared" si="208"/>
        <v>9.3028056043568397E-2</v>
      </c>
      <c r="AI335" s="31">
        <f t="shared" si="209"/>
        <v>1.5707963267948966</v>
      </c>
      <c r="AJ335" s="31" t="str">
        <f t="shared" si="195"/>
        <v>1+0.300808982806565i</v>
      </c>
      <c r="AK335" s="31">
        <f t="shared" si="210"/>
        <v>1.0442633978729314</v>
      </c>
      <c r="AL335" s="31">
        <f t="shared" si="211"/>
        <v>0.29219881518749297</v>
      </c>
      <c r="AM335" s="31" t="str">
        <f t="shared" si="196"/>
        <v>1+301.109791789372i</v>
      </c>
      <c r="AN335" s="31">
        <f t="shared" si="212"/>
        <v>301.11145230867419</v>
      </c>
      <c r="AO335" s="31">
        <f t="shared" si="213"/>
        <v>1.5674752912429506</v>
      </c>
      <c r="AP335" s="58" t="str">
        <f t="shared" si="214"/>
        <v>-0.00395362505180254+0.00120361852396739i</v>
      </c>
      <c r="AQ335" s="49">
        <f t="shared" si="215"/>
        <v>-47.675159832860103</v>
      </c>
      <c r="AR335" s="61">
        <f t="shared" si="216"/>
        <v>163.06795979029417</v>
      </c>
      <c r="AS335" s="58" t="str">
        <f t="shared" si="217"/>
        <v>0.00502110303028881-0.00180856893657837i</v>
      </c>
      <c r="AT335" s="64">
        <f t="shared" si="218"/>
        <v>-45.454234608247631</v>
      </c>
      <c r="AU335" s="61">
        <f t="shared" si="219"/>
        <v>-19.808693140645854</v>
      </c>
    </row>
    <row r="336" spans="14:47" x14ac:dyDescent="0.3">
      <c r="N336" s="10">
        <v>18</v>
      </c>
      <c r="O336" s="50">
        <f t="shared" si="221"/>
        <v>15135.612484362096</v>
      </c>
      <c r="P336" s="48" t="str">
        <f t="shared" si="188"/>
        <v>51201.9230769231</v>
      </c>
      <c r="Q336" s="17" t="str">
        <f t="shared" si="189"/>
        <v>1+4444.08951699781i</v>
      </c>
      <c r="R336" s="17">
        <f t="shared" si="197"/>
        <v>4444.0896295067942</v>
      </c>
      <c r="S336" s="17">
        <f t="shared" si="198"/>
        <v>1.5705713088290574</v>
      </c>
      <c r="T336" s="17" t="str">
        <f t="shared" si="190"/>
        <v>1+2.85299573930724E-07i</v>
      </c>
      <c r="U336" s="17">
        <f t="shared" si="199"/>
        <v>1.0000000000000409</v>
      </c>
      <c r="V336" s="17">
        <f t="shared" si="200"/>
        <v>2.8529957393071629E-7</v>
      </c>
      <c r="W336" s="31" t="str">
        <f t="shared" si="191"/>
        <v>1-0.154061769922591i</v>
      </c>
      <c r="X336" s="17">
        <f t="shared" si="201"/>
        <v>1.0117979190291317</v>
      </c>
      <c r="Y336" s="17">
        <f t="shared" si="202"/>
        <v>-0.1528599523005694</v>
      </c>
      <c r="Z336" s="31" t="str">
        <f t="shared" si="192"/>
        <v>0.908365293889289+9.40140465429137i</v>
      </c>
      <c r="AA336" s="17">
        <f t="shared" si="203"/>
        <v>9.4451859156331093</v>
      </c>
      <c r="AB336" s="17">
        <f t="shared" si="204"/>
        <v>1.4744751506518694</v>
      </c>
      <c r="AC336" s="66" t="str">
        <f t="shared" si="205"/>
        <v>-1.23224694848214+0.069465550543894i</v>
      </c>
      <c r="AD336" s="64">
        <f t="shared" si="206"/>
        <v>1.8277346903001213</v>
      </c>
      <c r="AE336" s="61">
        <f t="shared" si="207"/>
        <v>176.77347567355665</v>
      </c>
      <c r="AF336" s="31" t="str">
        <f t="shared" si="193"/>
        <v>-1.33333333333333E-06</v>
      </c>
      <c r="AG336" s="31" t="str">
        <f t="shared" si="194"/>
        <v>0.0951949578348848i</v>
      </c>
      <c r="AH336" s="31">
        <f t="shared" si="208"/>
        <v>9.5194957834884797E-2</v>
      </c>
      <c r="AI336" s="31">
        <f t="shared" si="209"/>
        <v>1.5707963267948966</v>
      </c>
      <c r="AJ336" s="31" t="str">
        <f t="shared" si="195"/>
        <v>1+0.30781572412106i</v>
      </c>
      <c r="AK336" s="31">
        <f t="shared" si="210"/>
        <v>1.0463032638848895</v>
      </c>
      <c r="AL336" s="31">
        <f t="shared" si="211"/>
        <v>0.29861167025024959</v>
      </c>
      <c r="AM336" s="31" t="str">
        <f t="shared" si="196"/>
        <v>1+308.123539845181i</v>
      </c>
      <c r="AN336" s="31">
        <f t="shared" si="212"/>
        <v>308.12516256665054</v>
      </c>
      <c r="AO336" s="31">
        <f t="shared" si="213"/>
        <v>1.5675508867044072</v>
      </c>
      <c r="AP336" s="58" t="str">
        <f t="shared" si="214"/>
        <v>-0.00393822415601855+0.00122625366440767i</v>
      </c>
      <c r="AQ336" s="49">
        <f t="shared" si="215"/>
        <v>-47.692112471064533</v>
      </c>
      <c r="AR336" s="61">
        <f t="shared" si="216"/>
        <v>162.70486156146089</v>
      </c>
      <c r="AS336" s="58" t="str">
        <f t="shared" si="217"/>
        <v>0.00476768231278796-0.00178461824519448i</v>
      </c>
      <c r="AT336" s="64">
        <f t="shared" si="218"/>
        <v>-45.864377780764414</v>
      </c>
      <c r="AU336" s="61">
        <f t="shared" si="219"/>
        <v>-20.521662764982409</v>
      </c>
    </row>
    <row r="337" spans="14:47" x14ac:dyDescent="0.3">
      <c r="N337" s="10">
        <v>19</v>
      </c>
      <c r="O337" s="50">
        <f t="shared" si="221"/>
        <v>15488.166189124853</v>
      </c>
      <c r="P337" s="48" t="str">
        <f t="shared" si="188"/>
        <v>51201.9230769231</v>
      </c>
      <c r="Q337" s="17" t="str">
        <f t="shared" si="189"/>
        <v>1+4547.60565981223i</v>
      </c>
      <c r="R337" s="17">
        <f t="shared" si="197"/>
        <v>4547.6057697601973</v>
      </c>
      <c r="S337" s="17">
        <f t="shared" si="198"/>
        <v>1.5705764308631278</v>
      </c>
      <c r="T337" s="17" t="str">
        <f t="shared" si="190"/>
        <v>1+2.91945054703995E-07i</v>
      </c>
      <c r="U337" s="17">
        <f t="shared" si="199"/>
        <v>1.0000000000000426</v>
      </c>
      <c r="V337" s="17">
        <f t="shared" si="200"/>
        <v>2.9194505470398668E-7</v>
      </c>
      <c r="W337" s="31" t="str">
        <f t="shared" si="191"/>
        <v>1-0.157650329540157i</v>
      </c>
      <c r="X337" s="17">
        <f t="shared" si="201"/>
        <v>1.0123505452184633</v>
      </c>
      <c r="Y337" s="17">
        <f t="shared" si="202"/>
        <v>-0.15636340574816368</v>
      </c>
      <c r="Z337" s="31" t="str">
        <f t="shared" si="192"/>
        <v>0.90404668323922+9.62039150033204i</v>
      </c>
      <c r="AA337" s="17">
        <f t="shared" si="203"/>
        <v>9.6627756377314675</v>
      </c>
      <c r="AB337" s="17">
        <f t="shared" si="204"/>
        <v>1.4770995613026625</v>
      </c>
      <c r="AC337" s="66" t="str">
        <f t="shared" si="205"/>
        <v>-1.17729462147637+0.0736135842497183i</v>
      </c>
      <c r="AD337" s="64">
        <f t="shared" si="206"/>
        <v>1.4346497882764544</v>
      </c>
      <c r="AE337" s="61">
        <f t="shared" si="207"/>
        <v>176.42208183311257</v>
      </c>
      <c r="AF337" s="31" t="str">
        <f t="shared" si="193"/>
        <v>-1.33333333333333E-06</v>
      </c>
      <c r="AG337" s="31" t="str">
        <f t="shared" si="194"/>
        <v>0.0974123332528996i</v>
      </c>
      <c r="AH337" s="31">
        <f t="shared" si="208"/>
        <v>9.7412333252899594E-2</v>
      </c>
      <c r="AI337" s="31">
        <f t="shared" si="209"/>
        <v>1.5707963267948966</v>
      </c>
      <c r="AJ337" s="31" t="str">
        <f t="shared" si="195"/>
        <v>1+0.314985673406907i</v>
      </c>
      <c r="AK337" s="31">
        <f t="shared" si="210"/>
        <v>1.0484350120305992</v>
      </c>
      <c r="AL337" s="31">
        <f t="shared" si="211"/>
        <v>0.3051477912042197</v>
      </c>
      <c r="AM337" s="31" t="str">
        <f t="shared" si="196"/>
        <v>1+315.300659080314i</v>
      </c>
      <c r="AN337" s="31">
        <f t="shared" si="212"/>
        <v>315.30224486432127</v>
      </c>
      <c r="AO337" s="31">
        <f t="shared" si="213"/>
        <v>1.5676247614389207</v>
      </c>
      <c r="AP337" s="58" t="str">
        <f t="shared" si="214"/>
        <v>-0.0039222255161389+0.00124913236621121i</v>
      </c>
      <c r="AQ337" s="49">
        <f t="shared" si="215"/>
        <v>-47.709793240121236</v>
      </c>
      <c r="AR337" s="61">
        <f t="shared" si="216"/>
        <v>162.3346021269117</v>
      </c>
      <c r="AS337" s="58" t="str">
        <f t="shared" si="217"/>
        <v>0.00452566189368857-0.00175932589473119i</v>
      </c>
      <c r="AT337" s="64">
        <f t="shared" si="218"/>
        <v>-46.275143451844784</v>
      </c>
      <c r="AU337" s="61">
        <f t="shared" si="219"/>
        <v>-21.243316039975692</v>
      </c>
    </row>
    <row r="338" spans="14:47" x14ac:dyDescent="0.3">
      <c r="N338" s="10">
        <v>20</v>
      </c>
      <c r="O338" s="50">
        <f t="shared" si="221"/>
        <v>15848.931924611146</v>
      </c>
      <c r="P338" s="48" t="str">
        <f t="shared" si="188"/>
        <v>51201.9230769231</v>
      </c>
      <c r="Q338" s="17" t="str">
        <f t="shared" si="189"/>
        <v>1+4653.53300334214i</v>
      </c>
      <c r="R338" s="17">
        <f t="shared" si="197"/>
        <v>4653.5331107873844</v>
      </c>
      <c r="S338" s="17">
        <f t="shared" si="198"/>
        <v>1.5705814363054793</v>
      </c>
      <c r="T338" s="17" t="str">
        <f t="shared" si="190"/>
        <v>1+2.98745328609619E-07i</v>
      </c>
      <c r="U338" s="17">
        <f t="shared" si="199"/>
        <v>1.0000000000000446</v>
      </c>
      <c r="V338" s="17">
        <f t="shared" si="200"/>
        <v>2.9874532860961008E-7</v>
      </c>
      <c r="W338" s="31" t="str">
        <f t="shared" si="191"/>
        <v>1-0.161322477449194i</v>
      </c>
      <c r="X338" s="17">
        <f t="shared" si="201"/>
        <v>1.012928892731541</v>
      </c>
      <c r="Y338" s="17">
        <f t="shared" si="202"/>
        <v>-0.15994446258263051</v>
      </c>
      <c r="Z338" s="31" t="str">
        <f t="shared" si="192"/>
        <v>0.899524542739617+9.84447920528709i</v>
      </c>
      <c r="AA338" s="17">
        <f t="shared" si="203"/>
        <v>9.8854901358668528</v>
      </c>
      <c r="AB338" s="17">
        <f t="shared" si="204"/>
        <v>1.4796758542298418</v>
      </c>
      <c r="AC338" s="66" t="str">
        <f t="shared" si="205"/>
        <v>-1.12476363110943+0.0772899942857842i</v>
      </c>
      <c r="AD338" s="64">
        <f t="shared" si="206"/>
        <v>1.0416843295926166</v>
      </c>
      <c r="AE338" s="61">
        <f t="shared" si="207"/>
        <v>176.06900527768997</v>
      </c>
      <c r="AF338" s="31" t="str">
        <f t="shared" si="193"/>
        <v>-1.33333333333333E-06</v>
      </c>
      <c r="AG338" s="31" t="str">
        <f t="shared" si="194"/>
        <v>0.0996813579794095i</v>
      </c>
      <c r="AH338" s="31">
        <f t="shared" si="208"/>
        <v>9.9681357979409496E-2</v>
      </c>
      <c r="AI338" s="31">
        <f t="shared" si="209"/>
        <v>1.5707963267948966</v>
      </c>
      <c r="AJ338" s="31" t="str">
        <f t="shared" si="195"/>
        <v>1+0.322322632266122i</v>
      </c>
      <c r="AK338" s="31">
        <f t="shared" si="210"/>
        <v>1.0506625905926992</v>
      </c>
      <c r="AL338" s="31">
        <f t="shared" si="211"/>
        <v>0.31180840895083561</v>
      </c>
      <c r="AM338" s="31" t="str">
        <f t="shared" si="196"/>
        <v>1+322.644954898388i</v>
      </c>
      <c r="AN338" s="31">
        <f t="shared" si="212"/>
        <v>322.6465045857197</v>
      </c>
      <c r="AO338" s="31">
        <f t="shared" si="213"/>
        <v>1.567696954612626</v>
      </c>
      <c r="AP338" s="58" t="str">
        <f t="shared" si="214"/>
        <v>-0.00390561161260548+0.00127224297032994i</v>
      </c>
      <c r="AQ338" s="49">
        <f t="shared" si="215"/>
        <v>-47.728230279303183</v>
      </c>
      <c r="AR338" s="61">
        <f t="shared" si="216"/>
        <v>161.95711320524356</v>
      </c>
      <c r="AS338" s="58" t="str">
        <f t="shared" si="217"/>
        <v>0.00429455824719037-0.00173283732218252i</v>
      </c>
      <c r="AT338" s="64">
        <f t="shared" si="218"/>
        <v>-46.686545949710556</v>
      </c>
      <c r="AU338" s="61">
        <f t="shared" si="219"/>
        <v>-21.973881517066424</v>
      </c>
    </row>
    <row r="339" spans="14:47" x14ac:dyDescent="0.3">
      <c r="N339" s="10">
        <v>21</v>
      </c>
      <c r="O339" s="50">
        <f t="shared" si="221"/>
        <v>16218.100973589309</v>
      </c>
      <c r="P339" s="48" t="str">
        <f t="shared" ref="P339:P402" si="222">COMPLEX(Adc,0)</f>
        <v>51201.9230769231</v>
      </c>
      <c r="Q339" s="17" t="str">
        <f t="shared" ref="Q339:Q402" si="223">IMSUM(COMPLEX(1,0),IMDIV(COMPLEX(0,2*PI()*O339),COMPLEX(wp_lf,0)))</f>
        <v>1+4761.92771166721i</v>
      </c>
      <c r="R339" s="17">
        <f t="shared" si="197"/>
        <v>4761.9278166667027</v>
      </c>
      <c r="S339" s="17">
        <f t="shared" si="198"/>
        <v>1.5705863278100631</v>
      </c>
      <c r="T339" s="17" t="str">
        <f t="shared" ref="T339:T402" si="224">IMSUM(COMPLEX(1,0),IMDIV(COMPLEX(0,2*PI()*O339),COMPLEX(wz_esr,0)))</f>
        <v>1+3.05704001242833E-07i</v>
      </c>
      <c r="U339" s="17">
        <f t="shared" si="199"/>
        <v>1.0000000000000466</v>
      </c>
      <c r="V339" s="17">
        <f t="shared" si="200"/>
        <v>3.0570400124282349E-7</v>
      </c>
      <c r="W339" s="31" t="str">
        <f t="shared" ref="W339:W402" si="225">IMSUB(COMPLEX(1,0),IMDIV(COMPLEX(0,2*PI()*O339),COMPLEX(wz_rhp,0)))</f>
        <v>1-0.16508016067113i</v>
      </c>
      <c r="X339" s="17">
        <f t="shared" si="201"/>
        <v>1.0135341432074236</v>
      </c>
      <c r="Y339" s="17">
        <f t="shared" si="202"/>
        <v>-0.16360465395334953</v>
      </c>
      <c r="Z339" s="31" t="str">
        <f t="shared" ref="Z339:Z402" si="226">IMSUM(COMPLEX(1,0),IMDIV(COMPLEX(0,2*PI()*O339),COMPLEX(Q*(wsl/2),0)),IMDIV(IMPOWER(COMPLEX(0,2*PI()*O339),2),IMPOWER(COMPLEX(wsl/2,0),2)))</f>
        <v>0.894789280324185+10.0737865834239i</v>
      </c>
      <c r="AA339" s="17">
        <f t="shared" si="203"/>
        <v>10.113447680418108</v>
      </c>
      <c r="AB339" s="17">
        <f t="shared" si="204"/>
        <v>1.4822052922639182</v>
      </c>
      <c r="AC339" s="66" t="str">
        <f t="shared" si="205"/>
        <v>-1.07454949966697+0.080530123546987i</v>
      </c>
      <c r="AD339" s="64">
        <f t="shared" si="206"/>
        <v>0.64885232611999011</v>
      </c>
      <c r="AE339" s="61">
        <f t="shared" si="207"/>
        <v>175.7140857721796</v>
      </c>
      <c r="AF339" s="31" t="str">
        <f t="shared" ref="AF339:AF402" si="227">COMPLEX(Adc_ea,0)</f>
        <v>-1.33333333333333E-06</v>
      </c>
      <c r="AG339" s="31" t="str">
        <f t="shared" ref="AG339:AG402" si="228">COMPLEX(0,2*PI()*O339*wp0_ea)</f>
        <v>0.102003235081359i</v>
      </c>
      <c r="AH339" s="31">
        <f t="shared" si="208"/>
        <v>0.102003235081359</v>
      </c>
      <c r="AI339" s="31">
        <f t="shared" si="209"/>
        <v>1.5707963267948966</v>
      </c>
      <c r="AJ339" s="31" t="str">
        <f t="shared" ref="AJ339:AJ402" si="229">IMSUM(COMPLEX(1,0),IMDIV(COMPLEX(0,2*PI()*O339),COMPLEX(wp1_ea,0)))</f>
        <v>1+0.329830490851408i</v>
      </c>
      <c r="AK339" s="31">
        <f t="shared" si="210"/>
        <v>1.0529901009483806</v>
      </c>
      <c r="AL339" s="31">
        <f t="shared" si="211"/>
        <v>0.31859469028039339</v>
      </c>
      <c r="AM339" s="31" t="str">
        <f t="shared" ref="AM339:AM402" si="230">IMSUM(COMPLEX(1,0),IMDIV(COMPLEX(0,2*PI()*O339),COMPLEX(wz_ea,0)))</f>
        <v>1+330.16032134226i</v>
      </c>
      <c r="AN339" s="31">
        <f t="shared" si="212"/>
        <v>330.161835754565</v>
      </c>
      <c r="AO339" s="31">
        <f t="shared" si="213"/>
        <v>1.5677675045002879</v>
      </c>
      <c r="AP339" s="58" t="str">
        <f t="shared" si="214"/>
        <v>-0.00388836490745443+0.00129557278687851i</v>
      </c>
      <c r="AQ339" s="49">
        <f t="shared" si="215"/>
        <v>-47.747452541012841</v>
      </c>
      <c r="AR339" s="61">
        <f t="shared" si="216"/>
        <v>161.57233013727958</v>
      </c>
      <c r="AS339" s="58" t="str">
        <f t="shared" si="217"/>
        <v>0.00407390792923632-0.00170528759631552i</v>
      </c>
      <c r="AT339" s="64">
        <f t="shared" si="218"/>
        <v>-47.098600214892855</v>
      </c>
      <c r="AU339" s="61">
        <f t="shared" si="219"/>
        <v>-22.713584090540827</v>
      </c>
    </row>
    <row r="340" spans="14:47" x14ac:dyDescent="0.3">
      <c r="N340" s="10">
        <v>22</v>
      </c>
      <c r="O340" s="50">
        <f t="shared" si="221"/>
        <v>16595.869074375616</v>
      </c>
      <c r="P340" s="48" t="str">
        <f t="shared" si="222"/>
        <v>51201.9230769231</v>
      </c>
      <c r="Q340" s="17" t="str">
        <f t="shared" si="223"/>
        <v>1+4872.8472570966i</v>
      </c>
      <c r="R340" s="17">
        <f t="shared" ref="R340:R403" si="231">IMABS(Q340)</f>
        <v>4872.8473597060129</v>
      </c>
      <c r="S340" s="17">
        <f t="shared" ref="S340:S403" si="232">IMARGUMENT(Q340)</f>
        <v>1.5705911079704187</v>
      </c>
      <c r="T340" s="17" t="str">
        <f t="shared" si="224"/>
        <v>1+3.12824762183979E-07i</v>
      </c>
      <c r="U340" s="17">
        <f t="shared" ref="U340:U403" si="233">IMABS(T340)</f>
        <v>1.0000000000000488</v>
      </c>
      <c r="V340" s="17">
        <f t="shared" ref="V340:V403" si="234">IMARGUMENT(T340)</f>
        <v>3.1282476218396876E-7</v>
      </c>
      <c r="W340" s="31" t="str">
        <f t="shared" si="225"/>
        <v>1-0.168925371579349i</v>
      </c>
      <c r="X340" s="17">
        <f t="shared" ref="X340:X403" si="235">IMABS(W340)</f>
        <v>1.0141675311126961</v>
      </c>
      <c r="Y340" s="17">
        <f t="shared" ref="Y340:Y403" si="236">IMARGUMENT(W340)</f>
        <v>-0.16734552805847042</v>
      </c>
      <c r="Z340" s="31" t="str">
        <f t="shared" si="226"/>
        <v>0.889830851866473+10.3084352165495i</v>
      </c>
      <c r="AA340" s="17">
        <f t="shared" ref="AA340:AA403" si="237">IMABS(Z340)</f>
        <v>10.346769329541049</v>
      </c>
      <c r="AB340" s="17">
        <f t="shared" ref="AB340:AB403" si="238">IMARGUMENT(Z340)</f>
        <v>1.4846891201272641</v>
      </c>
      <c r="AC340" s="66" t="str">
        <f t="shared" ref="AC340:AC403" si="239">(IMDIV(IMPRODUCT(P340,T340,W340),IMPRODUCT(Q340,Z340)))</f>
        <v>-1.02655206446585+0.0833669286422887i</v>
      </c>
      <c r="AD340" s="64">
        <f t="shared" ref="AD340:AD403" si="240">20*LOG(IMABS(AC340))</f>
        <v>0.2561680131241626</v>
      </c>
      <c r="AE340" s="61">
        <f t="shared" ref="AE340:AE403" si="241">(180/PI())*IMARGUMENT(AC340)</f>
        <v>175.35716314563541</v>
      </c>
      <c r="AF340" s="31" t="str">
        <f t="shared" si="227"/>
        <v>-1.33333333333333E-06</v>
      </c>
      <c r="AG340" s="31" t="str">
        <f t="shared" si="228"/>
        <v>0.104379195648721i</v>
      </c>
      <c r="AH340" s="31">
        <f t="shared" ref="AH340:AH403" si="242">IMABS(AG340)</f>
        <v>0.104379195648721</v>
      </c>
      <c r="AI340" s="31">
        <f t="shared" ref="AI340:AI403" si="243">IMARGUMENT(AG340)</f>
        <v>1.5707963267948966</v>
      </c>
      <c r="AJ340" s="31" t="str">
        <f t="shared" si="229"/>
        <v>1+0.337513229928768i</v>
      </c>
      <c r="AK340" s="31">
        <f t="shared" ref="AK340:AK403" si="244">IMABS(AJ340)</f>
        <v>1.0554218021137092</v>
      </c>
      <c r="AL340" s="31">
        <f t="shared" ref="AL340:AL403" si="245">IMARGUMENT(AJ340)</f>
        <v>0.3255077322465364</v>
      </c>
      <c r="AM340" s="31" t="str">
        <f t="shared" si="230"/>
        <v>1+337.850743158697i</v>
      </c>
      <c r="AN340" s="31">
        <f t="shared" ref="AN340:AN403" si="246">IMABS(AM340)</f>
        <v>337.8522230989222</v>
      </c>
      <c r="AO340" s="31">
        <f t="shared" ref="AO340:AO403" si="247">IMARGUMENT(AM340)</f>
        <v>1.5678364485055793</v>
      </c>
      <c r="AP340" s="58" t="str">
        <f t="shared" ref="AP340:AP403" si="248">IMPRODUCT(AF340,IMDIV(AM340,IMPRODUCT(AG340,AJ340)))</f>
        <v>-0.00387046789440699+0.00131910805799011i</v>
      </c>
      <c r="AQ340" s="49">
        <f t="shared" ref="AQ340:AQ403" si="249">20*LOG(IMABS(AP340))</f>
        <v>-47.767489790499404</v>
      </c>
      <c r="AR340" s="61">
        <f t="shared" ref="AR340:AR403" si="250">(180/PI())*IMARGUMENT(AP340)</f>
        <v>161.18019220954866</v>
      </c>
      <c r="AS340" s="58" t="str">
        <f t="shared" ref="AS340:AS403" si="251">IMPRODUCT(AC340,AP340)</f>
        <v>0.00386326682011036-0.00167680212094858i</v>
      </c>
      <c r="AT340" s="64">
        <f t="shared" ref="AT340:AT403" si="252">20*LOG(IMABS(AS340))</f>
        <v>-47.511321777375237</v>
      </c>
      <c r="AU340" s="61">
        <f t="shared" ref="AU340:AU403" si="253">(180/PI())*IMARGUMENT(AS340)</f>
        <v>-23.462644644815839</v>
      </c>
    </row>
    <row r="341" spans="14:47" x14ac:dyDescent="0.3">
      <c r="N341" s="10">
        <v>23</v>
      </c>
      <c r="O341" s="50">
        <f t="shared" si="221"/>
        <v>16982.436524617482</v>
      </c>
      <c r="P341" s="48" t="str">
        <f t="shared" si="222"/>
        <v>51201.9230769231</v>
      </c>
      <c r="Q341" s="17" t="str">
        <f t="shared" si="223"/>
        <v>1+4986.35045064147i</v>
      </c>
      <c r="R341" s="17">
        <f t="shared" si="231"/>
        <v>4986.3505509152083</v>
      </c>
      <c r="S341" s="17">
        <f t="shared" si="232"/>
        <v>1.5705957793210492</v>
      </c>
      <c r="T341" s="17" t="str">
        <f t="shared" si="224"/>
        <v>1+3.20111386954761E-07i</v>
      </c>
      <c r="U341" s="17">
        <f t="shared" si="233"/>
        <v>1.0000000000000511</v>
      </c>
      <c r="V341" s="17">
        <f t="shared" si="234"/>
        <v>3.2011138695475005E-7</v>
      </c>
      <c r="W341" s="31" t="str">
        <f t="shared" si="225"/>
        <v>1-0.172860148955571i</v>
      </c>
      <c r="X341" s="17">
        <f t="shared" si="235"/>
        <v>1.0148303459677102</v>
      </c>
      <c r="Y341" s="17">
        <f t="shared" si="236"/>
        <v>-0.1711686493451855</v>
      </c>
      <c r="Z341" s="31" t="str">
        <f t="shared" si="226"/>
        <v>0.884638739874934+10.5485495184754i</v>
      </c>
      <c r="AA341" s="17">
        <f t="shared" si="237"/>
        <v>10.585578994264562</v>
      </c>
      <c r="AB341" s="17">
        <f t="shared" si="238"/>
        <v>1.4871285646581538</v>
      </c>
      <c r="AC341" s="66" t="str">
        <f t="shared" si="239"/>
        <v>-0.980675316610003+0.0858311333358383i</v>
      </c>
      <c r="AD341" s="64">
        <f t="shared" si="240"/>
        <v>-0.13635412812407227</v>
      </c>
      <c r="AE341" s="61">
        <f t="shared" si="241"/>
        <v>174.99807732418088</v>
      </c>
      <c r="AF341" s="31" t="str">
        <f t="shared" si="227"/>
        <v>-1.33333333333333E-06</v>
      </c>
      <c r="AG341" s="31" t="str">
        <f t="shared" si="228"/>
        <v>0.106810499447238i</v>
      </c>
      <c r="AH341" s="31">
        <f t="shared" si="242"/>
        <v>0.106810499447238</v>
      </c>
      <c r="AI341" s="31">
        <f t="shared" si="243"/>
        <v>1.5707963267948966</v>
      </c>
      <c r="AJ341" s="31" t="str">
        <f t="shared" si="229"/>
        <v>1+0.345374922988153i</v>
      </c>
      <c r="AK341" s="31">
        <f t="shared" si="244"/>
        <v>1.05796211530899</v>
      </c>
      <c r="AL341" s="31">
        <f t="shared" si="245"/>
        <v>0.33254855634672054</v>
      </c>
      <c r="AM341" s="31" t="str">
        <f t="shared" si="230"/>
        <v>1+345.720297911142i</v>
      </c>
      <c r="AN341" s="31">
        <f t="shared" si="246"/>
        <v>345.72174416395728</v>
      </c>
      <c r="AO341" s="31">
        <f t="shared" si="247"/>
        <v>1.5679038231809017</v>
      </c>
      <c r="AP341" s="58" t="str">
        <f t="shared" si="248"/>
        <v>-0.00385190315322032+0.00134283392219509i</v>
      </c>
      <c r="AQ341" s="49">
        <f t="shared" si="249"/>
        <v>-47.788372603153242</v>
      </c>
      <c r="AR341" s="61">
        <f t="shared" si="250"/>
        <v>160.78064298885613</v>
      </c>
      <c r="AS341" s="58" t="str">
        <f t="shared" si="251"/>
        <v>0.00366220938691159-0.00164749729494411i</v>
      </c>
      <c r="AT341" s="64">
        <f t="shared" si="252"/>
        <v>-47.924726731277318</v>
      </c>
      <c r="AU341" s="61">
        <f t="shared" si="253"/>
        <v>-24.221279686962966</v>
      </c>
    </row>
    <row r="342" spans="14:47" x14ac:dyDescent="0.3">
      <c r="N342" s="10">
        <v>24</v>
      </c>
      <c r="O342" s="50">
        <f t="shared" si="221"/>
        <v>17378.008287493791</v>
      </c>
      <c r="P342" s="48" t="str">
        <f t="shared" si="222"/>
        <v>51201.9230769231</v>
      </c>
      <c r="Q342" s="17" t="str">
        <f t="shared" si="223"/>
        <v>1+5102.49747319737i</v>
      </c>
      <c r="R342" s="17">
        <f t="shared" si="231"/>
        <v>5102.4975711885982</v>
      </c>
      <c r="S342" s="17">
        <f t="shared" si="232"/>
        <v>1.5706003443387662</v>
      </c>
      <c r="T342" s="17" t="str">
        <f t="shared" si="224"/>
        <v>1+3.27567739020078E-07i</v>
      </c>
      <c r="U342" s="17">
        <f t="shared" si="233"/>
        <v>1.0000000000000537</v>
      </c>
      <c r="V342" s="17">
        <f t="shared" si="234"/>
        <v>3.2756773902006628E-7</v>
      </c>
      <c r="W342" s="31" t="str">
        <f t="shared" si="225"/>
        <v>1-0.176886579070842i</v>
      </c>
      <c r="X342" s="17">
        <f t="shared" si="235"/>
        <v>1.0155239346541198</v>
      </c>
      <c r="Y342" s="17">
        <f t="shared" si="236"/>
        <v>-0.17507559762111111</v>
      </c>
      <c r="Z342" s="31" t="str">
        <f t="shared" si="226"/>
        <v>0.879201931183919+10.7942568009823i</v>
      </c>
      <c r="AA342" s="17">
        <f t="shared" si="237"/>
        <v>10.830003505140255</v>
      </c>
      <c r="AB342" s="17">
        <f t="shared" si="238"/>
        <v>1.4895248350527779</v>
      </c>
      <c r="AC342" s="66" t="str">
        <f t="shared" si="239"/>
        <v>-0.936827244243055+0.0879513725595769i</v>
      </c>
      <c r="AD342" s="64">
        <f t="shared" si="240"/>
        <v>-0.5286993477046843</v>
      </c>
      <c r="AE342" s="61">
        <f t="shared" si="241"/>
        <v>174.63666836797927</v>
      </c>
      <c r="AF342" s="31" t="str">
        <f t="shared" si="227"/>
        <v>-1.33333333333333E-06</v>
      </c>
      <c r="AG342" s="31" t="str">
        <f t="shared" si="228"/>
        <v>0.109298435586366i</v>
      </c>
      <c r="AH342" s="31">
        <f t="shared" si="242"/>
        <v>0.109298435586366</v>
      </c>
      <c r="AI342" s="31">
        <f t="shared" si="243"/>
        <v>1.5707963267948966</v>
      </c>
      <c r="AJ342" s="31" t="str">
        <f t="shared" si="229"/>
        <v>1+0.353419738403281i</v>
      </c>
      <c r="AK342" s="31">
        <f t="shared" si="244"/>
        <v>1.0606156285351651</v>
      </c>
      <c r="AL342" s="31">
        <f t="shared" si="245"/>
        <v>0.339718102517793</v>
      </c>
      <c r="AM342" s="31" t="str">
        <f t="shared" si="230"/>
        <v>1+353.773158141684i</v>
      </c>
      <c r="AN342" s="31">
        <f t="shared" si="246"/>
        <v>353.77457147389907</v>
      </c>
      <c r="AO342" s="31">
        <f t="shared" si="247"/>
        <v>1.5679696642467513</v>
      </c>
      <c r="AP342" s="58" t="str">
        <f t="shared" si="248"/>
        <v>-0.00383265340839094+0.00136673438069888i</v>
      </c>
      <c r="AQ342" s="49">
        <f t="shared" si="249"/>
        <v>-47.810132359178596</v>
      </c>
      <c r="AR342" s="61">
        <f t="shared" si="250"/>
        <v>160.37363066742142</v>
      </c>
      <c r="AS342" s="58" t="str">
        <f t="shared" si="251"/>
        <v>0.00347032796601481-0.00161748113129549i</v>
      </c>
      <c r="AT342" s="64">
        <f t="shared" si="252"/>
        <v>-48.338831706883276</v>
      </c>
      <c r="AU342" s="61">
        <f t="shared" si="253"/>
        <v>-24.989700964599219</v>
      </c>
    </row>
    <row r="343" spans="14:47" x14ac:dyDescent="0.3">
      <c r="N343" s="10">
        <v>25</v>
      </c>
      <c r="O343" s="50">
        <f t="shared" si="221"/>
        <v>17782.794100389234</v>
      </c>
      <c r="P343" s="48" t="str">
        <f t="shared" si="222"/>
        <v>51201.9230769231</v>
      </c>
      <c r="Q343" s="17" t="str">
        <f t="shared" si="223"/>
        <v>1+5221.3499074531i</v>
      </c>
      <c r="R343" s="17">
        <f t="shared" si="231"/>
        <v>5221.3500032137763</v>
      </c>
      <c r="S343" s="17">
        <f t="shared" si="232"/>
        <v>1.5706048054440012</v>
      </c>
      <c r="T343" s="17" t="str">
        <f t="shared" si="224"/>
        <v>1+3.35197771836495E-07i</v>
      </c>
      <c r="U343" s="17">
        <f t="shared" si="233"/>
        <v>1.0000000000000562</v>
      </c>
      <c r="V343" s="17">
        <f t="shared" si="234"/>
        <v>3.3519777183648246E-7</v>
      </c>
      <c r="W343" s="31" t="str">
        <f t="shared" si="225"/>
        <v>1-0.181006796791707i</v>
      </c>
      <c r="X343" s="17">
        <f t="shared" si="235"/>
        <v>1.0162497038055138</v>
      </c>
      <c r="Y343" s="17">
        <f t="shared" si="236"/>
        <v>-0.17906796707137182</v>
      </c>
      <c r="Z343" s="31" t="str">
        <f t="shared" si="226"/>
        <v>0.873508893593265+11.045687341324i</v>
      </c>
      <c r="AA343" s="17">
        <f t="shared" si="237"/>
        <v>11.080172680489767</v>
      </c>
      <c r="AB343" s="17">
        <f t="shared" si="238"/>
        <v>1.4918791231237245</v>
      </c>
      <c r="AC343" s="66" t="str">
        <f t="shared" si="239"/>
        <v>-0.894919680320366+0.0897543275372915i</v>
      </c>
      <c r="AD343" s="64">
        <f t="shared" si="240"/>
        <v>-0.92085260438188965</v>
      </c>
      <c r="AE343" s="61">
        <f t="shared" si="241"/>
        <v>174.27277651266587</v>
      </c>
      <c r="AF343" s="31" t="str">
        <f t="shared" si="227"/>
        <v>-1.33333333333333E-06</v>
      </c>
      <c r="AG343" s="31" t="str">
        <f t="shared" si="228"/>
        <v>0.111844323202778i</v>
      </c>
      <c r="AH343" s="31">
        <f t="shared" si="242"/>
        <v>0.111844323202778</v>
      </c>
      <c r="AI343" s="31">
        <f t="shared" si="243"/>
        <v>1.5707963267948966</v>
      </c>
      <c r="AJ343" s="31" t="str">
        <f t="shared" si="229"/>
        <v>1+0.361651941641772i</v>
      </c>
      <c r="AK343" s="31">
        <f t="shared" si="244"/>
        <v>1.0633871011505001</v>
      </c>
      <c r="AL343" s="31">
        <f t="shared" si="245"/>
        <v>0.3470172229578839</v>
      </c>
      <c r="AM343" s="31" t="str">
        <f t="shared" si="230"/>
        <v>1+362.013593583415i</v>
      </c>
      <c r="AN343" s="31">
        <f t="shared" si="246"/>
        <v>362.01497474438537</v>
      </c>
      <c r="AO343" s="31">
        <f t="shared" si="247"/>
        <v>1.5680340066106482</v>
      </c>
      <c r="AP343" s="58" t="str">
        <f t="shared" si="248"/>
        <v>-0.00381270159227814+0.0013907922659637i</v>
      </c>
      <c r="AQ343" s="49">
        <f t="shared" si="249"/>
        <v>-47.832801235439575</v>
      </c>
      <c r="AR343" s="61">
        <f t="shared" si="250"/>
        <v>159.95910841794174</v>
      </c>
      <c r="AS343" s="58" t="str">
        <f t="shared" si="251"/>
        <v>0.00328723206554287-0.00158685383756356i</v>
      </c>
      <c r="AT343" s="64">
        <f t="shared" si="252"/>
        <v>-48.753653839821453</v>
      </c>
      <c r="AU343" s="61">
        <f t="shared" si="253"/>
        <v>-25.768115069392405</v>
      </c>
    </row>
    <row r="344" spans="14:47" x14ac:dyDescent="0.3">
      <c r="N344" s="10">
        <v>26</v>
      </c>
      <c r="O344" s="50">
        <f t="shared" si="221"/>
        <v>18197.008586099837</v>
      </c>
      <c r="P344" s="48" t="str">
        <f t="shared" si="222"/>
        <v>51201.9230769231</v>
      </c>
      <c r="Q344" s="17" t="str">
        <f t="shared" si="223"/>
        <v>1+5342.97077054253i</v>
      </c>
      <c r="R344" s="17">
        <f t="shared" si="231"/>
        <v>5342.9708641234265</v>
      </c>
      <c r="S344" s="17">
        <f t="shared" si="232"/>
        <v>1.5706091650020908</v>
      </c>
      <c r="T344" s="17" t="str">
        <f t="shared" si="224"/>
        <v>1+3.43005530948409E-07i</v>
      </c>
      <c r="U344" s="17">
        <f t="shared" si="233"/>
        <v>1.0000000000000588</v>
      </c>
      <c r="V344" s="17">
        <f t="shared" si="234"/>
        <v>3.4300553094839556E-7</v>
      </c>
      <c r="W344" s="31" t="str">
        <f t="shared" si="225"/>
        <v>1-0.185222986712141i</v>
      </c>
      <c r="X344" s="17">
        <f t="shared" si="235"/>
        <v>1.0170091222828661</v>
      </c>
      <c r="Y344" s="17">
        <f t="shared" si="236"/>
        <v>-0.18314736517578251</v>
      </c>
      <c r="Z344" s="31" t="str">
        <f t="shared" si="226"/>
        <v>0.867547551406964+11.3029744513011i</v>
      </c>
      <c r="AA344" s="17">
        <f t="shared" si="237"/>
        <v>11.336219396285415</v>
      </c>
      <c r="AB344" s="17">
        <f t="shared" si="238"/>
        <v>1.4941926035734372</v>
      </c>
      <c r="AC344" s="66" t="str">
        <f t="shared" si="239"/>
        <v>-0.854868154905263+0.0912648525333274i</v>
      </c>
      <c r="AD344" s="64">
        <f t="shared" si="240"/>
        <v>-1.312798542921811</v>
      </c>
      <c r="AE344" s="61">
        <f t="shared" si="241"/>
        <v>173.90624221564747</v>
      </c>
      <c r="AF344" s="31" t="str">
        <f t="shared" si="227"/>
        <v>-1.33333333333333E-06</v>
      </c>
      <c r="AG344" s="31" t="str">
        <f t="shared" si="228"/>
        <v>0.114449512159786i</v>
      </c>
      <c r="AH344" s="31">
        <f t="shared" si="242"/>
        <v>0.11444951215978599</v>
      </c>
      <c r="AI344" s="31">
        <f t="shared" si="243"/>
        <v>1.5707963267948966</v>
      </c>
      <c r="AJ344" s="31" t="str">
        <f t="shared" si="229"/>
        <v>1+0.370075897526754i</v>
      </c>
      <c r="AK344" s="31">
        <f t="shared" si="244"/>
        <v>1.0662814684360939</v>
      </c>
      <c r="AL344" s="31">
        <f t="shared" si="245"/>
        <v>0.35444667578803007</v>
      </c>
      <c r="AM344" s="31" t="str">
        <f t="shared" si="230"/>
        <v>1+370.445973424282i</v>
      </c>
      <c r="AN344" s="31">
        <f t="shared" si="246"/>
        <v>370.44732314630625</v>
      </c>
      <c r="AO344" s="31">
        <f t="shared" si="247"/>
        <v>1.5680968843856331</v>
      </c>
      <c r="AP344" s="58" t="str">
        <f t="shared" si="248"/>
        <v>-0.00379203091268339+0.00141498921302501i</v>
      </c>
      <c r="AQ344" s="49">
        <f t="shared" si="249"/>
        <v>-47.85641219427491</v>
      </c>
      <c r="AR344" s="61">
        <f t="shared" si="250"/>
        <v>159.5370347578145</v>
      </c>
      <c r="AS344" s="58" t="str">
        <f t="shared" si="251"/>
        <v>0.00311254768780639-0.00155570835979741i</v>
      </c>
      <c r="AT344" s="64">
        <f t="shared" si="252"/>
        <v>-49.169210737196721</v>
      </c>
      <c r="AU344" s="61">
        <f t="shared" si="253"/>
        <v>-26.556723026538066</v>
      </c>
    </row>
    <row r="345" spans="14:47" x14ac:dyDescent="0.3">
      <c r="N345" s="10">
        <v>27</v>
      </c>
      <c r="O345" s="50">
        <f t="shared" si="221"/>
        <v>18620.871366628675</v>
      </c>
      <c r="P345" s="48" t="str">
        <f t="shared" si="222"/>
        <v>51201.9230769231</v>
      </c>
      <c r="Q345" s="17" t="str">
        <f t="shared" si="223"/>
        <v>1+5467.42454745707i</v>
      </c>
      <c r="R345" s="17">
        <f t="shared" si="231"/>
        <v>5467.4246389078053</v>
      </c>
      <c r="S345" s="17">
        <f t="shared" si="232"/>
        <v>1.5706134253245299</v>
      </c>
      <c r="T345" s="17" t="str">
        <f t="shared" si="224"/>
        <v>1+3.50995156133046E-07i</v>
      </c>
      <c r="U345" s="17">
        <f t="shared" si="233"/>
        <v>1.0000000000000617</v>
      </c>
      <c r="V345" s="17">
        <f t="shared" si="234"/>
        <v>3.5099515613303162E-7</v>
      </c>
      <c r="W345" s="31" t="str">
        <f t="shared" si="225"/>
        <v>1-0.189537384311845i</v>
      </c>
      <c r="X345" s="17">
        <f t="shared" si="235"/>
        <v>1.0178037237364461</v>
      </c>
      <c r="Y345" s="17">
        <f t="shared" si="236"/>
        <v>-0.18731541152036382</v>
      </c>
      <c r="Z345" s="31" t="str">
        <f t="shared" si="226"/>
        <v>0.861305259818988+11.5662545479448i</v>
      </c>
      <c r="AA345" s="17">
        <f t="shared" si="237"/>
        <v>11.598279657709828</v>
      </c>
      <c r="AB345" s="17">
        <f t="shared" si="238"/>
        <v>1.4964664342813381</v>
      </c>
      <c r="AC345" s="66" t="str">
        <f t="shared" si="239"/>
        <v>-0.816591751976783+0.0925060937132678i</v>
      </c>
      <c r="AD345" s="64">
        <f t="shared" si="240"/>
        <v>-1.7045214714120471</v>
      </c>
      <c r="AE345" s="61">
        <f t="shared" si="241"/>
        <v>173.53690620767475</v>
      </c>
      <c r="AF345" s="31" t="str">
        <f t="shared" si="227"/>
        <v>-1.33333333333333E-06</v>
      </c>
      <c r="AG345" s="31" t="str">
        <f t="shared" si="228"/>
        <v>0.11711538376306i</v>
      </c>
      <c r="AH345" s="31">
        <f t="shared" si="242"/>
        <v>0.11711538376305999</v>
      </c>
      <c r="AI345" s="31">
        <f t="shared" si="243"/>
        <v>1.5707963267948966</v>
      </c>
      <c r="AJ345" s="31" t="str">
        <f t="shared" si="229"/>
        <v>1+0.378696072551138i</v>
      </c>
      <c r="AK345" s="31">
        <f t="shared" si="244"/>
        <v>1.0693038461380642</v>
      </c>
      <c r="AL345" s="31">
        <f t="shared" si="245"/>
        <v>0.36200711856933504</v>
      </c>
      <c r="AM345" s="31" t="str">
        <f t="shared" si="230"/>
        <v>1+379.07476862369i</v>
      </c>
      <c r="AN345" s="31">
        <f t="shared" si="246"/>
        <v>379.07608762239812</v>
      </c>
      <c r="AO345" s="31">
        <f t="shared" si="247"/>
        <v>1.5681583309083449</v>
      </c>
      <c r="AP345" s="58" t="str">
        <f t="shared" si="248"/>
        <v>-0.00377062492488782+0.00143930563399988i</v>
      </c>
      <c r="AQ345" s="49">
        <f t="shared" si="249"/>
        <v>-47.880998969074199</v>
      </c>
      <c r="AR345" s="61">
        <f t="shared" si="250"/>
        <v>159.10737392161283</v>
      </c>
      <c r="AS345" s="58" t="str">
        <f t="shared" si="251"/>
        <v>0.00294591667160064-0.00152413089195727i</v>
      </c>
      <c r="AT345" s="64">
        <f t="shared" si="252"/>
        <v>-49.585520440486263</v>
      </c>
      <c r="AU345" s="61">
        <f t="shared" si="253"/>
        <v>-27.355719870712417</v>
      </c>
    </row>
    <row r="346" spans="14:47" x14ac:dyDescent="0.3">
      <c r="N346" s="10">
        <v>28</v>
      </c>
      <c r="O346" s="50">
        <f t="shared" si="221"/>
        <v>19054.607179632505</v>
      </c>
      <c r="P346" s="48" t="str">
        <f t="shared" si="222"/>
        <v>51201.9230769231</v>
      </c>
      <c r="Q346" s="17" t="str">
        <f t="shared" si="223"/>
        <v>1+5594.77722523663i</v>
      </c>
      <c r="R346" s="17">
        <f t="shared" si="231"/>
        <v>5594.7773146056934</v>
      </c>
      <c r="S346" s="17">
        <f t="shared" si="232"/>
        <v>1.570617588670197</v>
      </c>
      <c r="T346" s="17" t="str">
        <f t="shared" si="224"/>
        <v>1+3.59170883595438E-07i</v>
      </c>
      <c r="U346" s="17">
        <f t="shared" si="233"/>
        <v>1.0000000000000644</v>
      </c>
      <c r="V346" s="17">
        <f t="shared" si="234"/>
        <v>3.5917088359542253E-7</v>
      </c>
      <c r="W346" s="31" t="str">
        <f t="shared" si="225"/>
        <v>1-0.193952277141536i</v>
      </c>
      <c r="X346" s="17">
        <f t="shared" si="235"/>
        <v>1.0186351092557075</v>
      </c>
      <c r="Y346" s="17">
        <f t="shared" si="236"/>
        <v>-0.19157373649726356</v>
      </c>
      <c r="Z346" s="31" t="str">
        <f t="shared" si="226"/>
        <v>0.854768778091957+11.8356672258474i</v>
      </c>
      <c r="AA346" s="17">
        <f t="shared" si="237"/>
        <v>11.86649267243692</v>
      </c>
      <c r="AB346" s="17">
        <f t="shared" si="238"/>
        <v>1.4987017566033545</v>
      </c>
      <c r="AC346" s="66" t="str">
        <f t="shared" si="239"/>
        <v>-0.78001297072212+0.0934996005788696i</v>
      </c>
      <c r="AD346" s="64">
        <f t="shared" si="240"/>
        <v>-2.0960053386005981</v>
      </c>
      <c r="AE346" s="61">
        <f t="shared" si="241"/>
        <v>173.16460955009961</v>
      </c>
      <c r="AF346" s="31" t="str">
        <f t="shared" si="227"/>
        <v>-1.33333333333333E-06</v>
      </c>
      <c r="AG346" s="31" t="str">
        <f t="shared" si="228"/>
        <v>0.119843351493011i</v>
      </c>
      <c r="AH346" s="31">
        <f t="shared" si="242"/>
        <v>0.11984335149301099</v>
      </c>
      <c r="AI346" s="31">
        <f t="shared" si="243"/>
        <v>1.5707963267948966</v>
      </c>
      <c r="AJ346" s="31" t="str">
        <f t="shared" si="229"/>
        <v>1+0.387517037245827i</v>
      </c>
      <c r="AK346" s="31">
        <f t="shared" si="244"/>
        <v>1.0724595349735968</v>
      </c>
      <c r="AL346" s="31">
        <f t="shared" si="245"/>
        <v>0.36969910169401138</v>
      </c>
      <c r="AM346" s="31" t="str">
        <f t="shared" si="230"/>
        <v>1+387.904554283073i</v>
      </c>
      <c r="AN346" s="31">
        <f t="shared" si="246"/>
        <v>387.905843257806</v>
      </c>
      <c r="AO346" s="31">
        <f t="shared" si="247"/>
        <v>1.5682183787566861</v>
      </c>
      <c r="AP346" s="58" t="str">
        <f t="shared" si="248"/>
        <v>-0.00374846760811091+0.00146372069626857i</v>
      </c>
      <c r="AQ346" s="49">
        <f t="shared" si="249"/>
        <v>-47.906596046408509</v>
      </c>
      <c r="AR346" s="61">
        <f t="shared" si="250"/>
        <v>158.67009624076175</v>
      </c>
      <c r="AS346" s="58" t="str">
        <f t="shared" si="251"/>
        <v>0.00278699605419809-0.0014922013527451i</v>
      </c>
      <c r="AT346" s="64">
        <f t="shared" si="252"/>
        <v>-50.002601385009122</v>
      </c>
      <c r="AU346" s="61">
        <f t="shared" si="253"/>
        <v>-28.1652942091387</v>
      </c>
    </row>
    <row r="347" spans="14:47" x14ac:dyDescent="0.3">
      <c r="N347" s="10">
        <v>29</v>
      </c>
      <c r="O347" s="50">
        <f t="shared" si="221"/>
        <v>19498.445997580486</v>
      </c>
      <c r="P347" s="48" t="str">
        <f t="shared" si="222"/>
        <v>51201.9230769231</v>
      </c>
      <c r="Q347" s="17" t="str">
        <f t="shared" si="223"/>
        <v>1+5725.09632795657i</v>
      </c>
      <c r="R347" s="17">
        <f t="shared" si="231"/>
        <v>5725.0964152913448</v>
      </c>
      <c r="S347" s="17">
        <f t="shared" si="232"/>
        <v>1.5706216572465526</v>
      </c>
      <c r="T347" s="17" t="str">
        <f t="shared" si="224"/>
        <v>1+3.67537048214496E-07i</v>
      </c>
      <c r="U347" s="17">
        <f t="shared" si="233"/>
        <v>1.0000000000000675</v>
      </c>
      <c r="V347" s="17">
        <f t="shared" si="234"/>
        <v>3.6753704821447944E-7</v>
      </c>
      <c r="W347" s="31" t="str">
        <f t="shared" si="225"/>
        <v>1-0.198470006035828i</v>
      </c>
      <c r="X347" s="17">
        <f t="shared" si="235"/>
        <v>1.019504950108562</v>
      </c>
      <c r="Y347" s="17">
        <f t="shared" si="236"/>
        <v>-0.1959239798869585</v>
      </c>
      <c r="Z347" s="31" t="str">
        <f t="shared" si="226"/>
        <v>0.847924241471776+12.1113553311766i</v>
      </c>
      <c r="AA347" s="17">
        <f t="shared" si="237"/>
        <v>12.141000925677231</v>
      </c>
      <c r="AB347" s="17">
        <f t="shared" si="238"/>
        <v>1.5008996956826715</v>
      </c>
      <c r="AC347" s="66" t="str">
        <f t="shared" si="239"/>
        <v>-0.74505759127431+0.0942654304154138i</v>
      </c>
      <c r="AD347" s="64">
        <f t="shared" si="240"/>
        <v>-2.4872337112734746</v>
      </c>
      <c r="AE347" s="61">
        <f t="shared" si="241"/>
        <v>172.78919369823575</v>
      </c>
      <c r="AF347" s="31" t="str">
        <f t="shared" si="227"/>
        <v>-1.33333333333333E-06</v>
      </c>
      <c r="AG347" s="31" t="str">
        <f t="shared" si="228"/>
        <v>0.122634861754237i</v>
      </c>
      <c r="AH347" s="31">
        <f t="shared" si="242"/>
        <v>0.122634861754237</v>
      </c>
      <c r="AI347" s="31">
        <f t="shared" si="243"/>
        <v>1.5707963267948966</v>
      </c>
      <c r="AJ347" s="31" t="str">
        <f t="shared" si="229"/>
        <v>1+0.396543468603052i</v>
      </c>
      <c r="AK347" s="31">
        <f t="shared" si="244"/>
        <v>1.0757540250873987</v>
      </c>
      <c r="AL347" s="31">
        <f t="shared" si="245"/>
        <v>0.37752306167118888</v>
      </c>
      <c r="AM347" s="31" t="str">
        <f t="shared" si="230"/>
        <v>1+396.940012071656i</v>
      </c>
      <c r="AN347" s="31">
        <f t="shared" si="246"/>
        <v>396.94127170583607</v>
      </c>
      <c r="AO347" s="31">
        <f t="shared" si="247"/>
        <v>1.5682770597670874</v>
      </c>
      <c r="AP347" s="58" t="str">
        <f t="shared" si="248"/>
        <v>-0.00372554344630891+0.00148821230483093i</v>
      </c>
      <c r="AQ347" s="49">
        <f t="shared" si="249"/>
        <v>-47.933238644513366</v>
      </c>
      <c r="AR347" s="61">
        <f t="shared" si="250"/>
        <v>158.2251785292238</v>
      </c>
      <c r="AS347" s="58" t="str">
        <f t="shared" si="251"/>
        <v>0.00263545745283031-0.00145999383163976i</v>
      </c>
      <c r="AT347" s="64">
        <f t="shared" si="252"/>
        <v>-50.420472355786821</v>
      </c>
      <c r="AU347" s="61">
        <f t="shared" si="253"/>
        <v>-28.985627772540475</v>
      </c>
    </row>
    <row r="348" spans="14:47" x14ac:dyDescent="0.3">
      <c r="N348" s="10">
        <v>30</v>
      </c>
      <c r="O348" s="50">
        <f t="shared" si="221"/>
        <v>19952.623149688792</v>
      </c>
      <c r="P348" s="48" t="str">
        <f t="shared" si="222"/>
        <v>51201.9230769231</v>
      </c>
      <c r="Q348" s="17" t="str">
        <f t="shared" si="223"/>
        <v>1+5858.45095253025i</v>
      </c>
      <c r="R348" s="17">
        <f t="shared" si="231"/>
        <v>5858.4510378770428</v>
      </c>
      <c r="S348" s="17">
        <f t="shared" si="232"/>
        <v>1.5706256332108093</v>
      </c>
      <c r="T348" s="17" t="str">
        <f t="shared" si="224"/>
        <v>1+3.76098085841448E-07i</v>
      </c>
      <c r="U348" s="17">
        <f t="shared" si="233"/>
        <v>1.0000000000000706</v>
      </c>
      <c r="V348" s="17">
        <f t="shared" si="234"/>
        <v>3.7609808584143028E-7</v>
      </c>
      <c r="W348" s="31" t="str">
        <f t="shared" si="225"/>
        <v>1-0.203092966354382i</v>
      </c>
      <c r="X348" s="17">
        <f t="shared" si="235"/>
        <v>1.020414990571298</v>
      </c>
      <c r="Y348" s="17">
        <f t="shared" si="236"/>
        <v>-0.20036778931653609</v>
      </c>
      <c r="Z348" s="31" t="str">
        <f t="shared" si="226"/>
        <v>0.840757131778601+12.3934650374152i</v>
      </c>
      <c r="AA348" s="17">
        <f t="shared" si="237"/>
        <v>12.421950257035711</v>
      </c>
      <c r="AB348" s="17">
        <f t="shared" si="238"/>
        <v>1.503061360770652</v>
      </c>
      <c r="AC348" s="66" t="str">
        <f t="shared" si="239"/>
        <v>-0.711654544843852+0.0948222461664587i</v>
      </c>
      <c r="AD348" s="64">
        <f t="shared" si="240"/>
        <v>-2.8781897517013948</v>
      </c>
      <c r="AE348" s="61">
        <f t="shared" si="241"/>
        <v>172.41050057123846</v>
      </c>
      <c r="AF348" s="31" t="str">
        <f t="shared" si="227"/>
        <v>-1.33333333333333E-06</v>
      </c>
      <c r="AG348" s="31" t="str">
        <f t="shared" si="228"/>
        <v>0.12549139464243i</v>
      </c>
      <c r="AH348" s="31">
        <f t="shared" si="242"/>
        <v>0.12549139464243</v>
      </c>
      <c r="AI348" s="31">
        <f t="shared" si="243"/>
        <v>1.5707963267948966</v>
      </c>
      <c r="AJ348" s="31" t="str">
        <f t="shared" si="229"/>
        <v>1+0.405780152556207i</v>
      </c>
      <c r="AK348" s="31">
        <f t="shared" si="244"/>
        <v>1.0791930004445631</v>
      </c>
      <c r="AL348" s="31">
        <f t="shared" si="245"/>
        <v>0.385479314331237</v>
      </c>
      <c r="AM348" s="31" t="str">
        <f t="shared" si="230"/>
        <v>1+406.185932708764i</v>
      </c>
      <c r="AN348" s="31">
        <f t="shared" si="246"/>
        <v>406.18716367025758</v>
      </c>
      <c r="AO348" s="31">
        <f t="shared" si="247"/>
        <v>1.5683344050513799</v>
      </c>
      <c r="AP348" s="58" t="str">
        <f t="shared" si="248"/>
        <v>-0.00370183751318374+0.00151275708935897i</v>
      </c>
      <c r="AQ348" s="49">
        <f t="shared" si="249"/>
        <v>-47.960962687924962</v>
      </c>
      <c r="AR348" s="61">
        <f t="shared" si="250"/>
        <v>157.77260447382841</v>
      </c>
      <c r="AS348" s="58" t="str">
        <f t="shared" si="251"/>
        <v>0.00249098646541342-0.00142757700583041i</v>
      </c>
      <c r="AT348" s="64">
        <f t="shared" si="252"/>
        <v>-50.839152439626353</v>
      </c>
      <c r="AU348" s="61">
        <f t="shared" si="253"/>
        <v>-29.816894954933165</v>
      </c>
    </row>
    <row r="349" spans="14:47" x14ac:dyDescent="0.3">
      <c r="N349" s="10">
        <v>31</v>
      </c>
      <c r="O349" s="50">
        <f t="shared" si="221"/>
        <v>20417.379446695286</v>
      </c>
      <c r="P349" s="48" t="str">
        <f t="shared" si="222"/>
        <v>51201.9230769231</v>
      </c>
      <c r="Q349" s="17" t="str">
        <f t="shared" si="223"/>
        <v>1+5994.91180534469i</v>
      </c>
      <c r="R349" s="17">
        <f t="shared" si="231"/>
        <v>5994.911888748753</v>
      </c>
      <c r="S349" s="17">
        <f t="shared" si="232"/>
        <v>1.570629518671075</v>
      </c>
      <c r="T349" s="17" t="str">
        <f t="shared" si="224"/>
        <v>1+3.84858535651758E-07i</v>
      </c>
      <c r="U349" s="17">
        <f t="shared" si="233"/>
        <v>1.0000000000000742</v>
      </c>
      <c r="V349" s="17">
        <f t="shared" si="234"/>
        <v>3.8485853565173902E-7</v>
      </c>
      <c r="W349" s="31" t="str">
        <f t="shared" si="225"/>
        <v>1-0.207823609251949i</v>
      </c>
      <c r="X349" s="17">
        <f t="shared" si="235"/>
        <v>1.021367050850235</v>
      </c>
      <c r="Y349" s="17">
        <f t="shared" si="236"/>
        <v>-0.20490681858766996</v>
      </c>
      <c r="Z349" s="31" t="str">
        <f t="shared" si="226"/>
        <v>0.833252246611867+12.6821459228634i</v>
      </c>
      <c r="AA349" s="17">
        <f t="shared" si="237"/>
        <v>12.709489939225904</v>
      </c>
      <c r="AB349" s="17">
        <f t="shared" si="238"/>
        <v>1.5051878455568888</v>
      </c>
      <c r="AC349" s="66" t="str">
        <f t="shared" si="239"/>
        <v>-0.679735788184166+0.0951874081287309i</v>
      </c>
      <c r="AD349" s="64">
        <f t="shared" si="240"/>
        <v>-3.26885619518078</v>
      </c>
      <c r="AE349" s="61">
        <f t="shared" si="241"/>
        <v>172.02837262892803</v>
      </c>
      <c r="AF349" s="31" t="str">
        <f t="shared" si="227"/>
        <v>-1.33333333333333E-06</v>
      </c>
      <c r="AG349" s="31" t="str">
        <f t="shared" si="228"/>
        <v>0.128414464729137i</v>
      </c>
      <c r="AH349" s="31">
        <f t="shared" si="242"/>
        <v>0.12841446472913701</v>
      </c>
      <c r="AI349" s="31">
        <f t="shared" si="243"/>
        <v>1.5707963267948966</v>
      </c>
      <c r="AJ349" s="31" t="str">
        <f t="shared" si="229"/>
        <v>1+0.415231986517381i</v>
      </c>
      <c r="AK349" s="31">
        <f t="shared" si="244"/>
        <v>1.0827823431452743</v>
      </c>
      <c r="AL349" s="31">
        <f t="shared" si="245"/>
        <v>0.39356804797499423</v>
      </c>
      <c r="AM349" s="31" t="str">
        <f t="shared" si="230"/>
        <v>1+415.647218503899i</v>
      </c>
      <c r="AN349" s="31">
        <f t="shared" si="246"/>
        <v>415.6484214453701</v>
      </c>
      <c r="AO349" s="31">
        <f t="shared" si="247"/>
        <v>1.5683904450132831</v>
      </c>
      <c r="AP349" s="58" t="str">
        <f t="shared" si="248"/>
        <v>-0.00367733556122031+0.0015373303964801i</v>
      </c>
      <c r="AQ349" s="49">
        <f t="shared" si="249"/>
        <v>-47.989804778078231</v>
      </c>
      <c r="AR349" s="61">
        <f t="shared" si="250"/>
        <v>157.31236502773675</v>
      </c>
      <c r="AS349" s="58" t="str">
        <f t="shared" si="251"/>
        <v>0.00235328209024529-0.00139501452964305i</v>
      </c>
      <c r="AT349" s="64">
        <f t="shared" si="252"/>
        <v>-51.258660973259026</v>
      </c>
      <c r="AU349" s="61">
        <f t="shared" si="253"/>
        <v>-30.659262343335257</v>
      </c>
    </row>
    <row r="350" spans="14:47" x14ac:dyDescent="0.3">
      <c r="N350" s="10">
        <v>32</v>
      </c>
      <c r="O350" s="50">
        <f t="shared" si="221"/>
        <v>20892.961308540423</v>
      </c>
      <c r="P350" s="48" t="str">
        <f t="shared" si="222"/>
        <v>51201.9230769231</v>
      </c>
      <c r="Q350" s="17" t="str">
        <f t="shared" si="223"/>
        <v>1+6134.55123975043i</v>
      </c>
      <c r="R350" s="17">
        <f t="shared" si="231"/>
        <v>6134.5513212559836</v>
      </c>
      <c r="S350" s="17">
        <f t="shared" si="232"/>
        <v>1.5706333156874723</v>
      </c>
      <c r="T350" s="17" t="str">
        <f t="shared" si="224"/>
        <v>1+3.93823042551879E-07i</v>
      </c>
      <c r="U350" s="17">
        <f t="shared" si="233"/>
        <v>1.0000000000000775</v>
      </c>
      <c r="V350" s="17">
        <f t="shared" si="234"/>
        <v>3.9382304255185863E-7</v>
      </c>
      <c r="W350" s="31" t="str">
        <f t="shared" si="225"/>
        <v>1-0.212664442978015i</v>
      </c>
      <c r="X350" s="17">
        <f t="shared" si="235"/>
        <v>1.0223630300960365</v>
      </c>
      <c r="Y350" s="17">
        <f t="shared" si="236"/>
        <v>-0.20954272586787639</v>
      </c>
      <c r="Z350" s="31" t="str">
        <f t="shared" si="226"/>
        <v>0.825393667103932+12.9775510499482i</v>
      </c>
      <c r="AA350" s="17">
        <f t="shared" si="237"/>
        <v>13.003772758692259</v>
      </c>
      <c r="AB350" s="17">
        <f t="shared" si="238"/>
        <v>1.5072802285074898</v>
      </c>
      <c r="AC350" s="66" t="str">
        <f t="shared" si="239"/>
        <v>-0.649236182321417+0.0953770598385056i</v>
      </c>
      <c r="AD350" s="64">
        <f t="shared" si="240"/>
        <v>-3.6592153277105814</v>
      </c>
      <c r="AE350" s="61">
        <f t="shared" si="241"/>
        <v>171.64265295597778</v>
      </c>
      <c r="AF350" s="31" t="str">
        <f t="shared" si="227"/>
        <v>-1.33333333333333E-06</v>
      </c>
      <c r="AG350" s="31" t="str">
        <f t="shared" si="228"/>
        <v>0.13140562186481i</v>
      </c>
      <c r="AH350" s="31">
        <f t="shared" si="242"/>
        <v>0.13140562186481</v>
      </c>
      <c r="AI350" s="31">
        <f t="shared" si="243"/>
        <v>1.5707963267948966</v>
      </c>
      <c r="AJ350" s="31" t="str">
        <f t="shared" si="229"/>
        <v>1+0.424903981974055i</v>
      </c>
      <c r="AK350" s="31">
        <f t="shared" si="244"/>
        <v>1.0865281376464249</v>
      </c>
      <c r="AL350" s="31">
        <f t="shared" si="245"/>
        <v>0.40178931649738919</v>
      </c>
      <c r="AM350" s="31" t="str">
        <f t="shared" si="230"/>
        <v>1+425.328885956029i</v>
      </c>
      <c r="AN350" s="31">
        <f t="shared" si="246"/>
        <v>425.33006151528576</v>
      </c>
      <c r="AO350" s="31">
        <f t="shared" si="247"/>
        <v>1.5684452093645176</v>
      </c>
      <c r="AP350" s="58" t="str">
        <f t="shared" si="248"/>
        <v>-0.00365202411451234+0.00156190628783634i</v>
      </c>
      <c r="AQ350" s="49">
        <f t="shared" si="249"/>
        <v>-48.019802159685426</v>
      </c>
      <c r="AR350" s="61">
        <f t="shared" si="250"/>
        <v>156.84445880535318</v>
      </c>
      <c r="AS350" s="58" t="str">
        <f t="shared" si="251"/>
        <v>0.00222205616437464-0.00136236539796019i</v>
      </c>
      <c r="AT350" s="64">
        <f t="shared" si="252"/>
        <v>-51.679017487396017</v>
      </c>
      <c r="AU350" s="61">
        <f t="shared" si="253"/>
        <v>-31.512888238669007</v>
      </c>
    </row>
    <row r="351" spans="14:47" x14ac:dyDescent="0.3">
      <c r="N351" s="10">
        <v>33</v>
      </c>
      <c r="O351" s="50">
        <f t="shared" si="221"/>
        <v>21379.620895022348</v>
      </c>
      <c r="P351" s="48" t="str">
        <f t="shared" si="222"/>
        <v>51201.9230769231</v>
      </c>
      <c r="Q351" s="17" t="str">
        <f t="shared" si="223"/>
        <v>1+6277.44329442381i</v>
      </c>
      <c r="R351" s="17">
        <f t="shared" si="231"/>
        <v>6277.4433740740706</v>
      </c>
      <c r="S351" s="17">
        <f t="shared" si="232"/>
        <v>1.570637026273229</v>
      </c>
      <c r="T351" s="17" t="str">
        <f t="shared" si="224"/>
        <v>1+4.02996359642022E-07i</v>
      </c>
      <c r="U351" s="17">
        <f t="shared" si="233"/>
        <v>1.0000000000000813</v>
      </c>
      <c r="V351" s="17">
        <f t="shared" si="234"/>
        <v>4.0299635964200017E-7</v>
      </c>
      <c r="W351" s="31" t="str">
        <f t="shared" si="225"/>
        <v>1-0.217618034206692i</v>
      </c>
      <c r="X351" s="17">
        <f t="shared" si="235"/>
        <v>1.0234049095113746</v>
      </c>
      <c r="Y351" s="17">
        <f t="shared" si="236"/>
        <v>-0.21427717173849298</v>
      </c>
      <c r="Z351" s="31" t="str">
        <f t="shared" si="226"/>
        <v>0.817164724154049+13.2798370463777i</v>
      </c>
      <c r="AA351" s="17">
        <f t="shared" si="237"/>
        <v>13.304955098186065</v>
      </c>
      <c r="AB351" s="17">
        <f t="shared" si="238"/>
        <v>1.5093395732107031</v>
      </c>
      <c r="AC351" s="66" t="str">
        <f t="shared" si="239"/>
        <v>-0.620093375473137+0.0954062085005007i</v>
      </c>
      <c r="AD351" s="64">
        <f t="shared" si="240"/>
        <v>-4.0492489638397942</v>
      </c>
      <c r="AE351" s="61">
        <f t="shared" si="241"/>
        <v>171.25318535389053</v>
      </c>
      <c r="AF351" s="31" t="str">
        <f t="shared" si="227"/>
        <v>-1.33333333333333E-06</v>
      </c>
      <c r="AG351" s="31" t="str">
        <f t="shared" si="228"/>
        <v>0.134466452000555i</v>
      </c>
      <c r="AH351" s="31">
        <f t="shared" si="242"/>
        <v>0.13446645200055499</v>
      </c>
      <c r="AI351" s="31">
        <f t="shared" si="243"/>
        <v>1.5707963267948966</v>
      </c>
      <c r="AJ351" s="31" t="str">
        <f t="shared" si="229"/>
        <v>1+0.434801267146237i</v>
      </c>
      <c r="AK351" s="31">
        <f t="shared" si="244"/>
        <v>1.0904366748747831</v>
      </c>
      <c r="AL351" s="31">
        <f t="shared" si="245"/>
        <v>0.4101430325176712</v>
      </c>
      <c r="AM351" s="31" t="str">
        <f t="shared" si="230"/>
        <v>1+435.236068413384i</v>
      </c>
      <c r="AN351" s="31">
        <f t="shared" si="246"/>
        <v>435.23721721371652</v>
      </c>
      <c r="AO351" s="31">
        <f t="shared" si="247"/>
        <v>1.5684987271405526</v>
      </c>
      <c r="AP351" s="58" t="str">
        <f t="shared" si="248"/>
        <v>-0.00362589056507559+0.0015864575444687i</v>
      </c>
      <c r="AQ351" s="49">
        <f t="shared" si="249"/>
        <v>-48.050992682726523</v>
      </c>
      <c r="AR351" s="61">
        <f t="shared" si="250"/>
        <v>156.3688924768359</v>
      </c>
      <c r="AS351" s="58" t="str">
        <f t="shared" si="251"/>
        <v>0.00209703282032915-0.00132968428504602i</v>
      </c>
      <c r="AT351" s="64">
        <f t="shared" si="252"/>
        <v>-52.100241646566317</v>
      </c>
      <c r="AU351" s="61">
        <f t="shared" si="253"/>
        <v>-32.377922169273553</v>
      </c>
    </row>
    <row r="352" spans="14:47" x14ac:dyDescent="0.3">
      <c r="N352" s="10">
        <v>34</v>
      </c>
      <c r="O352" s="50">
        <f t="shared" si="221"/>
        <v>21877.61623949555</v>
      </c>
      <c r="P352" s="48" t="str">
        <f t="shared" si="222"/>
        <v>51201.9230769231</v>
      </c>
      <c r="Q352" s="17" t="str">
        <f t="shared" si="223"/>
        <v>1+6423.6637326237i</v>
      </c>
      <c r="R352" s="17">
        <f t="shared" si="231"/>
        <v>6423.6638104608992</v>
      </c>
      <c r="S352" s="17">
        <f t="shared" si="232"/>
        <v>1.5706406523957459</v>
      </c>
      <c r="T352" s="17" t="str">
        <f t="shared" si="224"/>
        <v>1+4.12383350736336E-07i</v>
      </c>
      <c r="U352" s="17">
        <f t="shared" si="233"/>
        <v>1.000000000000085</v>
      </c>
      <c r="V352" s="17">
        <f t="shared" si="234"/>
        <v>4.1238335073631258E-7</v>
      </c>
      <c r="W352" s="31" t="str">
        <f t="shared" si="225"/>
        <v>1-0.222687009397621i</v>
      </c>
      <c r="X352" s="17">
        <f t="shared" si="235"/>
        <v>1.0244947555524411</v>
      </c>
      <c r="Y352" s="17">
        <f t="shared" si="236"/>
        <v>-0.2191118170928881</v>
      </c>
      <c r="Z352" s="31" t="str">
        <f t="shared" si="226"/>
        <v>0.808547963070944+13.5891641881886i</v>
      </c>
      <c r="AA352" s="17">
        <f t="shared" si="237"/>
        <v>13.613197021351512</v>
      </c>
      <c r="AB352" s="17">
        <f t="shared" si="238"/>
        <v>1.5113669287291212</v>
      </c>
      <c r="AC352" s="66" t="str">
        <f t="shared" si="239"/>
        <v>-0.592247690073052+0.095288800290723i</v>
      </c>
      <c r="AD352" s="64">
        <f t="shared" si="240"/>
        <v>-4.4389384247384882</v>
      </c>
      <c r="AE352" s="61">
        <f t="shared" si="241"/>
        <v>170.8598144411821</v>
      </c>
      <c r="AF352" s="31" t="str">
        <f t="shared" si="227"/>
        <v>-1.33333333333333E-06</v>
      </c>
      <c r="AG352" s="31" t="str">
        <f t="shared" si="228"/>
        <v>0.137598578029024i</v>
      </c>
      <c r="AH352" s="31">
        <f t="shared" si="242"/>
        <v>0.137598578029024</v>
      </c>
      <c r="AI352" s="31">
        <f t="shared" si="243"/>
        <v>1.5707963267948966</v>
      </c>
      <c r="AJ352" s="31" t="str">
        <f t="shared" si="229"/>
        <v>1+0.444929089705537i</v>
      </c>
      <c r="AK352" s="31">
        <f t="shared" si="244"/>
        <v>1.0945144562161788</v>
      </c>
      <c r="AL352" s="31">
        <f t="shared" si="245"/>
        <v>0.41862896055156595</v>
      </c>
      <c r="AM352" s="31" t="str">
        <f t="shared" si="230"/>
        <v>1+445.374018795243i</v>
      </c>
      <c r="AN352" s="31">
        <f t="shared" si="246"/>
        <v>445.37514144575408</v>
      </c>
      <c r="AO352" s="31">
        <f t="shared" si="247"/>
        <v>1.5685510267159943</v>
      </c>
      <c r="AP352" s="58" t="str">
        <f t="shared" si="248"/>
        <v>-0.00359892327228247+0.00161095567807492i</v>
      </c>
      <c r="AQ352" s="49">
        <f t="shared" si="249"/>
        <v>-48.083414759896705</v>
      </c>
      <c r="AR352" s="61">
        <f t="shared" si="250"/>
        <v>155.88568116018504</v>
      </c>
      <c r="AS352" s="58" t="str">
        <f t="shared" si="251"/>
        <v>0.00197794796087416-0.0012970218601041i</v>
      </c>
      <c r="AT352" s="64">
        <f t="shared" si="252"/>
        <v>-52.522353184635179</v>
      </c>
      <c r="AU352" s="61">
        <f t="shared" si="253"/>
        <v>-33.254504398632832</v>
      </c>
    </row>
    <row r="353" spans="14:47" x14ac:dyDescent="0.3">
      <c r="N353" s="10">
        <v>35</v>
      </c>
      <c r="O353" s="50">
        <f t="shared" si="221"/>
        <v>22387.211385683382</v>
      </c>
      <c r="P353" s="48" t="str">
        <f t="shared" si="222"/>
        <v>51201.9230769231</v>
      </c>
      <c r="Q353" s="17" t="str">
        <f t="shared" si="223"/>
        <v>1+6573.29008236183i</v>
      </c>
      <c r="R353" s="17">
        <f t="shared" si="231"/>
        <v>6573.2901584272395</v>
      </c>
      <c r="S353" s="17">
        <f t="shared" si="232"/>
        <v>1.5706441959776414</v>
      </c>
      <c r="T353" s="17" t="str">
        <f t="shared" si="224"/>
        <v>1+4.21988992941747E-07i</v>
      </c>
      <c r="U353" s="17">
        <f t="shared" si="233"/>
        <v>1.000000000000089</v>
      </c>
      <c r="V353" s="17">
        <f t="shared" si="234"/>
        <v>4.2198899294172194E-7</v>
      </c>
      <c r="W353" s="31" t="str">
        <f t="shared" si="225"/>
        <v>1-0.227874056188543i</v>
      </c>
      <c r="X353" s="17">
        <f t="shared" si="235"/>
        <v>1.0256347232245111</v>
      </c>
      <c r="Y353" s="17">
        <f t="shared" si="236"/>
        <v>-0.22404832087828971</v>
      </c>
      <c r="Z353" s="31" t="str">
        <f t="shared" si="226"/>
        <v>0.799525106549092+13.9056964847259i</v>
      </c>
      <c r="AA353" s="17">
        <f t="shared" si="237"/>
        <v>13.928662359369637</v>
      </c>
      <c r="AB353" s="17">
        <f t="shared" si="238"/>
        <v>1.5133633299576983</v>
      </c>
      <c r="AC353" s="66" t="str">
        <f t="shared" si="239"/>
        <v>-0.565642013815471+0.0950377908461675i</v>
      </c>
      <c r="AD353" s="64">
        <f t="shared" si="240"/>
        <v>-4.8282645165391207</v>
      </c>
      <c r="AE353" s="61">
        <f t="shared" si="241"/>
        <v>170.46238576219173</v>
      </c>
      <c r="AF353" s="31" t="str">
        <f t="shared" si="227"/>
        <v>-1.33333333333333E-06</v>
      </c>
      <c r="AG353" s="31" t="str">
        <f t="shared" si="228"/>
        <v>0.140803660644897i</v>
      </c>
      <c r="AH353" s="31">
        <f t="shared" si="242"/>
        <v>0.14080366064489699</v>
      </c>
      <c r="AI353" s="31">
        <f t="shared" si="243"/>
        <v>1.5707963267948966</v>
      </c>
      <c r="AJ353" s="31" t="str">
        <f t="shared" si="229"/>
        <v>1+0.455292819557529i</v>
      </c>
      <c r="AK353" s="31">
        <f t="shared" si="244"/>
        <v>1.0987681973649603</v>
      </c>
      <c r="AL353" s="31">
        <f t="shared" si="245"/>
        <v>0.42724671026342237</v>
      </c>
      <c r="AM353" s="31" t="str">
        <f t="shared" si="230"/>
        <v>1+455.748112377087i</v>
      </c>
      <c r="AN353" s="31">
        <f t="shared" si="246"/>
        <v>455.74920947301479</v>
      </c>
      <c r="AO353" s="31">
        <f t="shared" si="247"/>
        <v>1.5686021358196252</v>
      </c>
      <c r="AP353" s="58" t="str">
        <f t="shared" si="248"/>
        <v>-0.00357111166498244+0.00163537094967905i</v>
      </c>
      <c r="AQ353" s="49">
        <f t="shared" si="249"/>
        <v>-48.117107319378093</v>
      </c>
      <c r="AR353" s="61">
        <f t="shared" si="250"/>
        <v>155.39484880872837</v>
      </c>
      <c r="AS353" s="58" t="str">
        <f t="shared" si="251"/>
        <v>0.00186454875146909-0.00126442508081669i</v>
      </c>
      <c r="AT353" s="64">
        <f t="shared" si="252"/>
        <v>-52.945371835917207</v>
      </c>
      <c r="AU353" s="61">
        <f t="shared" si="253"/>
        <v>-34.142765429079958</v>
      </c>
    </row>
    <row r="354" spans="14:47" x14ac:dyDescent="0.3">
      <c r="N354" s="10">
        <v>36</v>
      </c>
      <c r="O354" s="50">
        <f t="shared" si="221"/>
        <v>22908.676527677751</v>
      </c>
      <c r="P354" s="48" t="str">
        <f t="shared" si="222"/>
        <v>51201.9230769231</v>
      </c>
      <c r="Q354" s="17" t="str">
        <f t="shared" si="223"/>
        <v>1+6726.40167750949i</v>
      </c>
      <c r="R354" s="17">
        <f t="shared" si="231"/>
        <v>6726.4017518434375</v>
      </c>
      <c r="S354" s="17">
        <f t="shared" si="232"/>
        <v>1.5706476588977687</v>
      </c>
      <c r="T354" s="17" t="str">
        <f t="shared" si="224"/>
        <v>1+4.31818379296905E-07i</v>
      </c>
      <c r="U354" s="17">
        <f t="shared" si="233"/>
        <v>1.0000000000000933</v>
      </c>
      <c r="V354" s="17">
        <f t="shared" si="234"/>
        <v>4.3181837929687817E-7</v>
      </c>
      <c r="W354" s="31" t="str">
        <f t="shared" si="225"/>
        <v>1-0.233181924820329i</v>
      </c>
      <c r="X354" s="17">
        <f t="shared" si="235"/>
        <v>1.0268270594715128</v>
      </c>
      <c r="Y354" s="17">
        <f t="shared" si="236"/>
        <v>-0.22908833767477976</v>
      </c>
      <c r="Z354" s="31" t="str">
        <f t="shared" si="226"/>
        <v>0.790077015900089+14.2296017656033i</v>
      </c>
      <c r="AA354" s="17">
        <f t="shared" si="237"/>
        <v>14.251518799717948</v>
      </c>
      <c r="AB354" s="17">
        <f t="shared" si="238"/>
        <v>1.5153297979869267</v>
      </c>
      <c r="AC354" s="66" t="str">
        <f t="shared" si="239"/>
        <v>-0.540221694627726+0.0946652112364816i</v>
      </c>
      <c r="AD354" s="64">
        <f t="shared" si="240"/>
        <v>-5.2172075090112653</v>
      </c>
      <c r="AE354" s="61">
        <f t="shared" si="241"/>
        <v>170.06074590492992</v>
      </c>
      <c r="AF354" s="31" t="str">
        <f t="shared" si="227"/>
        <v>-1.33333333333333E-06</v>
      </c>
      <c r="AG354" s="31" t="str">
        <f t="shared" si="228"/>
        <v>0.1440833992254i</v>
      </c>
      <c r="AH354" s="31">
        <f t="shared" si="242"/>
        <v>0.14408339922540001</v>
      </c>
      <c r="AI354" s="31">
        <f t="shared" si="243"/>
        <v>1.5707963267948966</v>
      </c>
      <c r="AJ354" s="31" t="str">
        <f t="shared" si="229"/>
        <v>1+0.465897951688968i</v>
      </c>
      <c r="AK354" s="31">
        <f t="shared" si="244"/>
        <v>1.103204832018051</v>
      </c>
      <c r="AL354" s="31">
        <f t="shared" si="245"/>
        <v>0.43599572983941098</v>
      </c>
      <c r="AM354" s="31" t="str">
        <f t="shared" si="230"/>
        <v>1+466.363849640657i</v>
      </c>
      <c r="AN354" s="31">
        <f t="shared" si="246"/>
        <v>466.36492176369069</v>
      </c>
      <c r="AO354" s="31">
        <f t="shared" si="247"/>
        <v>1.5686520815490994</v>
      </c>
      <c r="AP354" s="58" t="str">
        <f t="shared" si="248"/>
        <v>-0.00354244634580303+0.00165967239623646i</v>
      </c>
      <c r="AQ354" s="49">
        <f t="shared" si="249"/>
        <v>-48.152109752819982</v>
      </c>
      <c r="AR354" s="61">
        <f t="shared" si="250"/>
        <v>154.89642859165056</v>
      </c>
      <c r="AS354" s="58" t="str">
        <f t="shared" si="251"/>
        <v>0.00175659313008443-0.00123193746604107i</v>
      </c>
      <c r="AT354" s="64">
        <f t="shared" si="252"/>
        <v>-53.369317261831227</v>
      </c>
      <c r="AU354" s="61">
        <f t="shared" si="253"/>
        <v>-35.042825503419564</v>
      </c>
    </row>
    <row r="355" spans="14:47" x14ac:dyDescent="0.3">
      <c r="N355" s="10">
        <v>37</v>
      </c>
      <c r="O355" s="50">
        <f t="shared" si="221"/>
        <v>23442.288153199243</v>
      </c>
      <c r="P355" s="48" t="str">
        <f t="shared" si="222"/>
        <v>51201.9230769231</v>
      </c>
      <c r="Q355" s="17" t="str">
        <f t="shared" si="223"/>
        <v>1+6883.07969986097i</v>
      </c>
      <c r="R355" s="17">
        <f t="shared" si="231"/>
        <v>6883.0797725028715</v>
      </c>
      <c r="S355" s="17">
        <f t="shared" si="232"/>
        <v>1.5706510429922138</v>
      </c>
      <c r="T355" s="17" t="str">
        <f t="shared" si="224"/>
        <v>1+4.41876721472556E-07i</v>
      </c>
      <c r="U355" s="17">
        <f t="shared" si="233"/>
        <v>1.0000000000000977</v>
      </c>
      <c r="V355" s="17">
        <f t="shared" si="234"/>
        <v>4.4187672147252723E-7</v>
      </c>
      <c r="W355" s="31" t="str">
        <f t="shared" si="225"/>
        <v>1-0.23861342959518i</v>
      </c>
      <c r="X355" s="17">
        <f t="shared" si="235"/>
        <v>1.02807410665923</v>
      </c>
      <c r="Y355" s="17">
        <f t="shared" si="236"/>
        <v>-0.2342335151049991</v>
      </c>
      <c r="Z355" s="31" t="str">
        <f t="shared" si="226"/>
        <v>0.780183650456948+14.5610517696877i</v>
      </c>
      <c r="AA355" s="17">
        <f t="shared" si="237"/>
        <v>14.581937977099122</v>
      </c>
      <c r="AB355" s="17">
        <f t="shared" si="238"/>
        <v>1.5172673404705352</v>
      </c>
      <c r="AC355" s="66" t="str">
        <f t="shared" si="239"/>
        <v>-0.515934439476417+0.0941822296959053i</v>
      </c>
      <c r="AD355" s="64">
        <f t="shared" si="240"/>
        <v>-5.6057471146320283</v>
      </c>
      <c r="AE355" s="61">
        <f t="shared" si="241"/>
        <v>169.65474262836565</v>
      </c>
      <c r="AF355" s="31" t="str">
        <f t="shared" si="227"/>
        <v>-1.33333333333333E-06</v>
      </c>
      <c r="AG355" s="31" t="str">
        <f t="shared" si="228"/>
        <v>0.147439532731342i</v>
      </c>
      <c r="AH355" s="31">
        <f t="shared" si="242"/>
        <v>0.147439532731342</v>
      </c>
      <c r="AI355" s="31">
        <f t="shared" si="243"/>
        <v>1.5707963267948966</v>
      </c>
      <c r="AJ355" s="31" t="str">
        <f t="shared" si="229"/>
        <v>1+0.476750109081279i</v>
      </c>
      <c r="AK355" s="31">
        <f t="shared" si="244"/>
        <v>1.1078315153979921</v>
      </c>
      <c r="AL355" s="31">
        <f t="shared" si="245"/>
        <v>0.44487529952541077</v>
      </c>
      <c r="AM355" s="31" t="str">
        <f t="shared" si="230"/>
        <v>1+477.226859190361i</v>
      </c>
      <c r="AN355" s="31">
        <f t="shared" si="246"/>
        <v>477.22790690894919</v>
      </c>
      <c r="AO355" s="31">
        <f t="shared" si="247"/>
        <v>1.5687008903853068</v>
      </c>
      <c r="AP355" s="58" t="str">
        <f t="shared" si="248"/>
        <v>-0.00351291919705147+0.00168382786567126i</v>
      </c>
      <c r="AQ355" s="49">
        <f t="shared" si="249"/>
        <v>-48.18846185844216</v>
      </c>
      <c r="AR355" s="61">
        <f t="shared" si="250"/>
        <v>154.39046326506809</v>
      </c>
      <c r="AS355" s="58" t="str">
        <f t="shared" si="251"/>
        <v>0.00165384933404368-0.00119959934876973i</v>
      </c>
      <c r="AT355" s="64">
        <f t="shared" si="252"/>
        <v>-53.794208973074184</v>
      </c>
      <c r="AU355" s="61">
        <f t="shared" si="253"/>
        <v>-35.954794106566226</v>
      </c>
    </row>
    <row r="356" spans="14:47" x14ac:dyDescent="0.3">
      <c r="N356" s="10">
        <v>38</v>
      </c>
      <c r="O356" s="50">
        <f t="shared" si="221"/>
        <v>23988.329190194923</v>
      </c>
      <c r="P356" s="48" t="str">
        <f t="shared" si="222"/>
        <v>51201.9230769231</v>
      </c>
      <c r="Q356" s="17" t="str">
        <f t="shared" si="223"/>
        <v>1+7043.40722217763i</v>
      </c>
      <c r="R356" s="17">
        <f t="shared" si="231"/>
        <v>7043.4072931660003</v>
      </c>
      <c r="S356" s="17">
        <f t="shared" si="232"/>
        <v>1.5706543500552681</v>
      </c>
      <c r="T356" s="17" t="str">
        <f t="shared" si="224"/>
        <v>1+4.5216935253486E-07i</v>
      </c>
      <c r="U356" s="17">
        <f t="shared" si="233"/>
        <v>1.0000000000001021</v>
      </c>
      <c r="V356" s="17">
        <f t="shared" si="234"/>
        <v>4.5216935253482919E-7</v>
      </c>
      <c r="W356" s="31" t="str">
        <f t="shared" si="225"/>
        <v>1-0.244171450368824i</v>
      </c>
      <c r="X356" s="17">
        <f t="shared" si="235"/>
        <v>1.0293783061514434</v>
      </c>
      <c r="Y356" s="17">
        <f t="shared" si="236"/>
        <v>-0.23948549106834657</v>
      </c>
      <c r="Z356" s="31" t="str">
        <f t="shared" si="226"/>
        <v>0.769824025065136+14.9002222361586i</v>
      </c>
      <c r="AA356" s="17">
        <f t="shared" si="237"/>
        <v>14.920095566600191</v>
      </c>
      <c r="AB356" s="17">
        <f t="shared" si="238"/>
        <v>1.5191769519971601</v>
      </c>
      <c r="AC356" s="66" t="str">
        <f t="shared" si="239"/>
        <v>-0.492730216910217+0.0935992093776744i</v>
      </c>
      <c r="AD356" s="64">
        <f t="shared" si="240"/>
        <v>-5.993862468128154</v>
      </c>
      <c r="AE356" s="61">
        <f t="shared" si="241"/>
        <v>169.24422499954528</v>
      </c>
      <c r="AF356" s="31" t="str">
        <f t="shared" si="227"/>
        <v>-1.33333333333333E-06</v>
      </c>
      <c r="AG356" s="31" t="str">
        <f t="shared" si="228"/>
        <v>0.150873840629132i</v>
      </c>
      <c r="AH356" s="31">
        <f t="shared" si="242"/>
        <v>0.15087384062913201</v>
      </c>
      <c r="AI356" s="31">
        <f t="shared" si="243"/>
        <v>1.5707963267948966</v>
      </c>
      <c r="AJ356" s="31" t="str">
        <f t="shared" si="229"/>
        <v>1+0.487855045691956i</v>
      </c>
      <c r="AK356" s="31">
        <f t="shared" si="244"/>
        <v>1.1126556275897321</v>
      </c>
      <c r="AL356" s="31">
        <f t="shared" si="245"/>
        <v>0.45388452537594698</v>
      </c>
      <c r="AM356" s="31" t="str">
        <f t="shared" si="230"/>
        <v>1+488.342900737649i</v>
      </c>
      <c r="AN356" s="31">
        <f t="shared" si="246"/>
        <v>488.34392460730112</v>
      </c>
      <c r="AO356" s="31">
        <f t="shared" si="247"/>
        <v>1.5687485882064076</v>
      </c>
      <c r="AP356" s="58" t="str">
        <f t="shared" si="248"/>
        <v>-0.00348252348756464+0.00170780406081057i</v>
      </c>
      <c r="AQ356" s="49">
        <f t="shared" si="249"/>
        <v>-48.226203779199956</v>
      </c>
      <c r="AR356" s="61">
        <f t="shared" si="250"/>
        <v>153.87700553099307</v>
      </c>
      <c r="AS356" s="58" t="str">
        <f t="shared" si="251"/>
        <v>0.0015560954435588-0.00116744811039857i</v>
      </c>
      <c r="AT356" s="64">
        <f t="shared" si="252"/>
        <v>-54.22006624732812</v>
      </c>
      <c r="AU356" s="61">
        <f t="shared" si="253"/>
        <v>-36.87876946946156</v>
      </c>
    </row>
    <row r="357" spans="14:47" x14ac:dyDescent="0.3">
      <c r="N357" s="10">
        <v>39</v>
      </c>
      <c r="O357" s="50">
        <f t="shared" si="221"/>
        <v>24547.089156850321</v>
      </c>
      <c r="P357" s="48" t="str">
        <f t="shared" si="222"/>
        <v>51201.9230769231</v>
      </c>
      <c r="Q357" s="17" t="str">
        <f t="shared" si="223"/>
        <v>1+7207.469252234i</v>
      </c>
      <c r="R357" s="17">
        <f t="shared" si="231"/>
        <v>7207.469321606477</v>
      </c>
      <c r="S357" s="17">
        <f t="shared" si="232"/>
        <v>1.5706575818403796</v>
      </c>
      <c r="T357" s="17" t="str">
        <f t="shared" si="224"/>
        <v>1+4.62701729773047E-07i</v>
      </c>
      <c r="U357" s="17">
        <f t="shared" si="233"/>
        <v>1.000000000000107</v>
      </c>
      <c r="V357" s="17">
        <f t="shared" si="234"/>
        <v>4.6270172977301397E-7</v>
      </c>
      <c r="W357" s="31" t="str">
        <f t="shared" si="225"/>
        <v>1-0.249858934077445i</v>
      </c>
      <c r="X357" s="17">
        <f t="shared" si="235"/>
        <v>1.0307422019779324</v>
      </c>
      <c r="Y357" s="17">
        <f t="shared" si="236"/>
        <v>-0.24484589079355687</v>
      </c>
      <c r="Z357" s="31" t="str">
        <f t="shared" si="226"/>
        <v>0.758976165570257+15.247292997687i</v>
      </c>
      <c r="AA357" s="17">
        <f t="shared" si="237"/>
        <v>15.266171379138212</v>
      </c>
      <c r="AB357" s="17">
        <f t="shared" si="238"/>
        <v>1.5210596144654445</v>
      </c>
      <c r="AC357" s="66" t="str">
        <f t="shared" si="239"/>
        <v>-0.470561163240502+0.092925762377894i</v>
      </c>
      <c r="AD357" s="64">
        <f t="shared" si="240"/>
        <v>-6.3815321065672386</v>
      </c>
      <c r="AE357" s="61">
        <f t="shared" si="241"/>
        <v>168.82904354092085</v>
      </c>
      <c r="AF357" s="31" t="str">
        <f t="shared" si="227"/>
        <v>-1.33333333333333E-06</v>
      </c>
      <c r="AG357" s="31" t="str">
        <f t="shared" si="228"/>
        <v>0.154388143834274i</v>
      </c>
      <c r="AH357" s="31">
        <f t="shared" si="242"/>
        <v>0.15438814383427399</v>
      </c>
      <c r="AI357" s="31">
        <f t="shared" si="243"/>
        <v>1.5707963267948966</v>
      </c>
      <c r="AJ357" s="31" t="str">
        <f t="shared" si="229"/>
        <v>1+0.499218649505385i</v>
      </c>
      <c r="AK357" s="31">
        <f t="shared" si="244"/>
        <v>1.1176847766763134</v>
      </c>
      <c r="AL357" s="31">
        <f t="shared" si="245"/>
        <v>0.46302233326277376</v>
      </c>
      <c r="AM357" s="31" t="str">
        <f t="shared" si="230"/>
        <v>1+499.717868154891i</v>
      </c>
      <c r="AN357" s="31">
        <f t="shared" si="246"/>
        <v>499.71886871847153</v>
      </c>
      <c r="AO357" s="31">
        <f t="shared" si="247"/>
        <v>1.5687952003015491</v>
      </c>
      <c r="AP357" s="58" t="str">
        <f t="shared" si="248"/>
        <v>-0.00345125397978038+0.00173156659263505i</v>
      </c>
      <c r="AQ357" s="49">
        <f t="shared" si="249"/>
        <v>-48.265375935984125</v>
      </c>
      <c r="AR357" s="61">
        <f t="shared" si="250"/>
        <v>153.35611838140261</v>
      </c>
      <c r="AS357" s="58" t="str">
        <f t="shared" si="251"/>
        <v>0.00146311894163516-0.00113551839728957i</v>
      </c>
      <c r="AT357" s="64">
        <f t="shared" si="252"/>
        <v>-54.646908042551388</v>
      </c>
      <c r="AU357" s="61">
        <f t="shared" si="253"/>
        <v>-37.814838077676491</v>
      </c>
    </row>
    <row r="358" spans="14:47" x14ac:dyDescent="0.3">
      <c r="N358" s="10">
        <v>40</v>
      </c>
      <c r="O358" s="50">
        <f t="shared" si="221"/>
        <v>25118.86431509586</v>
      </c>
      <c r="P358" s="48" t="str">
        <f t="shared" si="222"/>
        <v>51201.9230769231</v>
      </c>
      <c r="Q358" s="17" t="str">
        <f t="shared" si="223"/>
        <v>1+7375.35277789009i</v>
      </c>
      <c r="R358" s="17">
        <f t="shared" si="231"/>
        <v>7375.3528456834565</v>
      </c>
      <c r="S358" s="17">
        <f t="shared" si="232"/>
        <v>1.5706607400610837</v>
      </c>
      <c r="T358" s="17" t="str">
        <f t="shared" si="224"/>
        <v>1+4.73479437592945E-07i</v>
      </c>
      <c r="U358" s="17">
        <f t="shared" si="233"/>
        <v>1.0000000000001121</v>
      </c>
      <c r="V358" s="17">
        <f t="shared" si="234"/>
        <v>4.7347943759290961E-7</v>
      </c>
      <c r="W358" s="31" t="str">
        <f t="shared" si="225"/>
        <v>1-0.25567889630019i</v>
      </c>
      <c r="X358" s="17">
        <f t="shared" si="235"/>
        <v>1.0321684445928792</v>
      </c>
      <c r="Y358" s="17">
        <f t="shared" si="236"/>
        <v>-0.25031632370390156</v>
      </c>
      <c r="Z358" s="31" t="str">
        <f t="shared" si="226"/>
        <v>0.747617062207921+15.6024480757845i</v>
      </c>
      <c r="AA358" s="17">
        <f t="shared" si="237"/>
        <v>15.620349459255252</v>
      </c>
      <c r="AB358" s="17">
        <f t="shared" si="238"/>
        <v>1.5229162974621031</v>
      </c>
      <c r="AC358" s="66" t="str">
        <f t="shared" si="239"/>
        <v>-0.449381492259584+0.0921708002614251i</v>
      </c>
      <c r="AD358" s="64">
        <f t="shared" si="240"/>
        <v>-6.76873395008543</v>
      </c>
      <c r="AE358" s="61">
        <f t="shared" si="241"/>
        <v>168.40905038824647</v>
      </c>
      <c r="AF358" s="31" t="str">
        <f t="shared" si="227"/>
        <v>-1.33333333333333E-06</v>
      </c>
      <c r="AG358" s="31" t="str">
        <f t="shared" si="228"/>
        <v>0.157984305676846i</v>
      </c>
      <c r="AH358" s="31">
        <f t="shared" si="242"/>
        <v>0.15798430567684599</v>
      </c>
      <c r="AI358" s="31">
        <f t="shared" si="243"/>
        <v>1.5707963267948966</v>
      </c>
      <c r="AJ358" s="31" t="str">
        <f t="shared" si="229"/>
        <v>1+0.510846945654724i</v>
      </c>
      <c r="AK358" s="31">
        <f t="shared" si="244"/>
        <v>1.122926801659289</v>
      </c>
      <c r="AL358" s="31">
        <f t="shared" si="245"/>
        <v>0.47228746319386533</v>
      </c>
      <c r="AM358" s="31" t="str">
        <f t="shared" si="230"/>
        <v>1+511.35779260038i</v>
      </c>
      <c r="AN358" s="31">
        <f t="shared" si="246"/>
        <v>511.35877038839692</v>
      </c>
      <c r="AO358" s="31">
        <f t="shared" si="247"/>
        <v>1.5688407513842706</v>
      </c>
      <c r="AP358" s="58" t="str">
        <f t="shared" si="248"/>
        <v>-0.00341910703623032+0.00175508004321114i</v>
      </c>
      <c r="AQ358" s="49">
        <f t="shared" si="249"/>
        <v>-48.306018955864971</v>
      </c>
      <c r="AR358" s="61">
        <f t="shared" si="250"/>
        <v>152.82787542450285</v>
      </c>
      <c r="AS358" s="58" t="str">
        <f t="shared" si="251"/>
        <v>0.0013747162900308-0.00110384232056206i</v>
      </c>
      <c r="AT358" s="64">
        <f t="shared" si="252"/>
        <v>-55.074752905950376</v>
      </c>
      <c r="AU358" s="61">
        <f t="shared" si="253"/>
        <v>-38.76307418725078</v>
      </c>
    </row>
    <row r="359" spans="14:47" x14ac:dyDescent="0.3">
      <c r="N359" s="10">
        <v>41</v>
      </c>
      <c r="O359" s="50">
        <f t="shared" si="221"/>
        <v>25703.95782768865</v>
      </c>
      <c r="P359" s="48" t="str">
        <f t="shared" si="222"/>
        <v>51201.9230769231</v>
      </c>
      <c r="Q359" s="17" t="str">
        <f t="shared" si="223"/>
        <v>1+7547.14681321331i</v>
      </c>
      <c r="R359" s="17">
        <f t="shared" si="231"/>
        <v>7547.1468794635121</v>
      </c>
      <c r="S359" s="17">
        <f t="shared" si="232"/>
        <v>1.5706638263919104</v>
      </c>
      <c r="T359" s="17" t="str">
        <f t="shared" si="224"/>
        <v>1+4.84508190477891E-07i</v>
      </c>
      <c r="U359" s="17">
        <f t="shared" si="233"/>
        <v>1.0000000000001172</v>
      </c>
      <c r="V359" s="17">
        <f t="shared" si="234"/>
        <v>4.8450819047785304E-7</v>
      </c>
      <c r="W359" s="31" t="str">
        <f t="shared" si="225"/>
        <v>1-0.261634422858061i</v>
      </c>
      <c r="X359" s="17">
        <f t="shared" si="235"/>
        <v>1.0336597947217792</v>
      </c>
      <c r="Y359" s="17">
        <f t="shared" si="236"/>
        <v>-0.25589838008954802</v>
      </c>
      <c r="Z359" s="31" t="str">
        <f t="shared" si="226"/>
        <v>0.735722620796961+15.9658757783746i</v>
      </c>
      <c r="AA359" s="17">
        <f t="shared" si="237"/>
        <v>15.982818185327679</v>
      </c>
      <c r="AB359" s="17">
        <f t="shared" si="238"/>
        <v>1.5247479586425157</v>
      </c>
      <c r="AC359" s="66" t="str">
        <f t="shared" si="239"/>
        <v>-0.42914740839545+0.0913425813085827i</v>
      </c>
      <c r="AD359" s="64">
        <f t="shared" si="240"/>
        <v>-7.1554452833490254</v>
      </c>
      <c r="AE359" s="61">
        <f t="shared" si="241"/>
        <v>167.98409945937971</v>
      </c>
      <c r="AF359" s="31" t="str">
        <f t="shared" si="227"/>
        <v>-1.33333333333333E-06</v>
      </c>
      <c r="AG359" s="31" t="str">
        <f t="shared" si="228"/>
        <v>0.161664232889456i</v>
      </c>
      <c r="AH359" s="31">
        <f t="shared" si="242"/>
        <v>0.161664232889456</v>
      </c>
      <c r="AI359" s="31">
        <f t="shared" si="243"/>
        <v>1.5707963267948966</v>
      </c>
      <c r="AJ359" s="31" t="str">
        <f t="shared" si="229"/>
        <v>1+0.522746099616505i</v>
      </c>
      <c r="AK359" s="31">
        <f t="shared" si="244"/>
        <v>1.1283897751505323</v>
      </c>
      <c r="AL359" s="31">
        <f t="shared" si="245"/>
        <v>0.48167846399535952</v>
      </c>
      <c r="AM359" s="31" t="str">
        <f t="shared" si="230"/>
        <v>1+523.268845716122i</v>
      </c>
      <c r="AN359" s="31">
        <f t="shared" si="246"/>
        <v>523.26980124700742</v>
      </c>
      <c r="AO359" s="31">
        <f t="shared" si="247"/>
        <v>1.5688852656056027</v>
      </c>
      <c r="AP359" s="58" t="str">
        <f t="shared" si="248"/>
        <v>-0.00338608072458654+0.00177830803860564i</v>
      </c>
      <c r="AQ359" s="49">
        <f t="shared" si="249"/>
        <v>-48.348173595424988</v>
      </c>
      <c r="AR359" s="61">
        <f t="shared" si="250"/>
        <v>152.29236119018384</v>
      </c>
      <c r="AS359" s="58" t="str">
        <f t="shared" si="251"/>
        <v>0.00129069252096606-0.00107244963999938i</v>
      </c>
      <c r="AT359" s="64">
        <f t="shared" si="252"/>
        <v>-55.503618878773999</v>
      </c>
      <c r="AU359" s="61">
        <f t="shared" si="253"/>
        <v>-39.723539350436511</v>
      </c>
    </row>
    <row r="360" spans="14:47" x14ac:dyDescent="0.3">
      <c r="N360" s="10">
        <v>42</v>
      </c>
      <c r="O360" s="50">
        <f t="shared" si="221"/>
        <v>26302.679918953829</v>
      </c>
      <c r="P360" s="48" t="str">
        <f t="shared" si="222"/>
        <v>51201.9230769231</v>
      </c>
      <c r="Q360" s="17" t="str">
        <f t="shared" si="223"/>
        <v>1+7722.94244567519i</v>
      </c>
      <c r="R360" s="17">
        <f t="shared" si="231"/>
        <v>7722.9425104173533</v>
      </c>
      <c r="S360" s="17">
        <f t="shared" si="232"/>
        <v>1.5706668424692727</v>
      </c>
      <c r="T360" s="17" t="str">
        <f t="shared" si="224"/>
        <v>1+4.95793836018654E-07i</v>
      </c>
      <c r="U360" s="17">
        <f t="shared" si="233"/>
        <v>1.000000000000123</v>
      </c>
      <c r="V360" s="17">
        <f t="shared" si="234"/>
        <v>4.957938360186133E-7</v>
      </c>
      <c r="W360" s="31" t="str">
        <f t="shared" si="225"/>
        <v>1-0.267728671450073i</v>
      </c>
      <c r="X360" s="17">
        <f t="shared" si="235"/>
        <v>1.0352191272945168</v>
      </c>
      <c r="Y360" s="17">
        <f t="shared" si="236"/>
        <v>-0.26159362758208871</v>
      </c>
      <c r="Z360" s="31" t="str">
        <f t="shared" si="226"/>
        <v>0.723267611632425+16.3377687996357i</v>
      </c>
      <c r="AA360" s="17">
        <f t="shared" si="237"/>
        <v>16.353770372253191</v>
      </c>
      <c r="AB360" s="17">
        <f t="shared" si="238"/>
        <v>1.5265555441134546</v>
      </c>
      <c r="AC360" s="66" t="str">
        <f t="shared" si="239"/>
        <v>-0.409817023201762+0.0904487546885158i</v>
      </c>
      <c r="AD360" s="64">
        <f t="shared" si="240"/>
        <v>-7.5416427378523903</v>
      </c>
      <c r="AE360" s="61">
        <f t="shared" si="241"/>
        <v>167.55404663429704</v>
      </c>
      <c r="AF360" s="31" t="str">
        <f t="shared" si="227"/>
        <v>-1.33333333333333E-06</v>
      </c>
      <c r="AG360" s="31" t="str">
        <f t="shared" si="228"/>
        <v>0.165429876618225i</v>
      </c>
      <c r="AH360" s="31">
        <f t="shared" si="242"/>
        <v>0.165429876618225</v>
      </c>
      <c r="AI360" s="31">
        <f t="shared" si="243"/>
        <v>1.5707963267948966</v>
      </c>
      <c r="AJ360" s="31" t="str">
        <f t="shared" si="229"/>
        <v>1+0.534922420479666i</v>
      </c>
      <c r="AK360" s="31">
        <f t="shared" si="244"/>
        <v>1.1340820058231347</v>
      </c>
      <c r="AL360" s="31">
        <f t="shared" si="245"/>
        <v>0.49119368841040512</v>
      </c>
      <c r="AM360" s="31" t="str">
        <f t="shared" si="230"/>
        <v>1+535.457342900146i</v>
      </c>
      <c r="AN360" s="31">
        <f t="shared" si="246"/>
        <v>535.45827668053153</v>
      </c>
      <c r="AO360" s="31">
        <f t="shared" si="247"/>
        <v>1.5689287665668683</v>
      </c>
      <c r="AP360" s="58" t="str">
        <f t="shared" si="248"/>
        <v>-0.00335217492032666+0.00180121333200736i</v>
      </c>
      <c r="AQ360" s="49">
        <f t="shared" si="249"/>
        <v>-48.391880659270832</v>
      </c>
      <c r="AR360" s="61">
        <f t="shared" si="250"/>
        <v>151.74967141156716</v>
      </c>
      <c r="AS360" s="58" t="str">
        <f t="shared" si="251"/>
        <v>0.00121086084429146-0.0010413679329162i</v>
      </c>
      <c r="AT360" s="64">
        <f t="shared" si="252"/>
        <v>-55.933523397123224</v>
      </c>
      <c r="AU360" s="61">
        <f t="shared" si="253"/>
        <v>-40.696281954135642</v>
      </c>
    </row>
    <row r="361" spans="14:47" x14ac:dyDescent="0.3">
      <c r="N361" s="10">
        <v>43</v>
      </c>
      <c r="O361" s="50">
        <f t="shared" si="221"/>
        <v>26915.348039269167</v>
      </c>
      <c r="P361" s="48" t="str">
        <f t="shared" si="222"/>
        <v>51201.9230769231</v>
      </c>
      <c r="Q361" s="17" t="str">
        <f t="shared" si="223"/>
        <v>1+7902.83288444703i</v>
      </c>
      <c r="R361" s="17">
        <f t="shared" si="231"/>
        <v>7902.8329477154803</v>
      </c>
      <c r="S361" s="17">
        <f t="shared" si="232"/>
        <v>1.5706697898923347</v>
      </c>
      <c r="T361" s="17" t="str">
        <f t="shared" si="224"/>
        <v>1+5.07342358013883E-07i</v>
      </c>
      <c r="U361" s="17">
        <f t="shared" si="233"/>
        <v>1.0000000000001288</v>
      </c>
      <c r="V361" s="17">
        <f t="shared" si="234"/>
        <v>5.0734235801383948E-7</v>
      </c>
      <c r="W361" s="31" t="str">
        <f t="shared" si="225"/>
        <v>1-0.273964873327497i</v>
      </c>
      <c r="X361" s="17">
        <f t="shared" si="235"/>
        <v>1.0368494354617508</v>
      </c>
      <c r="Y361" s="17">
        <f t="shared" si="236"/>
        <v>-0.26740360742669017</v>
      </c>
      <c r="Z361" s="31" t="str">
        <f t="shared" si="226"/>
        <v>0.710225615970003+16.7183243221704i</v>
      </c>
      <c r="AA361" s="17">
        <f t="shared" si="237"/>
        <v>16.73340337668504</v>
      </c>
      <c r="AB361" s="17">
        <f t="shared" si="238"/>
        <v>1.5283399888175859</v>
      </c>
      <c r="AC361" s="66" t="str">
        <f t="shared" si="239"/>
        <v>-0.391350275081899+0.0894964017527979i</v>
      </c>
      <c r="AD361" s="64">
        <f t="shared" si="240"/>
        <v>-7.927302275164374</v>
      </c>
      <c r="AE361" s="61">
        <f t="shared" si="241"/>
        <v>167.11874994660377</v>
      </c>
      <c r="AF361" s="31" t="str">
        <f t="shared" si="227"/>
        <v>-1.33333333333333E-06</v>
      </c>
      <c r="AG361" s="31" t="str">
        <f t="shared" si="228"/>
        <v>0.169283233457299i</v>
      </c>
      <c r="AH361" s="31">
        <f t="shared" si="242"/>
        <v>0.16928323345729901</v>
      </c>
      <c r="AI361" s="31">
        <f t="shared" si="243"/>
        <v>1.5707963267948966</v>
      </c>
      <c r="AJ361" s="31" t="str">
        <f t="shared" si="229"/>
        <v>1+0.547382364290702i</v>
      </c>
      <c r="AK361" s="31">
        <f t="shared" si="244"/>
        <v>1.140012040610308</v>
      </c>
      <c r="AL361" s="31">
        <f t="shared" si="245"/>
        <v>0.50083128866979387</v>
      </c>
      <c r="AM361" s="31" t="str">
        <f t="shared" si="230"/>
        <v>1+547.929746654994i</v>
      </c>
      <c r="AN361" s="31">
        <f t="shared" si="246"/>
        <v>547.93065917997853</v>
      </c>
      <c r="AO361" s="31">
        <f t="shared" si="247"/>
        <v>1.5689712773321944</v>
      </c>
      <c r="AP361" s="58" t="str">
        <f t="shared" si="248"/>
        <v>-0.00331739140602455+0.00182375789719377i</v>
      </c>
      <c r="AQ361" s="49">
        <f t="shared" si="249"/>
        <v>-48.437180913855769</v>
      </c>
      <c r="AR361" s="61">
        <f t="shared" si="250"/>
        <v>151.19991327950711</v>
      </c>
      <c r="AS361" s="58" t="str">
        <f t="shared" si="251"/>
        <v>0.00113504226983494-0.00101062274879442i</v>
      </c>
      <c r="AT361" s="64">
        <f t="shared" si="252"/>
        <v>-56.364483189020163</v>
      </c>
      <c r="AU361" s="61">
        <f t="shared" si="253"/>
        <v>-41.681336773889214</v>
      </c>
    </row>
    <row r="362" spans="14:47" x14ac:dyDescent="0.3">
      <c r="N362" s="10">
        <v>44</v>
      </c>
      <c r="O362" s="50">
        <f t="shared" si="221"/>
        <v>27542.287033381719</v>
      </c>
      <c r="P362" s="48" t="str">
        <f t="shared" si="222"/>
        <v>51201.9230769231</v>
      </c>
      <c r="Q362" s="17" t="str">
        <f t="shared" si="223"/>
        <v>1+8086.91350982056i</v>
      </c>
      <c r="R362" s="17">
        <f t="shared" si="231"/>
        <v>8086.9135716488454</v>
      </c>
      <c r="S362" s="17">
        <f t="shared" si="232"/>
        <v>1.5706726702238589</v>
      </c>
      <c r="T362" s="17" t="str">
        <f t="shared" si="224"/>
        <v>1+5.19159879642802E-07i</v>
      </c>
      <c r="U362" s="17">
        <f t="shared" si="233"/>
        <v>1.0000000000001348</v>
      </c>
      <c r="V362" s="17">
        <f t="shared" si="234"/>
        <v>5.1915987964275526E-7</v>
      </c>
      <c r="W362" s="31" t="str">
        <f t="shared" si="225"/>
        <v>1-0.280346335007112i</v>
      </c>
      <c r="X362" s="17">
        <f t="shared" si="235"/>
        <v>1.0385538346912595</v>
      </c>
      <c r="Y362" s="17">
        <f t="shared" si="236"/>
        <v>-0.27332983054800153</v>
      </c>
      <c r="Z362" s="31" t="str">
        <f t="shared" si="226"/>
        <v>0.696568969988324+17.1077441215539i</v>
      </c>
      <c r="AA362" s="17">
        <f t="shared" si="237"/>
        <v>17.121919204882161</v>
      </c>
      <c r="AB362" s="17">
        <f t="shared" si="238"/>
        <v>1.5301022169194261</v>
      </c>
      <c r="AC362" s="66" t="str">
        <f t="shared" si="239"/>
        <v>-0.373708852146292+0.088492074631185i</v>
      </c>
      <c r="AD362" s="64">
        <f t="shared" si="240"/>
        <v>-8.3123991712431771</v>
      </c>
      <c r="AE362" s="61">
        <f t="shared" si="241"/>
        <v>166.67806978677925</v>
      </c>
      <c r="AF362" s="31" t="str">
        <f t="shared" si="227"/>
        <v>-1.33333333333333E-06</v>
      </c>
      <c r="AG362" s="31" t="str">
        <f t="shared" si="228"/>
        <v>0.173226346507481i</v>
      </c>
      <c r="AH362" s="31">
        <f t="shared" si="242"/>
        <v>0.173226346507481</v>
      </c>
      <c r="AI362" s="31">
        <f t="shared" si="243"/>
        <v>1.5707963267948966</v>
      </c>
      <c r="AJ362" s="31" t="str">
        <f t="shared" si="229"/>
        <v>1+0.560132537476748i</v>
      </c>
      <c r="AK362" s="31">
        <f t="shared" si="244"/>
        <v>1.146188666642687</v>
      </c>
      <c r="AL362" s="31">
        <f t="shared" si="245"/>
        <v>0.51058921258980627</v>
      </c>
      <c r="AM362" s="31" t="str">
        <f t="shared" si="230"/>
        <v>1+560.692670014225i</v>
      </c>
      <c r="AN362" s="31">
        <f t="shared" si="246"/>
        <v>560.69356176763847</v>
      </c>
      <c r="AO362" s="31">
        <f t="shared" si="247"/>
        <v>1.5690128204407363</v>
      </c>
      <c r="AP362" s="58" t="str">
        <f t="shared" si="248"/>
        <v>-0.0032817339662196+0.00184590303238298i</v>
      </c>
      <c r="AQ362" s="49">
        <f t="shared" si="249"/>
        <v>-48.48411499679608</v>
      </c>
      <c r="AR362" s="61">
        <f t="shared" si="250"/>
        <v>150.64320566686786</v>
      </c>
      <c r="AS362" s="58" t="str">
        <f t="shared" si="251"/>
        <v>0.00106306524466186-0.000980237750463603i</v>
      </c>
      <c r="AT362" s="64">
        <f t="shared" si="252"/>
        <v>-56.796514168039266</v>
      </c>
      <c r="AU362" s="61">
        <f t="shared" si="253"/>
        <v>-42.678724546352903</v>
      </c>
    </row>
    <row r="363" spans="14:47" x14ac:dyDescent="0.3">
      <c r="N363" s="10">
        <v>45</v>
      </c>
      <c r="O363" s="50">
        <f t="shared" si="221"/>
        <v>28183.829312644593</v>
      </c>
      <c r="P363" s="48" t="str">
        <f t="shared" si="222"/>
        <v>51201.9230769231</v>
      </c>
      <c r="Q363" s="17" t="str">
        <f t="shared" si="223"/>
        <v>1+8275.28192377993i</v>
      </c>
      <c r="R363" s="17">
        <f t="shared" si="231"/>
        <v>8275.2819842008321</v>
      </c>
      <c r="S363" s="17">
        <f t="shared" si="232"/>
        <v>1.5706754849910352</v>
      </c>
      <c r="T363" s="17" t="str">
        <f t="shared" si="224"/>
        <v>1+5.31252666711798E-07i</v>
      </c>
      <c r="U363" s="17">
        <f t="shared" si="233"/>
        <v>1.0000000000001412</v>
      </c>
      <c r="V363" s="17">
        <f t="shared" si="234"/>
        <v>5.3125266671174805E-7</v>
      </c>
      <c r="W363" s="31" t="str">
        <f t="shared" si="225"/>
        <v>1-0.286876440024371i</v>
      </c>
      <c r="X363" s="17">
        <f t="shared" si="235"/>
        <v>1.0403355669403294</v>
      </c>
      <c r="Y363" s="17">
        <f t="shared" si="236"/>
        <v>-0.27937377340663705</v>
      </c>
      <c r="Z363" s="31" t="str">
        <f t="shared" si="226"/>
        <v>0.682268706110285+17.5062346733184i</v>
      </c>
      <c r="AA363" s="17">
        <f t="shared" si="237"/>
        <v>17.519524623249136</v>
      </c>
      <c r="AB363" s="17">
        <f t="shared" si="238"/>
        <v>1.5318431421924616</v>
      </c>
      <c r="AC363" s="66" t="str">
        <f t="shared" si="239"/>
        <v>-0.356856118102995+0.0874418323004752i</v>
      </c>
      <c r="AD363" s="64">
        <f t="shared" si="240"/>
        <v>-8.696908001950046</v>
      </c>
      <c r="AE363" s="61">
        <f t="shared" si="241"/>
        <v>166.23186911735468</v>
      </c>
      <c r="AF363" s="31" t="str">
        <f t="shared" si="227"/>
        <v>-1.33333333333333E-06</v>
      </c>
      <c r="AG363" s="31" t="str">
        <f t="shared" si="228"/>
        <v>0.177261306459503i</v>
      </c>
      <c r="AH363" s="31">
        <f t="shared" si="242"/>
        <v>0.177261306459503</v>
      </c>
      <c r="AI363" s="31">
        <f t="shared" si="243"/>
        <v>1.5707963267948966</v>
      </c>
      <c r="AJ363" s="31" t="str">
        <f t="shared" si="229"/>
        <v>1+0.573179700348393i</v>
      </c>
      <c r="AK363" s="31">
        <f t="shared" si="244"/>
        <v>1.1526209129160696</v>
      </c>
      <c r="AL363" s="31">
        <f t="shared" si="245"/>
        <v>0.52046520025258813</v>
      </c>
      <c r="AM363" s="31" t="str">
        <f t="shared" si="230"/>
        <v>1+573.752880048742i</v>
      </c>
      <c r="AN363" s="31">
        <f t="shared" si="246"/>
        <v>573.75375150340074</v>
      </c>
      <c r="AO363" s="31">
        <f t="shared" si="247"/>
        <v>1.5690534179186262</v>
      </c>
      <c r="AP363" s="58" t="str">
        <f t="shared" si="248"/>
        <v>-0.00324520847677722+0.00186760947440468i</v>
      </c>
      <c r="AQ363" s="49">
        <f t="shared" si="249"/>
        <v>-48.532723321908051</v>
      </c>
      <c r="AR363" s="61">
        <f t="shared" si="250"/>
        <v>150.07967931940925</v>
      </c>
      <c r="AS363" s="58" t="str">
        <f t="shared" si="251"/>
        <v>0.000994765304993979-0.000950234842574863i</v>
      </c>
      <c r="AT363" s="64">
        <f t="shared" si="252"/>
        <v>-57.229631323858101</v>
      </c>
      <c r="AU363" s="61">
        <f t="shared" si="253"/>
        <v>-43.688451563236093</v>
      </c>
    </row>
    <row r="364" spans="14:47" x14ac:dyDescent="0.3">
      <c r="N364" s="10">
        <v>46</v>
      </c>
      <c r="O364" s="50">
        <f t="shared" si="221"/>
        <v>28840.315031266062</v>
      </c>
      <c r="P364" s="48" t="str">
        <f t="shared" si="222"/>
        <v>51201.9230769231</v>
      </c>
      <c r="Q364" s="17" t="str">
        <f t="shared" si="223"/>
        <v>1+8468.03800175156i</v>
      </c>
      <c r="R364" s="17">
        <f t="shared" si="231"/>
        <v>8468.0380607971147</v>
      </c>
      <c r="S364" s="17">
        <f t="shared" si="232"/>
        <v>1.5706782356862898</v>
      </c>
      <c r="T364" s="17" t="str">
        <f t="shared" si="224"/>
        <v>1+5.43627130976644E-07i</v>
      </c>
      <c r="U364" s="17">
        <f t="shared" si="233"/>
        <v>1.0000000000001479</v>
      </c>
      <c r="V364" s="17">
        <f t="shared" si="234"/>
        <v>5.4362713097659047E-7</v>
      </c>
      <c r="W364" s="31" t="str">
        <f t="shared" si="225"/>
        <v>1-0.293558650727387i</v>
      </c>
      <c r="X364" s="17">
        <f t="shared" si="235"/>
        <v>1.0421980048996851</v>
      </c>
      <c r="Y364" s="17">
        <f t="shared" si="236"/>
        <v>-0.28553687364385233</v>
      </c>
      <c r="Z364" s="31" t="str">
        <f t="shared" si="226"/>
        <v>0.667294491558933+17.914007262429i</v>
      </c>
      <c r="AA364" s="17">
        <f t="shared" si="237"/>
        <v>17.926431271639757</v>
      </c>
      <c r="AB364" s="17">
        <f t="shared" si="238"/>
        <v>1.5335636684071725</v>
      </c>
      <c r="AC364" s="66" t="str">
        <f t="shared" si="239"/>
        <v>-0.34075704108258+0.0863512742870361i</v>
      </c>
      <c r="AD364" s="64">
        <f t="shared" si="240"/>
        <v>-9.0808026298988107</v>
      </c>
      <c r="AE364" s="61">
        <f t="shared" si="241"/>
        <v>165.78001370017734</v>
      </c>
      <c r="AF364" s="31" t="str">
        <f t="shared" si="227"/>
        <v>-1.33333333333333E-06</v>
      </c>
      <c r="AG364" s="31" t="str">
        <f t="shared" si="228"/>
        <v>0.18139025270254i</v>
      </c>
      <c r="AH364" s="31">
        <f t="shared" si="242"/>
        <v>0.18139025270254</v>
      </c>
      <c r="AI364" s="31">
        <f t="shared" si="243"/>
        <v>1.5707963267948966</v>
      </c>
      <c r="AJ364" s="31" t="str">
        <f t="shared" si="229"/>
        <v>1+0.58653077068409i</v>
      </c>
      <c r="AK364" s="31">
        <f t="shared" si="244"/>
        <v>1.1593180516835198</v>
      </c>
      <c r="AL364" s="31">
        <f t="shared" si="245"/>
        <v>0.53045678132373075</v>
      </c>
      <c r="AM364" s="31" t="str">
        <f t="shared" si="230"/>
        <v>1+587.117301454775i</v>
      </c>
      <c r="AN364" s="31">
        <f t="shared" si="246"/>
        <v>587.11815307273298</v>
      </c>
      <c r="AO364" s="31">
        <f t="shared" si="247"/>
        <v>1.5690930912906487</v>
      </c>
      <c r="AP364" s="58" t="str">
        <f t="shared" si="248"/>
        <v>-0.00320782298761867+0.00188883752300582i</v>
      </c>
      <c r="AQ364" s="49">
        <f t="shared" si="249"/>
        <v>-48.583045980250439</v>
      </c>
      <c r="AR364" s="61">
        <f t="shared" si="250"/>
        <v>149.50947701014582</v>
      </c>
      <c r="AS364" s="58" t="str">
        <f t="shared" si="251"/>
        <v>0.000929984742544898-0.000920634288093332i</v>
      </c>
      <c r="AT364" s="64">
        <f t="shared" si="252"/>
        <v>-57.663848610149259</v>
      </c>
      <c r="AU364" s="61">
        <f t="shared" si="253"/>
        <v>-44.710509289676871</v>
      </c>
    </row>
    <row r="365" spans="14:47" x14ac:dyDescent="0.3">
      <c r="N365" s="10">
        <v>47</v>
      </c>
      <c r="O365" s="50">
        <f t="shared" si="221"/>
        <v>29512.092266663854</v>
      </c>
      <c r="P365" s="48" t="str">
        <f t="shared" si="222"/>
        <v>51201.9230769231</v>
      </c>
      <c r="Q365" s="17" t="str">
        <f t="shared" si="223"/>
        <v>1+8665.28394555953i</v>
      </c>
      <c r="R365" s="17">
        <f t="shared" si="231"/>
        <v>8665.2840032610438</v>
      </c>
      <c r="S365" s="17">
        <f t="shared" si="232"/>
        <v>1.5706809237680779</v>
      </c>
      <c r="T365" s="17" t="str">
        <f t="shared" si="224"/>
        <v>1+5.56289833542094E-07i</v>
      </c>
      <c r="U365" s="17">
        <f t="shared" si="233"/>
        <v>1.0000000000001548</v>
      </c>
      <c r="V365" s="17">
        <f t="shared" si="234"/>
        <v>5.5628983354203665E-7</v>
      </c>
      <c r="W365" s="31" t="str">
        <f t="shared" si="225"/>
        <v>1-0.30039651011273i</v>
      </c>
      <c r="X365" s="17">
        <f t="shared" si="235"/>
        <v>1.0441446563038608</v>
      </c>
      <c r="Y365" s="17">
        <f t="shared" si="236"/>
        <v>-0.29182052551303567</v>
      </c>
      <c r="Z365" s="31" t="str">
        <f t="shared" si="226"/>
        <v>0.651614564017566+18.3312780953102i</v>
      </c>
      <c r="AA365" s="17">
        <f t="shared" si="237"/>
        <v>18.342855779502802</v>
      </c>
      <c r="AB365" s="17">
        <f t="shared" si="238"/>
        <v>1.5352646897197284</v>
      </c>
      <c r="AC365" s="66" t="str">
        <f t="shared" si="239"/>
        <v>-0.325378125299671+0.0852255721538064i</v>
      </c>
      <c r="AD365" s="64">
        <f t="shared" si="240"/>
        <v>-9.4640561927877513</v>
      </c>
      <c r="AE365" s="61">
        <f t="shared" si="241"/>
        <v>165.32237233585039</v>
      </c>
      <c r="AF365" s="31" t="str">
        <f t="shared" si="227"/>
        <v>-1.33333333333333E-06</v>
      </c>
      <c r="AG365" s="31" t="str">
        <f t="shared" si="228"/>
        <v>0.185615374458545i</v>
      </c>
      <c r="AH365" s="31">
        <f t="shared" si="242"/>
        <v>0.18561537445854501</v>
      </c>
      <c r="AI365" s="31">
        <f t="shared" si="243"/>
        <v>1.5707963267948966</v>
      </c>
      <c r="AJ365" s="31" t="str">
        <f t="shared" si="229"/>
        <v>1+0.600192827398062i</v>
      </c>
      <c r="AK365" s="31">
        <f t="shared" si="244"/>
        <v>1.166289599567826</v>
      </c>
      <c r="AL365" s="31">
        <f t="shared" si="245"/>
        <v>0.54056127306041002</v>
      </c>
      <c r="AM365" s="31" t="str">
        <f t="shared" si="230"/>
        <v>1+600.79302022546i</v>
      </c>
      <c r="AN365" s="31">
        <f t="shared" si="246"/>
        <v>600.79385245825381</v>
      </c>
      <c r="AO365" s="31">
        <f t="shared" si="247"/>
        <v>1.5691318615916505</v>
      </c>
      <c r="AP365" s="58" t="str">
        <f t="shared" si="248"/>
        <v>-0.0031695877976817+0.00190954717498229i</v>
      </c>
      <c r="AQ365" s="49">
        <f t="shared" si="249"/>
        <v>-48.635122637503898</v>
      </c>
      <c r="AR365" s="61">
        <f t="shared" si="250"/>
        <v>148.9327536541272</v>
      </c>
      <c r="AS365" s="58" t="str">
        <f t="shared" si="251"/>
        <v>0.000868572285039834-0.000891454813516166i</v>
      </c>
      <c r="AT365" s="64">
        <f t="shared" si="252"/>
        <v>-58.099178830291649</v>
      </c>
      <c r="AU365" s="61">
        <f t="shared" si="253"/>
        <v>-45.7448740100224</v>
      </c>
    </row>
    <row r="366" spans="14:47" x14ac:dyDescent="0.3">
      <c r="N366" s="10">
        <v>48</v>
      </c>
      <c r="O366" s="50">
        <f t="shared" si="221"/>
        <v>30199.517204020212</v>
      </c>
      <c r="P366" s="48" t="str">
        <f t="shared" si="222"/>
        <v>51201.9230769231</v>
      </c>
      <c r="Q366" s="17" t="str">
        <f t="shared" si="223"/>
        <v>1+8867.12433761399i</v>
      </c>
      <c r="R366" s="17">
        <f t="shared" si="231"/>
        <v>8867.1243940020559</v>
      </c>
      <c r="S366" s="17">
        <f t="shared" si="232"/>
        <v>1.5706835506616559</v>
      </c>
      <c r="T366" s="17" t="str">
        <f t="shared" si="224"/>
        <v>1+5.69247488340652E-07i</v>
      </c>
      <c r="U366" s="17">
        <f t="shared" si="233"/>
        <v>1.0000000000001621</v>
      </c>
      <c r="V366" s="17">
        <f t="shared" si="234"/>
        <v>5.6924748834059045E-7</v>
      </c>
      <c r="W366" s="31" t="str">
        <f t="shared" si="225"/>
        <v>1-0.307393643703952i</v>
      </c>
      <c r="X366" s="17">
        <f t="shared" si="235"/>
        <v>1.0461791683022523</v>
      </c>
      <c r="Y366" s="17">
        <f t="shared" si="236"/>
        <v>-0.29822607509761351</v>
      </c>
      <c r="Z366" s="31" t="str">
        <f t="shared" si="226"/>
        <v>0.635195664257634+18.7582684144806i</v>
      </c>
      <c r="AA366" s="17">
        <f t="shared" si="237"/>
        <v>18.769019884948502</v>
      </c>
      <c r="AB366" s="17">
        <f t="shared" si="238"/>
        <v>1.5369470910611476</v>
      </c>
      <c r="AC366" s="66" t="str">
        <f t="shared" si="239"/>
        <v>-0.310687345454953+0.0840694989132899i</v>
      </c>
      <c r="AD366" s="64">
        <f t="shared" si="240"/>
        <v>-9.8466410933680635</v>
      </c>
      <c r="AE366" s="61">
        <f t="shared" si="241"/>
        <v>164.85881711538562</v>
      </c>
      <c r="AF366" s="31" t="str">
        <f t="shared" si="227"/>
        <v>-1.33333333333333E-06</v>
      </c>
      <c r="AG366" s="31" t="str">
        <f t="shared" si="228"/>
        <v>0.189938911942997i</v>
      </c>
      <c r="AH366" s="31">
        <f t="shared" si="242"/>
        <v>0.189938911942997</v>
      </c>
      <c r="AI366" s="31">
        <f t="shared" si="243"/>
        <v>1.5707963267948966</v>
      </c>
      <c r="AJ366" s="31" t="str">
        <f t="shared" si="229"/>
        <v>1+0.614173114293609i</v>
      </c>
      <c r="AK366" s="31">
        <f t="shared" si="244"/>
        <v>1.1735453183925666</v>
      </c>
      <c r="AL366" s="31">
        <f t="shared" si="245"/>
        <v>0.55077577906140374</v>
      </c>
      <c r="AM366" s="31" t="str">
        <f t="shared" si="230"/>
        <v>1+614.787287407903i</v>
      </c>
      <c r="AN366" s="31">
        <f t="shared" si="246"/>
        <v>614.78810069679093</v>
      </c>
      <c r="AO366" s="31">
        <f t="shared" si="247"/>
        <v>1.5691697493776926</v>
      </c>
      <c r="AP366" s="58" t="str">
        <f t="shared" si="248"/>
        <v>-0.00313051552096691+0.00192969826769529i</v>
      </c>
      <c r="AQ366" s="49">
        <f t="shared" si="249"/>
        <v>-48.688992428075657</v>
      </c>
      <c r="AR366" s="61">
        <f t="shared" si="250"/>
        <v>148.34967638069458</v>
      </c>
      <c r="AS366" s="58" t="str">
        <f t="shared" si="251"/>
        <v>0.000810382790695752-0.000862713703507236i</v>
      </c>
      <c r="AT366" s="64">
        <f t="shared" si="252"/>
        <v>-58.535633521443728</v>
      </c>
      <c r="AU366" s="61">
        <f t="shared" si="253"/>
        <v>-46.791506503919805</v>
      </c>
    </row>
    <row r="367" spans="14:47" x14ac:dyDescent="0.3">
      <c r="N367" s="10">
        <v>49</v>
      </c>
      <c r="O367" s="50">
        <f t="shared" si="221"/>
        <v>30902.954325135954</v>
      </c>
      <c r="P367" s="48" t="str">
        <f t="shared" si="222"/>
        <v>51201.9230769231</v>
      </c>
      <c r="Q367" s="17" t="str">
        <f t="shared" si="223"/>
        <v>1+9073.66619636251i</v>
      </c>
      <c r="R367" s="17">
        <f t="shared" si="231"/>
        <v>9073.6662514670261</v>
      </c>
      <c r="S367" s="17">
        <f t="shared" si="232"/>
        <v>1.5706861177598372</v>
      </c>
      <c r="T367" s="17" t="str">
        <f t="shared" si="224"/>
        <v>1+5.82506965692409E-07i</v>
      </c>
      <c r="U367" s="17">
        <f t="shared" si="233"/>
        <v>1.0000000000001696</v>
      </c>
      <c r="V367" s="17">
        <f t="shared" si="234"/>
        <v>5.8250696569234313E-7</v>
      </c>
      <c r="W367" s="31" t="str">
        <f t="shared" si="225"/>
        <v>1-0.3145537614739i</v>
      </c>
      <c r="X367" s="17">
        <f t="shared" si="235"/>
        <v>1.048305331884456</v>
      </c>
      <c r="Y367" s="17">
        <f t="shared" si="236"/>
        <v>-0.30475481531627863</v>
      </c>
      <c r="Z367" s="31" t="str">
        <f t="shared" si="226"/>
        <v>0.618002965591424+19.1952046158594i</v>
      </c>
      <c r="AA367" s="17">
        <f t="shared" si="237"/>
        <v>19.205150556821724</v>
      </c>
      <c r="AB367" s="17">
        <f t="shared" si="238"/>
        <v>1.5386117485267496</v>
      </c>
      <c r="AC367" s="66" t="str">
        <f t="shared" si="239"/>
        <v>-0.296654083783045+0.0828874564993809i</v>
      </c>
      <c r="AD367" s="64">
        <f t="shared" si="240"/>
        <v>-10.228528991214144</v>
      </c>
      <c r="AE367" s="61">
        <f t="shared" si="241"/>
        <v>164.38922368402544</v>
      </c>
      <c r="AF367" s="31" t="str">
        <f t="shared" si="227"/>
        <v>-1.33333333333333E-06</v>
      </c>
      <c r="AG367" s="31" t="str">
        <f t="shared" si="228"/>
        <v>0.1943631575527i</v>
      </c>
      <c r="AH367" s="31">
        <f t="shared" si="242"/>
        <v>0.19436315755270001</v>
      </c>
      <c r="AI367" s="31">
        <f t="shared" si="243"/>
        <v>1.5707963267948966</v>
      </c>
      <c r="AJ367" s="31" t="str">
        <f t="shared" si="229"/>
        <v>1+0.628479043903896i</v>
      </c>
      <c r="AK367" s="31">
        <f t="shared" si="244"/>
        <v>1.1810952157325654</v>
      </c>
      <c r="AL367" s="31">
        <f t="shared" si="245"/>
        <v>0.56109718880769188</v>
      </c>
      <c r="AM367" s="31" t="str">
        <f t="shared" si="230"/>
        <v>1+629.107522947801i</v>
      </c>
      <c r="AN367" s="31">
        <f t="shared" si="246"/>
        <v>629.1083177239974</v>
      </c>
      <c r="AO367" s="31">
        <f t="shared" si="247"/>
        <v>1.5692067747369449</v>
      </c>
      <c r="AP367" s="58" t="str">
        <f t="shared" si="248"/>
        <v>-0.00309062114253683+0.00194925063139386i</v>
      </c>
      <c r="AQ367" s="49">
        <f t="shared" si="249"/>
        <v>-48.744693846369032</v>
      </c>
      <c r="AR367" s="61">
        <f t="shared" si="250"/>
        <v>147.76042456042714</v>
      </c>
      <c r="AS367" s="58" t="str">
        <f t="shared" si="251"/>
        <v>0.000755276956443722-0.000834426885627756i</v>
      </c>
      <c r="AT367" s="64">
        <f t="shared" si="252"/>
        <v>-58.973222837583172</v>
      </c>
      <c r="AU367" s="61">
        <f t="shared" si="253"/>
        <v>-47.850351755547415</v>
      </c>
    </row>
    <row r="368" spans="14:47" x14ac:dyDescent="0.3">
      <c r="N368" s="10">
        <v>50</v>
      </c>
      <c r="O368" s="50">
        <f t="shared" si="221"/>
        <v>31622.77660168384</v>
      </c>
      <c r="P368" s="48" t="str">
        <f t="shared" si="222"/>
        <v>51201.9230769231</v>
      </c>
      <c r="Q368" s="17" t="str">
        <f t="shared" si="223"/>
        <v>1+9285.01903303251i</v>
      </c>
      <c r="R368" s="17">
        <f t="shared" si="231"/>
        <v>9285.019086882694</v>
      </c>
      <c r="S368" s="17">
        <f t="shared" si="232"/>
        <v>1.5706886264237314</v>
      </c>
      <c r="T368" s="17" t="str">
        <f t="shared" si="224"/>
        <v>1+5.96075295947767E-07i</v>
      </c>
      <c r="U368" s="17">
        <f t="shared" si="233"/>
        <v>1.0000000000001776</v>
      </c>
      <c r="V368" s="17">
        <f t="shared" si="234"/>
        <v>5.9607529594769641E-7</v>
      </c>
      <c r="W368" s="31" t="str">
        <f t="shared" si="225"/>
        <v>1-0.321880659811794i</v>
      </c>
      <c r="X368" s="17">
        <f t="shared" si="235"/>
        <v>1.0505270863527869</v>
      </c>
      <c r="Y368" s="17">
        <f t="shared" si="236"/>
        <v>-0.3114079807176896</v>
      </c>
      <c r="Z368" s="31" t="str">
        <f t="shared" si="226"/>
        <v>0.6+19.6423183688041i</v>
      </c>
      <c r="AA368" s="17">
        <f t="shared" si="237"/>
        <v>19.651480119865248</v>
      </c>
      <c r="AB368" s="17">
        <f t="shared" si="238"/>
        <v>1.5402595297657307</v>
      </c>
      <c r="AC368" s="66" t="str">
        <f t="shared" si="239"/>
        <v>-0.283249069653636+0.0816835014226531i</v>
      </c>
      <c r="AD368" s="64">
        <f t="shared" si="240"/>
        <v>-10.609690796463543</v>
      </c>
      <c r="AE368" s="61">
        <f t="shared" si="241"/>
        <v>163.91347151712236</v>
      </c>
      <c r="AF368" s="31" t="str">
        <f t="shared" si="227"/>
        <v>-1.33333333333333E-06</v>
      </c>
      <c r="AG368" s="31" t="str">
        <f t="shared" si="228"/>
        <v>0.198890457081238i</v>
      </c>
      <c r="AH368" s="31">
        <f t="shared" si="242"/>
        <v>0.19889045708123801</v>
      </c>
      <c r="AI368" s="31">
        <f t="shared" si="243"/>
        <v>1.5707963267948966</v>
      </c>
      <c r="AJ368" s="31" t="str">
        <f t="shared" si="229"/>
        <v>1+0.643118201422164i</v>
      </c>
      <c r="AK368" s="31">
        <f t="shared" si="244"/>
        <v>1.1889495451870442</v>
      </c>
      <c r="AL368" s="31">
        <f t="shared" si="245"/>
        <v>0.57152217803873229</v>
      </c>
      <c r="AM368" s="31" t="str">
        <f t="shared" si="230"/>
        <v>1+643.761319623587i</v>
      </c>
      <c r="AN368" s="31">
        <f t="shared" si="246"/>
        <v>643.76209630849041</v>
      </c>
      <c r="AO368" s="31">
        <f t="shared" si="247"/>
        <v>1.5692429573003366</v>
      </c>
      <c r="AP368" s="58" t="str">
        <f t="shared" si="248"/>
        <v>-0.00304992206336281+0.00196816424962385i</v>
      </c>
      <c r="AQ368" s="49">
        <f t="shared" si="249"/>
        <v>-48.802264635709264</v>
      </c>
      <c r="AR368" s="61">
        <f t="shared" si="250"/>
        <v>147.16518978419344</v>
      </c>
      <c r="AS368" s="58" t="str">
        <f t="shared" si="251"/>
        <v>0.000703121039679449-0.000806609005833179i</v>
      </c>
      <c r="AT368" s="64">
        <f t="shared" si="252"/>
        <v>-59.411955432172803</v>
      </c>
      <c r="AU368" s="61">
        <f t="shared" si="253"/>
        <v>-48.921338698684188</v>
      </c>
    </row>
    <row r="369" spans="14:47" x14ac:dyDescent="0.3">
      <c r="N369" s="10">
        <v>51</v>
      </c>
      <c r="O369" s="50">
        <f t="shared" si="221"/>
        <v>32359.365692962871</v>
      </c>
      <c r="P369" s="48" t="str">
        <f t="shared" si="222"/>
        <v>51201.9230769231</v>
      </c>
      <c r="Q369" s="17" t="str">
        <f t="shared" si="223"/>
        <v>1+9501.29490969559i</v>
      </c>
      <c r="R369" s="17">
        <f t="shared" si="231"/>
        <v>9501.2949623199966</v>
      </c>
      <c r="S369" s="17">
        <f t="shared" si="232"/>
        <v>1.5706910779834649</v>
      </c>
      <c r="T369" s="17" t="str">
        <f t="shared" si="224"/>
        <v>1+6.09959673215026E-07i</v>
      </c>
      <c r="U369" s="17">
        <f t="shared" si="233"/>
        <v>1.0000000000001861</v>
      </c>
      <c r="V369" s="17">
        <f t="shared" si="234"/>
        <v>6.0995967321495041E-7</v>
      </c>
      <c r="W369" s="31" t="str">
        <f t="shared" si="225"/>
        <v>1-0.329378223536113i</v>
      </c>
      <c r="X369" s="17">
        <f t="shared" si="235"/>
        <v>1.0528485238341769</v>
      </c>
      <c r="Y369" s="17">
        <f t="shared" si="236"/>
        <v>-0.31818674206830816</v>
      </c>
      <c r="Z369" s="31" t="str">
        <f t="shared" si="226"/>
        <v>0.58114858077964+20.0998467389448i</v>
      </c>
      <c r="AA369" s="17">
        <f t="shared" si="237"/>
        <v>20.108246383064145</v>
      </c>
      <c r="AB369" s="17">
        <f t="shared" si="238"/>
        <v>1.5418912943707348</v>
      </c>
      <c r="AC369" s="66" t="str">
        <f t="shared" si="239"/>
        <v>-0.270444321634986+0.080461368725991i</v>
      </c>
      <c r="AD369" s="64">
        <f t="shared" si="240"/>
        <v>-10.99009666570783</v>
      </c>
      <c r="AE369" s="61">
        <f t="shared" si="241"/>
        <v>163.43144420787024</v>
      </c>
      <c r="AF369" s="31" t="str">
        <f t="shared" si="227"/>
        <v>-1.33333333333333E-06</v>
      </c>
      <c r="AG369" s="31" t="str">
        <f t="shared" si="228"/>
        <v>0.203523210962747i</v>
      </c>
      <c r="AH369" s="31">
        <f t="shared" si="242"/>
        <v>0.203523210962747</v>
      </c>
      <c r="AI369" s="31">
        <f t="shared" si="243"/>
        <v>1.5707963267948966</v>
      </c>
      <c r="AJ369" s="31" t="str">
        <f t="shared" si="229"/>
        <v>1+0.658098348723503i</v>
      </c>
      <c r="AK369" s="31">
        <f t="shared" si="244"/>
        <v>1.1971188063816396</v>
      </c>
      <c r="AL369" s="31">
        <f t="shared" si="245"/>
        <v>0.58204721000539894</v>
      </c>
      <c r="AM369" s="31" t="str">
        <f t="shared" si="230"/>
        <v>1+658.756447072227i</v>
      </c>
      <c r="AN369" s="31">
        <f t="shared" si="246"/>
        <v>658.75720607764435</v>
      </c>
      <c r="AO369" s="31">
        <f t="shared" si="247"/>
        <v>1.5692783162519628</v>
      </c>
      <c r="AP369" s="58" t="str">
        <f t="shared" si="248"/>
        <v>-0.00300843813296117+0.00198639942686189i</v>
      </c>
      <c r="AQ369" s="49">
        <f t="shared" si="249"/>
        <v>-48.861741675468302</v>
      </c>
      <c r="AR369" s="61">
        <f t="shared" si="250"/>
        <v>146.56417579195951</v>
      </c>
      <c r="AS369" s="58" t="str">
        <f t="shared" si="251"/>
        <v>0.000653786593327676-0.000779273495399309i</v>
      </c>
      <c r="AT369" s="64">
        <f t="shared" si="252"/>
        <v>-59.851838341176133</v>
      </c>
      <c r="AU369" s="61">
        <f t="shared" si="253"/>
        <v>-50.004380000170222</v>
      </c>
    </row>
    <row r="370" spans="14:47" x14ac:dyDescent="0.3">
      <c r="N370" s="10">
        <v>52</v>
      </c>
      <c r="O370" s="50">
        <f t="shared" si="221"/>
        <v>33113.11214825909</v>
      </c>
      <c r="P370" s="48" t="str">
        <f t="shared" si="222"/>
        <v>51201.9230769231</v>
      </c>
      <c r="Q370" s="17" t="str">
        <f t="shared" si="223"/>
        <v>1+9722.60849868428i</v>
      </c>
      <c r="R370" s="17">
        <f t="shared" si="231"/>
        <v>9722.6085501108082</v>
      </c>
      <c r="S370" s="17">
        <f t="shared" si="232"/>
        <v>1.5706934737388871</v>
      </c>
      <c r="T370" s="17" t="str">
        <f t="shared" si="224"/>
        <v>1+6.24167459174794E-07i</v>
      </c>
      <c r="U370" s="17">
        <f t="shared" si="233"/>
        <v>1.000000000000195</v>
      </c>
      <c r="V370" s="17">
        <f t="shared" si="234"/>
        <v>6.2416745917471294E-7</v>
      </c>
      <c r="W370" s="31" t="str">
        <f t="shared" si="225"/>
        <v>1-0.337050427954388i</v>
      </c>
      <c r="X370" s="17">
        <f t="shared" si="235"/>
        <v>1.0552738938229431</v>
      </c>
      <c r="Y370" s="17">
        <f t="shared" si="236"/>
        <v>-0.3250922007386961</v>
      </c>
      <c r="Z370" s="31" t="str">
        <f t="shared" si="226"/>
        <v>0.561408721542727+20.5680323138793i</v>
      </c>
      <c r="AA370" s="17">
        <f t="shared" si="237"/>
        <v>20.575692771263064</v>
      </c>
      <c r="AB370" s="17">
        <f t="shared" si="238"/>
        <v>1.5435078942672986</v>
      </c>
      <c r="AC370" s="66" t="str">
        <f t="shared" si="239"/>
        <v>-0.258213091931096+0.079224494350188i</v>
      </c>
      <c r="AD370" s="64">
        <f t="shared" si="240"/>
        <v>-11.369716000217807</v>
      </c>
      <c r="AE370" s="61">
        <f t="shared" si="241"/>
        <v>162.94302976659225</v>
      </c>
      <c r="AF370" s="31" t="str">
        <f t="shared" si="227"/>
        <v>-1.33333333333333E-06</v>
      </c>
      <c r="AG370" s="31" t="str">
        <f t="shared" si="228"/>
        <v>0.208263875544656i</v>
      </c>
      <c r="AH370" s="31">
        <f t="shared" si="242"/>
        <v>0.208263875544656</v>
      </c>
      <c r="AI370" s="31">
        <f t="shared" si="243"/>
        <v>1.5707963267948966</v>
      </c>
      <c r="AJ370" s="31" t="str">
        <f t="shared" si="229"/>
        <v>1+0.673427428480295i</v>
      </c>
      <c r="AK370" s="31">
        <f t="shared" si="244"/>
        <v>1.2056137447083053</v>
      </c>
      <c r="AL370" s="31">
        <f t="shared" si="245"/>
        <v>0.59266853763553184</v>
      </c>
      <c r="AM370" s="31" t="str">
        <f t="shared" si="230"/>
        <v>1+674.100855908776i</v>
      </c>
      <c r="AN370" s="31">
        <f t="shared" si="246"/>
        <v>674.10159763713989</v>
      </c>
      <c r="AO370" s="31">
        <f t="shared" si="247"/>
        <v>1.5693128703392538</v>
      </c>
      <c r="AP370" s="58" t="str">
        <f t="shared" si="248"/>
        <v>-0.00296619166882603+0.00200391696237207i</v>
      </c>
      <c r="AQ370" s="49">
        <f t="shared" si="249"/>
        <v>-48.923160866978023</v>
      </c>
      <c r="AR370" s="61">
        <f t="shared" si="250"/>
        <v>145.95759834929396</v>
      </c>
      <c r="AS370" s="58" t="str">
        <f t="shared" si="251"/>
        <v>0.000607150214004135-0.000752432629935744i</v>
      </c>
      <c r="AT370" s="64">
        <f t="shared" si="252"/>
        <v>-60.29287686719583</v>
      </c>
      <c r="AU370" s="61">
        <f t="shared" si="253"/>
        <v>-51.099371884113744</v>
      </c>
    </row>
    <row r="371" spans="14:47" x14ac:dyDescent="0.3">
      <c r="N371" s="10">
        <v>53</v>
      </c>
      <c r="O371" s="50">
        <f t="shared" si="221"/>
        <v>33884.41561392029</v>
      </c>
      <c r="P371" s="48" t="str">
        <f t="shared" si="222"/>
        <v>51201.9230769231</v>
      </c>
      <c r="Q371" s="17" t="str">
        <f t="shared" si="223"/>
        <v>1+9949.07714339298i</v>
      </c>
      <c r="R371" s="17">
        <f t="shared" si="231"/>
        <v>9949.0771936488982</v>
      </c>
      <c r="S371" s="17">
        <f t="shared" si="232"/>
        <v>1.5706958149602592</v>
      </c>
      <c r="T371" s="17" t="str">
        <f t="shared" si="224"/>
        <v>1+6.38706186983254E-07i</v>
      </c>
      <c r="U371" s="17">
        <f t="shared" si="233"/>
        <v>1.0000000000002038</v>
      </c>
      <c r="V371" s="17">
        <f t="shared" si="234"/>
        <v>6.3870618698316714E-7</v>
      </c>
      <c r="W371" s="31" t="str">
        <f t="shared" si="225"/>
        <v>1-0.344901340970957i</v>
      </c>
      <c r="X371" s="17">
        <f t="shared" si="235"/>
        <v>1.0578076077451724</v>
      </c>
      <c r="Y371" s="17">
        <f t="shared" si="236"/>
        <v>-0.33212538289530769</v>
      </c>
      <c r="Z371" s="31" t="str">
        <f t="shared" si="226"/>
        <v>0.540738551401243+21.0471233317969i</v>
      </c>
      <c r="AA371" s="17">
        <f t="shared" si="237"/>
        <v>21.054068460153754</v>
      </c>
      <c r="AB371" s="17">
        <f t="shared" si="238"/>
        <v>1.545110174103077</v>
      </c>
      <c r="AC371" s="66" t="str">
        <f t="shared" si="239"/>
        <v>-0.246529813105864+0.0779760360122573i</v>
      </c>
      <c r="AD371" s="64">
        <f t="shared" si="240"/>
        <v>-11.748517446695388</v>
      </c>
      <c r="AE371" s="61">
        <f t="shared" si="241"/>
        <v>162.44812093118699</v>
      </c>
      <c r="AF371" s="31" t="str">
        <f t="shared" si="227"/>
        <v>-1.33333333333333E-06</v>
      </c>
      <c r="AG371" s="31" t="str">
        <f t="shared" si="228"/>
        <v>0.213114964390078i</v>
      </c>
      <c r="AH371" s="31">
        <f t="shared" si="242"/>
        <v>0.21311496439007799</v>
      </c>
      <c r="AI371" s="31">
        <f t="shared" si="243"/>
        <v>1.5707963267948966</v>
      </c>
      <c r="AJ371" s="31" t="str">
        <f t="shared" si="229"/>
        <v>1+0.689113568373539i</v>
      </c>
      <c r="AK371" s="31">
        <f t="shared" si="244"/>
        <v>1.2144453508151416</v>
      </c>
      <c r="AL371" s="31">
        <f t="shared" si="245"/>
        <v>0.60338220664236508</v>
      </c>
      <c r="AM371" s="31" t="str">
        <f t="shared" si="230"/>
        <v>1+689.802681941913i</v>
      </c>
      <c r="AN371" s="31">
        <f t="shared" si="246"/>
        <v>689.80340678649588</v>
      </c>
      <c r="AO371" s="31">
        <f t="shared" si="247"/>
        <v>1.5693466378829137</v>
      </c>
      <c r="AP371" s="58" t="str">
        <f t="shared" si="248"/>
        <v>-0.00292320746175118+0.00202067832914638i</v>
      </c>
      <c r="AQ371" s="49">
        <f t="shared" si="249"/>
        <v>-48.986557018865952</v>
      </c>
      <c r="AR371" s="61">
        <f t="shared" si="250"/>
        <v>145.34568506983859</v>
      </c>
      <c r="AS371" s="58" t="str">
        <f t="shared" si="251"/>
        <v>0.000563093303052479-0.000726097581140336i</v>
      </c>
      <c r="AT371" s="64">
        <f t="shared" si="252"/>
        <v>-60.73507446556134</v>
      </c>
      <c r="AU371" s="61">
        <f t="shared" si="253"/>
        <v>-52.206193998974406</v>
      </c>
    </row>
    <row r="372" spans="14:47" x14ac:dyDescent="0.3">
      <c r="N372" s="10">
        <v>54</v>
      </c>
      <c r="O372" s="50">
        <f t="shared" si="221"/>
        <v>34673.685045253202</v>
      </c>
      <c r="P372" s="48" t="str">
        <f t="shared" si="222"/>
        <v>51201.9230769231</v>
      </c>
      <c r="Q372" s="17" t="str">
        <f t="shared" si="223"/>
        <v>1+10180.8209204946i</v>
      </c>
      <c r="R372" s="17">
        <f t="shared" si="231"/>
        <v>10180.820969606553</v>
      </c>
      <c r="S372" s="17">
        <f t="shared" si="232"/>
        <v>1.5706981028889273</v>
      </c>
      <c r="T372" s="17" t="str">
        <f t="shared" si="224"/>
        <v>1+6.53583565266322E-07i</v>
      </c>
      <c r="U372" s="17">
        <f t="shared" si="233"/>
        <v>1.0000000000002136</v>
      </c>
      <c r="V372" s="17">
        <f t="shared" si="234"/>
        <v>6.5358356526622888E-7</v>
      </c>
      <c r="W372" s="31" t="str">
        <f t="shared" si="225"/>
        <v>1-0.352935125243813i</v>
      </c>
      <c r="X372" s="17">
        <f t="shared" si="235"/>
        <v>1.0604542435347535</v>
      </c>
      <c r="Y372" s="17">
        <f t="shared" si="236"/>
        <v>-0.33928723350678536</v>
      </c>
      <c r="Z372" s="31" t="str">
        <f t="shared" si="226"/>
        <v>0.519094226153035+21.5373738130964i</v>
      </c>
      <c r="AA372" s="17">
        <f t="shared" si="237"/>
        <v>21.543628514729729</v>
      </c>
      <c r="AB372" s="17">
        <f t="shared" si="238"/>
        <v>1.5466989716367598</v>
      </c>
      <c r="AC372" s="66" t="str">
        <f t="shared" si="239"/>
        <v>-0.235370047009797+0.0767188926927988i</v>
      </c>
      <c r="AD372" s="64">
        <f t="shared" si="240"/>
        <v>-12.126468900746959</v>
      </c>
      <c r="AE372" s="61">
        <f t="shared" si="241"/>
        <v>161.94661548821978</v>
      </c>
      <c r="AF372" s="31" t="str">
        <f t="shared" si="227"/>
        <v>-1.33333333333333E-06</v>
      </c>
      <c r="AG372" s="31" t="str">
        <f t="shared" si="228"/>
        <v>0.21807904961053i</v>
      </c>
      <c r="AH372" s="31">
        <f t="shared" si="242"/>
        <v>0.21807904961053001</v>
      </c>
      <c r="AI372" s="31">
        <f t="shared" si="243"/>
        <v>1.5707963267948966</v>
      </c>
      <c r="AJ372" s="31" t="str">
        <f t="shared" si="229"/>
        <v>1+0.705165085402223i</v>
      </c>
      <c r="AK372" s="31">
        <f t="shared" si="244"/>
        <v>1.2236248598611932</v>
      </c>
      <c r="AL372" s="31">
        <f t="shared" si="245"/>
        <v>0.61418405959960143</v>
      </c>
      <c r="AM372" s="31" t="str">
        <f t="shared" si="230"/>
        <v>1+705.870250487627i</v>
      </c>
      <c r="AN372" s="31">
        <f t="shared" si="246"/>
        <v>705.87095883274958</v>
      </c>
      <c r="AO372" s="31">
        <f t="shared" si="247"/>
        <v>1.5693796367866331</v>
      </c>
      <c r="AP372" s="58" t="str">
        <f t="shared" si="248"/>
        <v>-0.0028795127662383+0.00203664585666035i</v>
      </c>
      <c r="AQ372" s="49">
        <f t="shared" si="249"/>
        <v>-49.05196373248701</v>
      </c>
      <c r="AR372" s="61">
        <f t="shared" si="250"/>
        <v>144.72867518237962</v>
      </c>
      <c r="AS372" s="58" t="str">
        <f t="shared" si="251"/>
        <v>0.000521501840224461-0.000700278461945035i</v>
      </c>
      <c r="AT372" s="64">
        <f t="shared" si="252"/>
        <v>-61.178432633233967</v>
      </c>
      <c r="AU372" s="61">
        <f t="shared" si="253"/>
        <v>-53.324709329400569</v>
      </c>
    </row>
    <row r="373" spans="14:47" x14ac:dyDescent="0.3">
      <c r="N373" s="10">
        <v>55</v>
      </c>
      <c r="O373" s="50">
        <f t="shared" si="221"/>
        <v>35481.33892335758</v>
      </c>
      <c r="P373" s="48" t="str">
        <f t="shared" si="222"/>
        <v>51201.9230769231</v>
      </c>
      <c r="Q373" s="17" t="str">
        <f t="shared" si="223"/>
        <v>1+10417.9627036075i</v>
      </c>
      <c r="R373" s="17">
        <f t="shared" si="231"/>
        <v>10417.962751601528</v>
      </c>
      <c r="S373" s="17">
        <f t="shared" si="232"/>
        <v>1.5707003387379819</v>
      </c>
      <c r="T373" s="17" t="str">
        <f t="shared" si="224"/>
        <v>1+6.68807482206901E-07i</v>
      </c>
      <c r="U373" s="17">
        <f t="shared" si="233"/>
        <v>1.0000000000002236</v>
      </c>
      <c r="V373" s="17">
        <f t="shared" si="234"/>
        <v>6.6880748220680128E-7</v>
      </c>
      <c r="W373" s="31" t="str">
        <f t="shared" si="225"/>
        <v>1-0.361156040391726i</v>
      </c>
      <c r="X373" s="17">
        <f t="shared" si="235"/>
        <v>1.0632185502103648</v>
      </c>
      <c r="Y373" s="17">
        <f t="shared" si="236"/>
        <v>-0.34657861017586428</v>
      </c>
      <c r="Z373" s="31" t="str">
        <f t="shared" si="226"/>
        <v>0.496429835282329+22.0390436950727i</v>
      </c>
      <c r="AA373" s="17">
        <f t="shared" si="237"/>
        <v>22.044634031316605</v>
      </c>
      <c r="AB373" s="17">
        <f t="shared" si="238"/>
        <v>1.5482751181266281</v>
      </c>
      <c r="AC373" s="66" t="str">
        <f t="shared" si="239"/>
        <v>-0.22471043582695+0.075455722822651i</v>
      </c>
      <c r="AD373" s="64">
        <f t="shared" si="240"/>
        <v>-12.503537513281247</v>
      </c>
      <c r="AE373" s="61">
        <f t="shared" si="241"/>
        <v>161.43841660402936</v>
      </c>
      <c r="AF373" s="31" t="str">
        <f t="shared" si="227"/>
        <v>-1.33333333333333E-06</v>
      </c>
      <c r="AG373" s="31" t="str">
        <f t="shared" si="228"/>
        <v>0.223158763229702i</v>
      </c>
      <c r="AH373" s="31">
        <f t="shared" si="242"/>
        <v>0.22315876322970199</v>
      </c>
      <c r="AI373" s="31">
        <f t="shared" si="243"/>
        <v>1.5707963267948966</v>
      </c>
      <c r="AJ373" s="31" t="str">
        <f t="shared" si="229"/>
        <v>1+0.721590490293158i</v>
      </c>
      <c r="AK373" s="31">
        <f t="shared" si="244"/>
        <v>1.233163750554451</v>
      </c>
      <c r="AL373" s="31">
        <f t="shared" si="245"/>
        <v>0.62506974099993451</v>
      </c>
      <c r="AM373" s="31" t="str">
        <f t="shared" si="230"/>
        <v>1+722.312080783452i</v>
      </c>
      <c r="AN373" s="31">
        <f t="shared" si="246"/>
        <v>722.31277300468673</v>
      </c>
      <c r="AO373" s="31">
        <f t="shared" si="247"/>
        <v>1.5694118845465794</v>
      </c>
      <c r="AP373" s="58" t="str">
        <f t="shared" si="248"/>
        <v>-0.00283513727531265+0.00205178291605557i</v>
      </c>
      <c r="AQ373" s="49">
        <f t="shared" si="249"/>
        <v>-49.119413288158931</v>
      </c>
      <c r="AR373" s="61">
        <f t="shared" si="250"/>
        <v>144.10681924156009</v>
      </c>
      <c r="AS373" s="58" t="str">
        <f t="shared" si="251"/>
        <v>0.000482266169758597-0.000674984365699295i</v>
      </c>
      <c r="AT373" s="64">
        <f t="shared" si="252"/>
        <v>-61.62295080144019</v>
      </c>
      <c r="AU373" s="61">
        <f t="shared" si="253"/>
        <v>-54.454764154410583</v>
      </c>
    </row>
    <row r="374" spans="14:47" x14ac:dyDescent="0.3">
      <c r="N374" s="10">
        <v>56</v>
      </c>
      <c r="O374" s="50">
        <f t="shared" si="221"/>
        <v>36307.805477010232</v>
      </c>
      <c r="P374" s="48" t="str">
        <f t="shared" si="222"/>
        <v>51201.9230769231</v>
      </c>
      <c r="Q374" s="17" t="str">
        <f t="shared" si="223"/>
        <v>1+10660.6282284438i</v>
      </c>
      <c r="R374" s="17">
        <f t="shared" si="231"/>
        <v>10660.628275345351</v>
      </c>
      <c r="S374" s="17">
        <f t="shared" si="232"/>
        <v>1.5707025236928993</v>
      </c>
      <c r="T374" s="17" t="str">
        <f t="shared" si="224"/>
        <v>1+6.84386009727256E-07i</v>
      </c>
      <c r="U374" s="17">
        <f t="shared" si="233"/>
        <v>1.000000000000234</v>
      </c>
      <c r="V374" s="17">
        <f t="shared" si="234"/>
        <v>6.8438600972714912E-7</v>
      </c>
      <c r="W374" s="31" t="str">
        <f t="shared" si="225"/>
        <v>1-0.369568445252718i</v>
      </c>
      <c r="X374" s="17">
        <f t="shared" si="235"/>
        <v>1.0661054524419764</v>
      </c>
      <c r="Y374" s="17">
        <f t="shared" si="236"/>
        <v>-0.35400027681010093</v>
      </c>
      <c r="Z374" s="31" t="str">
        <f t="shared" si="226"/>
        <v>0.472697304577434+22.5523989697372i</v>
      </c>
      <c r="AA374" s="17">
        <f t="shared" si="237"/>
        <v>22.557352283279133</v>
      </c>
      <c r="AB374" s="17">
        <f t="shared" si="238"/>
        <v>1.5498394387186785</v>
      </c>
      <c r="AC374" s="66" t="str">
        <f t="shared" si="239"/>
        <v>-0.214528655162219+0.074188961253422i</v>
      </c>
      <c r="AD374" s="64">
        <f t="shared" si="240"/>
        <v>-12.879689700030442</v>
      </c>
      <c r="AE374" s="61">
        <f t="shared" si="241"/>
        <v>160.92343316509326</v>
      </c>
      <c r="AF374" s="31" t="str">
        <f t="shared" si="227"/>
        <v>-1.33333333333333E-06</v>
      </c>
      <c r="AG374" s="31" t="str">
        <f t="shared" si="228"/>
        <v>0.228356798578994i</v>
      </c>
      <c r="AH374" s="31">
        <f t="shared" si="242"/>
        <v>0.22835679857899399</v>
      </c>
      <c r="AI374" s="31">
        <f t="shared" si="243"/>
        <v>1.5707963267948966</v>
      </c>
      <c r="AJ374" s="31" t="str">
        <f t="shared" si="229"/>
        <v>1+0.738398492013421i</v>
      </c>
      <c r="AK374" s="31">
        <f t="shared" si="244"/>
        <v>1.2430737439941744</v>
      </c>
      <c r="AL374" s="31">
        <f t="shared" si="245"/>
        <v>0.63603470330589662</v>
      </c>
      <c r="AM374" s="31" t="str">
        <f t="shared" si="230"/>
        <v>1+739.136890505435i</v>
      </c>
      <c r="AN374" s="31">
        <f t="shared" si="246"/>
        <v>739.13756696980533</v>
      </c>
      <c r="AO374" s="31">
        <f t="shared" si="247"/>
        <v>1.5694433982606739</v>
      </c>
      <c r="AP374" s="58" t="str">
        <f t="shared" si="248"/>
        <v>-0.0027901130792091+0.0020660541062528i</v>
      </c>
      <c r="AQ374" s="49">
        <f t="shared" si="249"/>
        <v>-49.188936532939451</v>
      </c>
      <c r="AR374" s="61">
        <f t="shared" si="250"/>
        <v>143.48037878172278</v>
      </c>
      <c r="AS374" s="58" t="str">
        <f t="shared" si="251"/>
        <v>0.000445280798596984-0.000650223400032903i</v>
      </c>
      <c r="AT374" s="64">
        <f t="shared" si="252"/>
        <v>-62.068626232969883</v>
      </c>
      <c r="AU374" s="61">
        <f t="shared" si="253"/>
        <v>-55.596188053183923</v>
      </c>
    </row>
    <row r="375" spans="14:47" x14ac:dyDescent="0.3">
      <c r="N375" s="10">
        <v>57</v>
      </c>
      <c r="O375" s="50">
        <f t="shared" si="221"/>
        <v>37153.522909717351</v>
      </c>
      <c r="P375" s="48" t="str">
        <f t="shared" si="222"/>
        <v>51201.9230769231</v>
      </c>
      <c r="Q375" s="17" t="str">
        <f t="shared" si="223"/>
        <v>1+10908.9461594769i</v>
      </c>
      <c r="R375" s="17">
        <f t="shared" si="231"/>
        <v>10908.94620531084</v>
      </c>
      <c r="S375" s="17">
        <f t="shared" si="232"/>
        <v>1.5707046589121718</v>
      </c>
      <c r="T375" s="17" t="str">
        <f t="shared" si="224"/>
        <v>1+7.00327407768889E-07i</v>
      </c>
      <c r="U375" s="17">
        <f t="shared" si="233"/>
        <v>1.0000000000002451</v>
      </c>
      <c r="V375" s="17">
        <f t="shared" si="234"/>
        <v>7.003274077687745E-7</v>
      </c>
      <c r="W375" s="31" t="str">
        <f t="shared" si="225"/>
        <v>1-0.378176800195199i</v>
      </c>
      <c r="X375" s="17">
        <f t="shared" si="235"/>
        <v>1.0691200550947866</v>
      </c>
      <c r="Y375" s="17">
        <f t="shared" si="236"/>
        <v>-0.36155289714718442</v>
      </c>
      <c r="Z375" s="31" t="str">
        <f t="shared" si="226"/>
        <v>0.447846294158843+23.0777118248518i</v>
      </c>
      <c r="AA375" s="17">
        <f t="shared" si="237"/>
        <v>23.082056870523832</v>
      </c>
      <c r="AB375" s="17">
        <f t="shared" si="238"/>
        <v>1.5513927528343006</v>
      </c>
      <c r="AC375" s="66" t="str">
        <f t="shared" si="239"/>
        <v>-0.204803369091126+0.0729208350910832i</v>
      </c>
      <c r="AD375" s="64">
        <f t="shared" si="240"/>
        <v>-13.254891154403769</v>
      </c>
      <c r="AE375" s="61">
        <f t="shared" si="241"/>
        <v>160.40158012675269</v>
      </c>
      <c r="AF375" s="31" t="str">
        <f t="shared" si="227"/>
        <v>-1.33333333333333E-06</v>
      </c>
      <c r="AG375" s="31" t="str">
        <f t="shared" si="228"/>
        <v>0.233675911725553i</v>
      </c>
      <c r="AH375" s="31">
        <f t="shared" si="242"/>
        <v>0.23367591172555299</v>
      </c>
      <c r="AI375" s="31">
        <f t="shared" si="243"/>
        <v>1.5707963267948966</v>
      </c>
      <c r="AJ375" s="31" t="str">
        <f t="shared" si="229"/>
        <v>1+0.75559800238801i</v>
      </c>
      <c r="AK375" s="31">
        <f t="shared" si="244"/>
        <v>1.2533668023418967</v>
      </c>
      <c r="AL375" s="31">
        <f t="shared" si="245"/>
        <v>0.64707421399393872</v>
      </c>
      <c r="AM375" s="31" t="str">
        <f t="shared" si="230"/>
        <v>1+756.353600390399i</v>
      </c>
      <c r="AN375" s="31">
        <f t="shared" si="246"/>
        <v>756.35426145657391</v>
      </c>
      <c r="AO375" s="31">
        <f t="shared" si="247"/>
        <v>1.5694741946376543</v>
      </c>
      <c r="AP375" s="58" t="str">
        <f t="shared" si="248"/>
        <v>-0.00274447460755159+0.00207942543940958i</v>
      </c>
      <c r="AQ375" s="49">
        <f t="shared" si="249"/>
        <v>-49.260562770700112</v>
      </c>
      <c r="AR375" s="61">
        <f t="shared" si="250"/>
        <v>142.84962591383371</v>
      </c>
      <c r="AS375" s="58" t="str">
        <f t="shared" si="251"/>
        <v>0.000410444206460222-0.000626002716033812i</v>
      </c>
      <c r="AT375" s="64">
        <f t="shared" si="252"/>
        <v>-62.515453925103884</v>
      </c>
      <c r="AU375" s="61">
        <f t="shared" si="253"/>
        <v>-56.748793959413611</v>
      </c>
    </row>
    <row r="376" spans="14:47" x14ac:dyDescent="0.3">
      <c r="N376" s="10">
        <v>58</v>
      </c>
      <c r="O376" s="50">
        <f t="shared" si="221"/>
        <v>38018.939632056143</v>
      </c>
      <c r="P376" s="48" t="str">
        <f t="shared" si="222"/>
        <v>51201.9230769231</v>
      </c>
      <c r="Q376" s="17" t="str">
        <f t="shared" si="223"/>
        <v>1+11163.0481581608i</v>
      </c>
      <c r="R376" s="17">
        <f t="shared" si="231"/>
        <v>11163.048202951433</v>
      </c>
      <c r="S376" s="17">
        <f t="shared" si="232"/>
        <v>1.5707067455279204</v>
      </c>
      <c r="T376" s="17" t="str">
        <f t="shared" si="224"/>
        <v>1+7.1664012867205E-07i</v>
      </c>
      <c r="U376" s="17">
        <f t="shared" si="233"/>
        <v>1.0000000000002567</v>
      </c>
      <c r="V376" s="17">
        <f t="shared" si="234"/>
        <v>7.1664012867192723E-7</v>
      </c>
      <c r="W376" s="31" t="str">
        <f t="shared" si="225"/>
        <v>1-0.386985669482906i</v>
      </c>
      <c r="X376" s="17">
        <f t="shared" si="235"/>
        <v>1.0722676477377899</v>
      </c>
      <c r="Y376" s="17">
        <f t="shared" si="236"/>
        <v>-0.36923702815291509</v>
      </c>
      <c r="Z376" s="31" t="str">
        <f t="shared" si="226"/>
        <v>0.421824091701627+23.6152607882455i</v>
      </c>
      <c r="AA376" s="17">
        <f t="shared" si="237"/>
        <v>23.619027872907584</v>
      </c>
      <c r="AB376" s="17">
        <f t="shared" si="238"/>
        <v>1.5529358745574637</v>
      </c>
      <c r="AC376" s="66" t="str">
        <f t="shared" si="239"/>
        <v>-0.195514187096783+0.0716533784668359i</v>
      </c>
      <c r="AD376" s="64">
        <f t="shared" si="240"/>
        <v>-13.629106863873005</v>
      </c>
      <c r="AE376" s="61">
        <f t="shared" si="241"/>
        <v>159.87277886926071</v>
      </c>
      <c r="AF376" s="31" t="str">
        <f t="shared" si="227"/>
        <v>-1.33333333333333E-06</v>
      </c>
      <c r="AG376" s="31" t="str">
        <f t="shared" si="228"/>
        <v>0.239118922933574i</v>
      </c>
      <c r="AH376" s="31">
        <f t="shared" si="242"/>
        <v>0.23911892293357401</v>
      </c>
      <c r="AI376" s="31">
        <f t="shared" si="243"/>
        <v>1.5707963267948966</v>
      </c>
      <c r="AJ376" s="31" t="str">
        <f t="shared" si="229"/>
        <v>1+0.773198140824987i</v>
      </c>
      <c r="AK376" s="31">
        <f t="shared" si="244"/>
        <v>1.2640551273481773</v>
      </c>
      <c r="AL376" s="31">
        <f t="shared" si="245"/>
        <v>0.65818336358371443</v>
      </c>
      <c r="AM376" s="31" t="str">
        <f t="shared" si="230"/>
        <v>1+773.971338965813i</v>
      </c>
      <c r="AN376" s="31">
        <f t="shared" si="246"/>
        <v>773.97198498429725</v>
      </c>
      <c r="AO376" s="31">
        <f t="shared" si="247"/>
        <v>1.5695042900059335</v>
      </c>
      <c r="AP376" s="58" t="str">
        <f t="shared" si="248"/>
        <v>-0.00269825855482203+0.00209186452406173i</v>
      </c>
      <c r="AQ376" s="49">
        <f t="shared" si="249"/>
        <v>-49.334319655270384</v>
      </c>
      <c r="AR376" s="61">
        <f t="shared" si="250"/>
        <v>142.21484286594526</v>
      </c>
      <c r="AS376" s="58" t="str">
        <f t="shared" si="251"/>
        <v>0.000377658667479027-0.000602328533368569i</v>
      </c>
      <c r="AT376" s="64">
        <f t="shared" si="252"/>
        <v>-62.963426519143383</v>
      </c>
      <c r="AU376" s="61">
        <f t="shared" si="253"/>
        <v>-57.91237826479405</v>
      </c>
    </row>
    <row r="377" spans="14:47" x14ac:dyDescent="0.3">
      <c r="N377" s="10">
        <v>59</v>
      </c>
      <c r="O377" s="50">
        <f t="shared" si="221"/>
        <v>38904.514499428085</v>
      </c>
      <c r="P377" s="48" t="str">
        <f t="shared" si="222"/>
        <v>51201.9230769231</v>
      </c>
      <c r="Q377" s="17" t="str">
        <f t="shared" si="223"/>
        <v>1+11423.0689527385i</v>
      </c>
      <c r="R377" s="17">
        <f t="shared" si="231"/>
        <v>11423.068996509573</v>
      </c>
      <c r="S377" s="17">
        <f t="shared" si="232"/>
        <v>1.5707087846464964</v>
      </c>
      <c r="T377" s="17" t="str">
        <f t="shared" si="224"/>
        <v>1+7.33332821657287E-07i</v>
      </c>
      <c r="U377" s="17">
        <f t="shared" si="233"/>
        <v>1.0000000000002689</v>
      </c>
      <c r="V377" s="17">
        <f t="shared" si="234"/>
        <v>7.3333282165715546E-7</v>
      </c>
      <c r="W377" s="31" t="str">
        <f t="shared" si="225"/>
        <v>1-0.395999723694934i</v>
      </c>
      <c r="X377" s="17">
        <f t="shared" si="235"/>
        <v>1.0755537091035781</v>
      </c>
      <c r="Y377" s="17">
        <f t="shared" si="236"/>
        <v>-0.37705311331266222</v>
      </c>
      <c r="Z377" s="31" t="str">
        <f t="shared" si="226"/>
        <v>0.394575500625514+24.1653308754941i</v>
      </c>
      <c r="AA377" s="17">
        <f t="shared" si="237"/>
        <v>24.168552007677295</v>
      </c>
      <c r="AB377" s="17">
        <f t="shared" si="238"/>
        <v>1.5544696130214086</v>
      </c>
      <c r="AC377" s="66" t="str">
        <f t="shared" si="239"/>
        <v>-0.18664162282083+0.0703884463146986i</v>
      </c>
      <c r="AD377" s="64">
        <f t="shared" si="240"/>
        <v>-14.002301130093164</v>
      </c>
      <c r="AE377" s="61">
        <f t="shared" si="241"/>
        <v>159.33695755996393</v>
      </c>
      <c r="AF377" s="31" t="str">
        <f t="shared" si="227"/>
        <v>-1.33333333333333E-06</v>
      </c>
      <c r="AG377" s="31" t="str">
        <f t="shared" si="228"/>
        <v>0.244688718159648i</v>
      </c>
      <c r="AH377" s="31">
        <f t="shared" si="242"/>
        <v>0.24468871815964799</v>
      </c>
      <c r="AI377" s="31">
        <f t="shared" si="243"/>
        <v>1.5707963267948966</v>
      </c>
      <c r="AJ377" s="31" t="str">
        <f t="shared" si="229"/>
        <v>1+0.791208239150717i</v>
      </c>
      <c r="AK377" s="31">
        <f t="shared" si="244"/>
        <v>1.2751511587651003</v>
      </c>
      <c r="AL377" s="31">
        <f t="shared" si="245"/>
        <v>0.66935707463571226</v>
      </c>
      <c r="AM377" s="31" t="str">
        <f t="shared" si="230"/>
        <v>1+791.999447389869i</v>
      </c>
      <c r="AN377" s="31">
        <f t="shared" si="246"/>
        <v>792.00007870318927</v>
      </c>
      <c r="AO377" s="31">
        <f t="shared" si="247"/>
        <v>1.5695337003222558</v>
      </c>
      <c r="AP377" s="58" t="str">
        <f t="shared" si="248"/>
        <v>-0.00265150378910231+0.00210334074423734i</v>
      </c>
      <c r="AQ377" s="49">
        <f t="shared" si="249"/>
        <v>-49.410233087427457</v>
      </c>
      <c r="AR377" s="61">
        <f t="shared" si="250"/>
        <v>141.57632146816655</v>
      </c>
      <c r="AS377" s="58" t="str">
        <f t="shared" si="251"/>
        <v>0.000346830083056367-0.000579206161962077i</v>
      </c>
      <c r="AT377" s="64">
        <f t="shared" si="252"/>
        <v>-63.41253421752063</v>
      </c>
      <c r="AU377" s="61">
        <f t="shared" si="253"/>
        <v>-59.086720971869447</v>
      </c>
    </row>
    <row r="378" spans="14:47" x14ac:dyDescent="0.3">
      <c r="N378" s="10">
        <v>60</v>
      </c>
      <c r="O378" s="50">
        <f t="shared" si="221"/>
        <v>39810.717055349742</v>
      </c>
      <c r="P378" s="48" t="str">
        <f t="shared" si="222"/>
        <v>51201.9230769231</v>
      </c>
      <c r="Q378" s="17" t="str">
        <f t="shared" si="223"/>
        <v>1+11689.1464096771i</v>
      </c>
      <c r="R378" s="17">
        <f t="shared" si="231"/>
        <v>11689.146452451821</v>
      </c>
      <c r="S378" s="17">
        <f t="shared" si="232"/>
        <v>1.5707107773490678</v>
      </c>
      <c r="T378" s="17" t="str">
        <f t="shared" si="224"/>
        <v>1+7.50414337411372E-07i</v>
      </c>
      <c r="U378" s="17">
        <f t="shared" si="233"/>
        <v>1.0000000000002816</v>
      </c>
      <c r="V378" s="17">
        <f t="shared" si="234"/>
        <v>7.5041433741123118E-7</v>
      </c>
      <c r="W378" s="31" t="str">
        <f t="shared" si="225"/>
        <v>1-0.40522374220214i</v>
      </c>
      <c r="X378" s="17">
        <f t="shared" si="235"/>
        <v>1.0789839114853874</v>
      </c>
      <c r="Y378" s="17">
        <f t="shared" si="236"/>
        <v>-0.38500147583980432</v>
      </c>
      <c r="Z378" s="31" t="str">
        <f t="shared" si="226"/>
        <v>0.366042723015554+24.7282137410388i</v>
      </c>
      <c r="AA378" s="17">
        <f t="shared" si="237"/>
        <v>24.730922791064081</v>
      </c>
      <c r="AB378" s="17">
        <f t="shared" si="238"/>
        <v>1.5559947727948369</v>
      </c>
      <c r="AC378" s="66" t="str">
        <f t="shared" si="239"/>
        <v>-0.178167054557488+0.0691277272208588i</v>
      </c>
      <c r="AD378" s="64">
        <f t="shared" si="240"/>
        <v>-14.374437592954813</v>
      </c>
      <c r="AE378" s="61">
        <f t="shared" si="241"/>
        <v>158.79405152026976</v>
      </c>
      <c r="AF378" s="31" t="str">
        <f t="shared" si="227"/>
        <v>-1.33333333333333E-06</v>
      </c>
      <c r="AG378" s="31" t="str">
        <f t="shared" si="228"/>
        <v>0.250388250582928i</v>
      </c>
      <c r="AH378" s="31">
        <f t="shared" si="242"/>
        <v>0.25038825058292802</v>
      </c>
      <c r="AI378" s="31">
        <f t="shared" si="243"/>
        <v>1.5707963267948966</v>
      </c>
      <c r="AJ378" s="31" t="str">
        <f t="shared" si="229"/>
        <v>1+0.809637846557722i</v>
      </c>
      <c r="AK378" s="31">
        <f t="shared" si="244"/>
        <v>1.2866675726770398</v>
      </c>
      <c r="AL378" s="31">
        <f t="shared" si="245"/>
        <v>0.68059011169105132</v>
      </c>
      <c r="AM378" s="31" t="str">
        <f t="shared" si="230"/>
        <v>1+810.447484404281i</v>
      </c>
      <c r="AN378" s="31">
        <f t="shared" si="246"/>
        <v>810.4481013471667</v>
      </c>
      <c r="AO378" s="31">
        <f t="shared" si="247"/>
        <v>1.5695624411801565</v>
      </c>
      <c r="AP378" s="58" t="str">
        <f t="shared" si="248"/>
        <v>-0.00260425124427027+0.00211382543280355i</v>
      </c>
      <c r="AQ378" s="49">
        <f t="shared" si="249"/>
        <v>-49.488327116503363</v>
      </c>
      <c r="AR378" s="61">
        <f t="shared" si="250"/>
        <v>140.934362583639</v>
      </c>
      <c r="AS378" s="58" t="str">
        <f t="shared" si="251"/>
        <v>0.00031786782560795-0.000556640020839813i</v>
      </c>
      <c r="AT378" s="64">
        <f t="shared" si="252"/>
        <v>-63.862764709458176</v>
      </c>
      <c r="AU378" s="61">
        <f t="shared" si="253"/>
        <v>-60.271585896091196</v>
      </c>
    </row>
    <row r="379" spans="14:47" x14ac:dyDescent="0.3">
      <c r="N379" s="10">
        <v>61</v>
      </c>
      <c r="O379" s="50">
        <f t="shared" si="221"/>
        <v>40738.027780411358</v>
      </c>
      <c r="P379" s="48" t="str">
        <f t="shared" si="222"/>
        <v>51201.9230769231</v>
      </c>
      <c r="Q379" s="17" t="str">
        <f t="shared" si="223"/>
        <v>1+11961.4216067664i</v>
      </c>
      <c r="R379" s="17">
        <f t="shared" si="231"/>
        <v>11961.42164856745</v>
      </c>
      <c r="S379" s="17">
        <f t="shared" si="232"/>
        <v>1.5707127246921913</v>
      </c>
      <c r="T379" s="17" t="str">
        <f t="shared" si="224"/>
        <v>1+7.67893732780063E-07i</v>
      </c>
      <c r="U379" s="17">
        <f t="shared" si="233"/>
        <v>1.0000000000002949</v>
      </c>
      <c r="V379" s="17">
        <f t="shared" si="234"/>
        <v>7.6789373277991206E-7</v>
      </c>
      <c r="W379" s="31" t="str">
        <f t="shared" si="225"/>
        <v>1-0.414662615701233i</v>
      </c>
      <c r="X379" s="17">
        <f t="shared" si="235"/>
        <v>1.0825641250568894</v>
      </c>
      <c r="Y379" s="17">
        <f t="shared" si="236"/>
        <v>-0.39308231182747605</v>
      </c>
      <c r="Z379" s="31" t="str">
        <f t="shared" si="226"/>
        <v>0.336165237024974+25.3042078328257i</v>
      </c>
      <c r="AA379" s="17">
        <f t="shared" si="237"/>
        <v>25.306440704165045</v>
      </c>
      <c r="AB379" s="17">
        <f t="shared" si="238"/>
        <v>1.5575121542676038</v>
      </c>
      <c r="AC379" s="66" t="str">
        <f t="shared" si="239"/>
        <v>-0.170072687422125+0.0678727554056608i</v>
      </c>
      <c r="AD379" s="64">
        <f t="shared" si="240"/>
        <v>-14.745479258757525</v>
      </c>
      <c r="AE379" s="61">
        <f t="shared" si="241"/>
        <v>158.24400359589117</v>
      </c>
      <c r="AF379" s="31" t="str">
        <f t="shared" si="227"/>
        <v>-1.33333333333333E-06</v>
      </c>
      <c r="AG379" s="31" t="str">
        <f t="shared" si="228"/>
        <v>0.256220542170948i</v>
      </c>
      <c r="AH379" s="31">
        <f t="shared" si="242"/>
        <v>0.25622054217094797</v>
      </c>
      <c r="AI379" s="31">
        <f t="shared" si="243"/>
        <v>1.5707963267948966</v>
      </c>
      <c r="AJ379" s="31" t="str">
        <f t="shared" si="229"/>
        <v>1+0.828496734667798i</v>
      </c>
      <c r="AK379" s="31">
        <f t="shared" si="244"/>
        <v>1.2986172797846192</v>
      </c>
      <c r="AL379" s="31">
        <f t="shared" si="245"/>
        <v>0.6918770921179912</v>
      </c>
      <c r="AM379" s="31" t="str">
        <f t="shared" si="230"/>
        <v>1+829.325231402467i</v>
      </c>
      <c r="AN379" s="31">
        <f t="shared" si="246"/>
        <v>829.3258343020284</v>
      </c>
      <c r="AO379" s="31">
        <f t="shared" si="247"/>
        <v>1.5695905278182292</v>
      </c>
      <c r="AP379" s="58" t="str">
        <f t="shared" si="248"/>
        <v>-0.00255654379603323+0.00212329203730226i</v>
      </c>
      <c r="AQ379" s="49">
        <f t="shared" si="249"/>
        <v>-49.568623847370517</v>
      </c>
      <c r="AR379" s="61">
        <f t="shared" si="250"/>
        <v>140.2892754875509</v>
      </c>
      <c r="AS379" s="58" t="str">
        <f t="shared" si="251"/>
        <v>0.000290684592801129-0.000534633654718017i</v>
      </c>
      <c r="AT379" s="64">
        <f t="shared" si="252"/>
        <v>-64.314103106128059</v>
      </c>
      <c r="AU379" s="61">
        <f t="shared" si="253"/>
        <v>-61.466720916557883</v>
      </c>
    </row>
    <row r="380" spans="14:47" x14ac:dyDescent="0.3">
      <c r="N380" s="10">
        <v>62</v>
      </c>
      <c r="O380" s="50">
        <f t="shared" si="221"/>
        <v>41686.938347033625</v>
      </c>
      <c r="P380" s="48" t="str">
        <f t="shared" si="222"/>
        <v>51201.9230769231</v>
      </c>
      <c r="Q380" s="17" t="str">
        <f t="shared" si="223"/>
        <v>1+12240.0389079196i</v>
      </c>
      <c r="R380" s="17">
        <f t="shared" si="231"/>
        <v>12240.038948769143</v>
      </c>
      <c r="S380" s="17">
        <f t="shared" si="232"/>
        <v>1.5707146277083743</v>
      </c>
      <c r="T380" s="17" t="str">
        <f t="shared" si="224"/>
        <v>1+7.8578027557015E-07i</v>
      </c>
      <c r="U380" s="17">
        <f t="shared" si="233"/>
        <v>1.0000000000003086</v>
      </c>
      <c r="V380" s="17">
        <f t="shared" si="234"/>
        <v>7.8578027556998835E-7</v>
      </c>
      <c r="W380" s="31" t="str">
        <f t="shared" si="225"/>
        <v>1-0.42432134880788i</v>
      </c>
      <c r="X380" s="17">
        <f t="shared" si="235"/>
        <v>1.0863004220997701</v>
      </c>
      <c r="Y380" s="17">
        <f t="shared" si="236"/>
        <v>-0.4012956833728164</v>
      </c>
      <c r="Z380" s="31" t="str">
        <f t="shared" si="226"/>
        <v>0.304879668500245+25.8936185505464i</v>
      </c>
      <c r="AA380" s="17">
        <f t="shared" si="237"/>
        <v>25.895413363247659</v>
      </c>
      <c r="AB380" s="17">
        <f t="shared" si="238"/>
        <v>1.5590225540359286</v>
      </c>
      <c r="AC380" s="66" t="str">
        <f t="shared" si="239"/>
        <v>-0.162341517127973+0.0666249218952085i</v>
      </c>
      <c r="AD380" s="64">
        <f t="shared" si="240"/>
        <v>-15.115388532684548</v>
      </c>
      <c r="AE380" s="61">
        <f t="shared" si="241"/>
        <v>157.68676452869562</v>
      </c>
      <c r="AF380" s="31" t="str">
        <f t="shared" si="227"/>
        <v>-1.33333333333333E-06</v>
      </c>
      <c r="AG380" s="31" t="str">
        <f t="shared" si="228"/>
        <v>0.262188685281906i</v>
      </c>
      <c r="AH380" s="31">
        <f t="shared" si="242"/>
        <v>0.26218868528190598</v>
      </c>
      <c r="AI380" s="31">
        <f t="shared" si="243"/>
        <v>1.5707963267948966</v>
      </c>
      <c r="AJ380" s="31" t="str">
        <f t="shared" si="229"/>
        <v>1+0.847794902713047i</v>
      </c>
      <c r="AK380" s="31">
        <f t="shared" si="244"/>
        <v>1.3110134236788824</v>
      </c>
      <c r="AL380" s="31">
        <f t="shared" si="245"/>
        <v>0.70321249782040629</v>
      </c>
      <c r="AM380" s="31" t="str">
        <f t="shared" si="230"/>
        <v>1+848.642697615761i</v>
      </c>
      <c r="AN380" s="31">
        <f t="shared" si="246"/>
        <v>848.64328679166249</v>
      </c>
      <c r="AO380" s="31">
        <f t="shared" si="247"/>
        <v>1.5696179751282036</v>
      </c>
      <c r="AP380" s="58" t="str">
        <f t="shared" si="248"/>
        <v>-0.00250842612239055+0.00213171627655499i</v>
      </c>
      <c r="AQ380" s="49">
        <f t="shared" si="249"/>
        <v>-49.651143353541407</v>
      </c>
      <c r="AR380" s="61">
        <f t="shared" si="250"/>
        <v>139.64137719675429</v>
      </c>
      <c r="AS380" s="58" t="str">
        <f t="shared" si="251"/>
        <v>0.0002651962718841-0.000513189748906502i</v>
      </c>
      <c r="AT380" s="64">
        <f t="shared" si="252"/>
        <v>-64.766531886225948</v>
      </c>
      <c r="AU380" s="61">
        <f t="shared" si="253"/>
        <v>-62.671858274550033</v>
      </c>
    </row>
    <row r="381" spans="14:47" x14ac:dyDescent="0.3">
      <c r="N381" s="10">
        <v>63</v>
      </c>
      <c r="O381" s="50">
        <f t="shared" si="221"/>
        <v>42657.951880159271</v>
      </c>
      <c r="P381" s="48" t="str">
        <f t="shared" si="222"/>
        <v>51201.9230769231</v>
      </c>
      <c r="Q381" s="17" t="str">
        <f t="shared" si="223"/>
        <v>1+12525.1460397179i</v>
      </c>
      <c r="R381" s="17">
        <f t="shared" si="231"/>
        <v>12525.146079637592</v>
      </c>
      <c r="S381" s="17">
        <f t="shared" si="232"/>
        <v>1.5707164874066208</v>
      </c>
      <c r="T381" s="17" t="str">
        <f t="shared" si="224"/>
        <v>1+8.04083449463374E-07i</v>
      </c>
      <c r="U381" s="17">
        <f t="shared" si="233"/>
        <v>1.0000000000003233</v>
      </c>
      <c r="V381" s="17">
        <f t="shared" si="234"/>
        <v>8.0408344946320066E-7</v>
      </c>
      <c r="W381" s="31" t="str">
        <f t="shared" si="225"/>
        <v>1-0.434205062710221i</v>
      </c>
      <c r="X381" s="17">
        <f t="shared" si="235"/>
        <v>1.090199081123804</v>
      </c>
      <c r="Y381" s="17">
        <f t="shared" si="236"/>
        <v>-0.40964151170586427</v>
      </c>
      <c r="Z381" s="31" t="str">
        <f t="shared" si="226"/>
        <v>0.272119656556002+26.496758407565i</v>
      </c>
      <c r="AA381" s="17">
        <f t="shared" si="237"/>
        <v>26.498155694620539</v>
      </c>
      <c r="AB381" s="17">
        <f t="shared" si="238"/>
        <v>1.5605267652871431</v>
      </c>
      <c r="AC381" s="66" t="str">
        <f t="shared" si="239"/>
        <v>-0.154957295306811+0.0653854849358887i</v>
      </c>
      <c r="AD381" s="64">
        <f t="shared" si="240"/>
        <v>-15.484127255748103</v>
      </c>
      <c r="AE381" s="61">
        <f t="shared" si="241"/>
        <v>157.1222933283145</v>
      </c>
      <c r="AF381" s="31" t="str">
        <f t="shared" si="227"/>
        <v>-1.33333333333333E-06</v>
      </c>
      <c r="AG381" s="31" t="str">
        <f t="shared" si="228"/>
        <v>0.268295844304278i</v>
      </c>
      <c r="AH381" s="31">
        <f t="shared" si="242"/>
        <v>0.268295844304278</v>
      </c>
      <c r="AI381" s="31">
        <f t="shared" si="243"/>
        <v>1.5707963267948966</v>
      </c>
      <c r="AJ381" s="31" t="str">
        <f t="shared" si="229"/>
        <v>1+0.867542582837604i</v>
      </c>
      <c r="AK381" s="31">
        <f t="shared" si="244"/>
        <v>1.3238693791445366</v>
      </c>
      <c r="AL381" s="31">
        <f t="shared" si="245"/>
        <v>0.71459068775445755</v>
      </c>
      <c r="AM381" s="31" t="str">
        <f t="shared" si="230"/>
        <v>1+868.410125420443i</v>
      </c>
      <c r="AN381" s="31">
        <f t="shared" si="246"/>
        <v>868.41070118507264</v>
      </c>
      <c r="AO381" s="31">
        <f t="shared" si="247"/>
        <v>1.5696447976628412</v>
      </c>
      <c r="AP381" s="58" t="str">
        <f t="shared" si="248"/>
        <v>-0.00245994454932249+0.00213907628636739i</v>
      </c>
      <c r="AQ381" s="49">
        <f t="shared" si="249"/>
        <v>-49.735903597087301</v>
      </c>
      <c r="AR381" s="61">
        <f t="shared" si="250"/>
        <v>138.99099175306569</v>
      </c>
      <c r="AS381" s="58" t="str">
        <f t="shared" si="251"/>
        <v>0.000241321813668753-0.000492310143063275i</v>
      </c>
      <c r="AT381" s="64">
        <f t="shared" si="252"/>
        <v>-65.220030852835407</v>
      </c>
      <c r="AU381" s="61">
        <f t="shared" si="253"/>
        <v>-63.886714918619859</v>
      </c>
    </row>
    <row r="382" spans="14:47" x14ac:dyDescent="0.3">
      <c r="N382" s="10">
        <v>64</v>
      </c>
      <c r="O382" s="50">
        <f t="shared" si="221"/>
        <v>43651.583224016598</v>
      </c>
      <c r="P382" s="48" t="str">
        <f t="shared" si="222"/>
        <v>51201.9230769231</v>
      </c>
      <c r="Q382" s="17" t="str">
        <f t="shared" si="223"/>
        <v>1+12816.8941697364i</v>
      </c>
      <c r="R382" s="17">
        <f t="shared" si="231"/>
        <v>12816.894208747412</v>
      </c>
      <c r="S382" s="17">
        <f t="shared" si="232"/>
        <v>1.5707183047729678</v>
      </c>
      <c r="T382" s="17" t="str">
        <f t="shared" si="224"/>
        <v>1+8.22812959044805E-07i</v>
      </c>
      <c r="U382" s="17">
        <f t="shared" si="233"/>
        <v>1.0000000000003384</v>
      </c>
      <c r="V382" s="17">
        <f t="shared" si="234"/>
        <v>8.2281295904461924E-7</v>
      </c>
      <c r="W382" s="31" t="str">
        <f t="shared" si="225"/>
        <v>1-0.444318997884194i</v>
      </c>
      <c r="X382" s="17">
        <f t="shared" si="235"/>
        <v>1.09426659086386</v>
      </c>
      <c r="Y382" s="17">
        <f t="shared" si="236"/>
        <v>-0.41811957035815966</v>
      </c>
      <c r="Z382" s="31" t="str">
        <f t="shared" si="226"/>
        <v>0.2378157128147+27.1139471966174i</v>
      </c>
      <c r="AA382" s="17">
        <f t="shared" si="237"/>
        <v>27.114990114219442</v>
      </c>
      <c r="AB382" s="17">
        <f t="shared" si="238"/>
        <v>1.5620255781840078</v>
      </c>
      <c r="AC382" s="66" t="str">
        <f t="shared" si="239"/>
        <v>-0.147904496311674+0.0641555797017126i</v>
      </c>
      <c r="AD382" s="64">
        <f t="shared" si="240"/>
        <v>-15.85165674635644</v>
      </c>
      <c r="AE382" s="61">
        <f t="shared" si="241"/>
        <v>156.55055764150376</v>
      </c>
      <c r="AF382" s="31" t="str">
        <f t="shared" si="227"/>
        <v>-1.33333333333333E-06</v>
      </c>
      <c r="AG382" s="31" t="str">
        <f t="shared" si="228"/>
        <v>0.274545257334616i</v>
      </c>
      <c r="AH382" s="31">
        <f t="shared" si="242"/>
        <v>0.27454525733461599</v>
      </c>
      <c r="AI382" s="31">
        <f t="shared" si="243"/>
        <v>1.5707963267948966</v>
      </c>
      <c r="AJ382" s="31" t="str">
        <f t="shared" si="229"/>
        <v>1+0.887750245522864i</v>
      </c>
      <c r="AK382" s="31">
        <f t="shared" si="244"/>
        <v>1.3371987505325846</v>
      </c>
      <c r="AL382" s="31">
        <f t="shared" si="245"/>
        <v>0.72600591119094415</v>
      </c>
      <c r="AM382" s="31" t="str">
        <f t="shared" si="230"/>
        <v>1+888.637995768388i</v>
      </c>
      <c r="AN382" s="31">
        <f t="shared" si="246"/>
        <v>888.6385584270231</v>
      </c>
      <c r="AO382" s="31">
        <f t="shared" si="247"/>
        <v>1.5696710096436506</v>
      </c>
      <c r="AP382" s="58" t="str">
        <f t="shared" si="248"/>
        <v>-0.00241114688270427+0.00214535275274219i</v>
      </c>
      <c r="AQ382" s="49">
        <f t="shared" si="249"/>
        <v>-49.822920356039155</v>
      </c>
      <c r="AR382" s="61">
        <f t="shared" si="250"/>
        <v>138.33844946382933</v>
      </c>
      <c r="AS382" s="58" t="str">
        <f t="shared" si="251"/>
        <v>0.000218983115702998-0.000471995844311067i</v>
      </c>
      <c r="AT382" s="64">
        <f t="shared" si="252"/>
        <v>-65.674577102395588</v>
      </c>
      <c r="AU382" s="61">
        <f t="shared" si="253"/>
        <v>-65.110992894666907</v>
      </c>
    </row>
    <row r="383" spans="14:47" x14ac:dyDescent="0.3">
      <c r="N383" s="10">
        <v>65</v>
      </c>
      <c r="O383" s="50">
        <f t="shared" si="221"/>
        <v>44668.359215096389</v>
      </c>
      <c r="P383" s="48" t="str">
        <f t="shared" si="222"/>
        <v>51201.9230769231</v>
      </c>
      <c r="Q383" s="17" t="str">
        <f t="shared" si="223"/>
        <v>1+13115.4379866953i</v>
      </c>
      <c r="R383" s="17">
        <f t="shared" si="231"/>
        <v>13115.438024818312</v>
      </c>
      <c r="S383" s="17">
        <f t="shared" si="232"/>
        <v>1.5707200807710067</v>
      </c>
      <c r="T383" s="17" t="str">
        <f t="shared" si="224"/>
        <v>1+8.41978734948343E-07i</v>
      </c>
      <c r="U383" s="17">
        <f t="shared" si="233"/>
        <v>1.0000000000003544</v>
      </c>
      <c r="V383" s="17">
        <f t="shared" si="234"/>
        <v>8.419787349481441E-7</v>
      </c>
      <c r="W383" s="31" t="str">
        <f t="shared" si="225"/>
        <v>1-0.454668516872105i</v>
      </c>
      <c r="X383" s="17">
        <f t="shared" si="235"/>
        <v>1.0985096541381325</v>
      </c>
      <c r="Y383" s="17">
        <f t="shared" si="236"/>
        <v>-0.42672947840902026</v>
      </c>
      <c r="Z383" s="31" t="str">
        <f t="shared" si="226"/>
        <v>0.201895074012441+27.7455121593691i</v>
      </c>
      <c r="AA383" s="17">
        <f t="shared" si="237"/>
        <v>27.746246712061961</v>
      </c>
      <c r="AB383" s="17">
        <f t="shared" si="238"/>
        <v>1.5635197802486291</v>
      </c>
      <c r="AC383" s="66" t="str">
        <f t="shared" si="239"/>
        <v>-0.141168285441718+0.062936227341132i</v>
      </c>
      <c r="AD383" s="64">
        <f t="shared" si="240"/>
        <v>-16.217937846638844</v>
      </c>
      <c r="AE383" s="61">
        <f t="shared" si="241"/>
        <v>155.97153411707731</v>
      </c>
      <c r="AF383" s="31" t="str">
        <f t="shared" si="227"/>
        <v>-1.33333333333333E-06</v>
      </c>
      <c r="AG383" s="31" t="str">
        <f t="shared" si="228"/>
        <v>0.28094023789443i</v>
      </c>
      <c r="AH383" s="31">
        <f t="shared" si="242"/>
        <v>0.28094023789443001</v>
      </c>
      <c r="AI383" s="31">
        <f t="shared" si="243"/>
        <v>1.5707963267948966</v>
      </c>
      <c r="AJ383" s="31" t="str">
        <f t="shared" si="229"/>
        <v>1+0.908428605139069i</v>
      </c>
      <c r="AK383" s="31">
        <f t="shared" si="244"/>
        <v>1.3510153702437713</v>
      </c>
      <c r="AL383" s="31">
        <f t="shared" si="245"/>
        <v>0.73745232165258678</v>
      </c>
      <c r="AM383" s="31" t="str">
        <f t="shared" si="230"/>
        <v>1+909.337033744209i</v>
      </c>
      <c r="AN383" s="31">
        <f t="shared" si="246"/>
        <v>909.33758359517753</v>
      </c>
      <c r="AO383" s="31">
        <f t="shared" si="247"/>
        <v>1.5696966249684268</v>
      </c>
      <c r="AP383" s="58" t="str">
        <f t="shared" si="248"/>
        <v>-0.0023620822276379+0.00215052903111447i</v>
      </c>
      <c r="AQ383" s="49">
        <f t="shared" si="249"/>
        <v>-49.9122071598822</v>
      </c>
      <c r="AR383" s="61">
        <f t="shared" si="250"/>
        <v>137.68408610380325</v>
      </c>
      <c r="AS383" s="58" t="str">
        <f t="shared" si="251"/>
        <v>0.000198104914142072-0.000452247040192135i</v>
      </c>
      <c r="AT383" s="64">
        <f t="shared" si="252"/>
        <v>-66.130145006521047</v>
      </c>
      <c r="AU383" s="61">
        <f t="shared" si="253"/>
        <v>-66.344379779119365</v>
      </c>
    </row>
    <row r="384" spans="14:47" x14ac:dyDescent="0.3">
      <c r="N384" s="10">
        <v>66</v>
      </c>
      <c r="O384" s="50">
        <f t="shared" ref="O384:O418" si="254">10^(4+(N384/100))</f>
        <v>45708.818961487581</v>
      </c>
      <c r="P384" s="48" t="str">
        <f t="shared" si="222"/>
        <v>51201.9230769231</v>
      </c>
      <c r="Q384" s="17" t="str">
        <f t="shared" si="223"/>
        <v>1+13420.9357824781i</v>
      </c>
      <c r="R384" s="17">
        <f t="shared" si="231"/>
        <v>13420.935819733326</v>
      </c>
      <c r="S384" s="17">
        <f t="shared" si="232"/>
        <v>1.5707218163423948</v>
      </c>
      <c r="T384" s="17" t="str">
        <f t="shared" si="224"/>
        <v>1+8.61590939122051E-07i</v>
      </c>
      <c r="U384" s="17">
        <f t="shared" si="233"/>
        <v>1.0000000000003713</v>
      </c>
      <c r="V384" s="17">
        <f t="shared" si="234"/>
        <v>8.6159093912183774E-7</v>
      </c>
      <c r="W384" s="31" t="str">
        <f t="shared" si="225"/>
        <v>1-0.465259107125907i</v>
      </c>
      <c r="X384" s="17">
        <f t="shared" si="235"/>
        <v>1.1029351915518864</v>
      </c>
      <c r="Y384" s="17">
        <f t="shared" si="236"/>
        <v>-0.4354706938503014</v>
      </c>
      <c r="Z384" s="31" t="str">
        <f t="shared" si="226"/>
        <v>0.164281547658383+28.3917881599227i</v>
      </c>
      <c r="AA384" s="17">
        <f t="shared" si="237"/>
        <v>28.392263441734048</v>
      </c>
      <c r="AB384" s="17">
        <f t="shared" si="238"/>
        <v>1.5650101567460144</v>
      </c>
      <c r="AC384" s="66" t="str">
        <f t="shared" si="239"/>
        <v>-0.134734488531505+0.0617283434069817i</v>
      </c>
      <c r="AD384" s="64">
        <f t="shared" si="240"/>
        <v>-16.582930973641883</v>
      </c>
      <c r="AE384" s="61">
        <f t="shared" si="241"/>
        <v>155.38520876407259</v>
      </c>
      <c r="AF384" s="31" t="str">
        <f t="shared" si="227"/>
        <v>-1.33333333333333E-06</v>
      </c>
      <c r="AG384" s="31" t="str">
        <f t="shared" si="228"/>
        <v>0.287484176687058i</v>
      </c>
      <c r="AH384" s="31">
        <f t="shared" si="242"/>
        <v>0.287484176687058</v>
      </c>
      <c r="AI384" s="31">
        <f t="shared" si="243"/>
        <v>1.5707963267948966</v>
      </c>
      <c r="AJ384" s="31" t="str">
        <f t="shared" si="229"/>
        <v>1+0.929588625626187i</v>
      </c>
      <c r="AK384" s="31">
        <f t="shared" si="244"/>
        <v>1.3653332973649999</v>
      </c>
      <c r="AL384" s="31">
        <f t="shared" si="245"/>
        <v>0.748923991447903</v>
      </c>
      <c r="AM384" s="31" t="str">
        <f t="shared" si="230"/>
        <v>1+930.518214251814i</v>
      </c>
      <c r="AN384" s="31">
        <f t="shared" si="246"/>
        <v>930.51875158665393</v>
      </c>
      <c r="AO384" s="31">
        <f t="shared" si="247"/>
        <v>1.5697216572186192</v>
      </c>
      <c r="AP384" s="58" t="str">
        <f t="shared" si="248"/>
        <v>-0.00231280079657389+0.00215459125025462i</v>
      </c>
      <c r="AQ384" s="49">
        <f t="shared" si="249"/>
        <v>-50.003775233697624</v>
      </c>
      <c r="AR384" s="61">
        <f t="shared" si="250"/>
        <v>137.0282420828517</v>
      </c>
      <c r="AS384" s="58" t="str">
        <f t="shared" si="251"/>
        <v>0.000178614683804245-0.000433063111900366i</v>
      </c>
      <c r="AT384" s="64">
        <f t="shared" si="252"/>
        <v>-66.586706207339503</v>
      </c>
      <c r="AU384" s="61">
        <f t="shared" si="253"/>
        <v>-67.586549153075708</v>
      </c>
    </row>
    <row r="385" spans="14:47" x14ac:dyDescent="0.3">
      <c r="N385" s="10">
        <v>67</v>
      </c>
      <c r="O385" s="50">
        <f t="shared" si="254"/>
        <v>46773.514128719893</v>
      </c>
      <c r="P385" s="48" t="str">
        <f t="shared" si="222"/>
        <v>51201.9230769231</v>
      </c>
      <c r="Q385" s="17" t="str">
        <f t="shared" si="223"/>
        <v>1+13733.5495360599i</v>
      </c>
      <c r="R385" s="17">
        <f t="shared" si="231"/>
        <v>13733.549572467093</v>
      </c>
      <c r="S385" s="17">
        <f t="shared" si="232"/>
        <v>1.5707235124073555</v>
      </c>
      <c r="T385" s="17" t="str">
        <f t="shared" si="224"/>
        <v>1+8.81659970216191E-07i</v>
      </c>
      <c r="U385" s="17">
        <f t="shared" si="233"/>
        <v>1.0000000000003886</v>
      </c>
      <c r="V385" s="17">
        <f t="shared" si="234"/>
        <v>8.816599702159625E-7</v>
      </c>
      <c r="W385" s="31" t="str">
        <f t="shared" si="225"/>
        <v>1-0.476096383916742i</v>
      </c>
      <c r="X385" s="17">
        <f t="shared" si="235"/>
        <v>1.1075503450311404</v>
      </c>
      <c r="Y385" s="17">
        <f t="shared" si="236"/>
        <v>-0.44434250711323436</v>
      </c>
      <c r="Z385" s="31" t="str">
        <f t="shared" si="226"/>
        <v>0.124895350420173+29.0531178623687i</v>
      </c>
      <c r="AA385" s="17">
        <f t="shared" si="237"/>
        <v>29.053386315079415</v>
      </c>
      <c r="AB385" s="17">
        <f t="shared" si="238"/>
        <v>1.5664974910673166</v>
      </c>
      <c r="AC385" s="66" t="str">
        <f t="shared" si="239"/>
        <v>-0.128589562849033+0.0605327457103794i</v>
      </c>
      <c r="AD385" s="64">
        <f t="shared" si="240"/>
        <v>-16.946596175484828</v>
      </c>
      <c r="AE385" s="61">
        <f t="shared" si="241"/>
        <v>154.79157730064949</v>
      </c>
      <c r="AF385" s="31" t="str">
        <f t="shared" si="227"/>
        <v>-1.33333333333333E-06</v>
      </c>
      <c r="AG385" s="31" t="str">
        <f t="shared" si="228"/>
        <v>0.294180543395468i</v>
      </c>
      <c r="AH385" s="31">
        <f t="shared" si="242"/>
        <v>0.29418054339546801</v>
      </c>
      <c r="AI385" s="31">
        <f t="shared" si="243"/>
        <v>1.5707963267948966</v>
      </c>
      <c r="AJ385" s="31" t="str">
        <f t="shared" si="229"/>
        <v>1+0.951241526307177i</v>
      </c>
      <c r="AK385" s="31">
        <f t="shared" si="244"/>
        <v>1.3801668165012546</v>
      </c>
      <c r="AL385" s="31">
        <f t="shared" si="245"/>
        <v>0.76041492671655186</v>
      </c>
      <c r="AM385" s="31" t="str">
        <f t="shared" si="230"/>
        <v>1+952.192767833485i</v>
      </c>
      <c r="AN385" s="31">
        <f t="shared" si="246"/>
        <v>952.19329293709745</v>
      </c>
      <c r="AO385" s="31">
        <f t="shared" si="247"/>
        <v>1.569746119666533</v>
      </c>
      <c r="AP385" s="58" t="str">
        <f t="shared" si="248"/>
        <v>-0.00226335370775931+0.00215752839964038i</v>
      </c>
      <c r="AQ385" s="49">
        <f t="shared" si="249"/>
        <v>-50.09763345143562</v>
      </c>
      <c r="AR385" s="61">
        <f t="shared" si="250"/>
        <v>136.37126158432193</v>
      </c>
      <c r="AS385" s="58" t="str">
        <f t="shared" si="251"/>
        <v>0.000160442545875155-0.000414442648188569i</v>
      </c>
      <c r="AT385" s="64">
        <f t="shared" si="252"/>
        <v>-67.044229626920441</v>
      </c>
      <c r="AU385" s="61">
        <f t="shared" si="253"/>
        <v>-68.837161115028564</v>
      </c>
    </row>
    <row r="386" spans="14:47" x14ac:dyDescent="0.3">
      <c r="N386" s="10">
        <v>68</v>
      </c>
      <c r="O386" s="50">
        <f t="shared" si="254"/>
        <v>47863.009232263823</v>
      </c>
      <c r="P386" s="48" t="str">
        <f t="shared" si="222"/>
        <v>51201.9230769231</v>
      </c>
      <c r="Q386" s="17" t="str">
        <f t="shared" si="223"/>
        <v>1+14053.4449993906i</v>
      </c>
      <c r="R386" s="17">
        <f t="shared" si="231"/>
        <v>14053.445034969063</v>
      </c>
      <c r="S386" s="17">
        <f t="shared" si="232"/>
        <v>1.5707251698651647</v>
      </c>
      <c r="T386" s="17" t="str">
        <f t="shared" si="224"/>
        <v>1+9.02196469096684E-07i</v>
      </c>
      <c r="U386" s="17">
        <f t="shared" si="233"/>
        <v>1.000000000000407</v>
      </c>
      <c r="V386" s="17">
        <f t="shared" si="234"/>
        <v>9.0219646909643917E-7</v>
      </c>
      <c r="W386" s="31" t="str">
        <f t="shared" si="225"/>
        <v>1-0.487186093312209i</v>
      </c>
      <c r="X386" s="17">
        <f t="shared" si="235"/>
        <v>1.1123624811709591</v>
      </c>
      <c r="Y386" s="17">
        <f t="shared" si="236"/>
        <v>-0.4533440348034124</v>
      </c>
      <c r="Z386" s="31" t="str">
        <f t="shared" si="226"/>
        <v>0.08365293889289+29.7298519124686i</v>
      </c>
      <c r="AA386" s="17">
        <f t="shared" si="237"/>
        <v>29.729969602263274</v>
      </c>
      <c r="AB386" s="17">
        <f t="shared" si="238"/>
        <v>1.567982565112805</v>
      </c>
      <c r="AC386" s="66" t="str">
        <f t="shared" si="239"/>
        <v>-0.12272056924884+0.0593501616367574i</v>
      </c>
      <c r="AD386" s="64">
        <f t="shared" si="240"/>
        <v>-17.308893192534487</v>
      </c>
      <c r="AE386" s="61">
        <f t="shared" si="241"/>
        <v>154.19064549107878</v>
      </c>
      <c r="AF386" s="31" t="str">
        <f t="shared" si="227"/>
        <v>-1.33333333333333E-06</v>
      </c>
      <c r="AG386" s="31" t="str">
        <f t="shared" si="228"/>
        <v>0.301032888521927i</v>
      </c>
      <c r="AH386" s="31">
        <f t="shared" si="242"/>
        <v>0.301032888521927</v>
      </c>
      <c r="AI386" s="31">
        <f t="shared" si="243"/>
        <v>1.5707963267948966</v>
      </c>
      <c r="AJ386" s="31" t="str">
        <f t="shared" si="229"/>
        <v>1+0.97339878783658i</v>
      </c>
      <c r="AK386" s="31">
        <f t="shared" si="244"/>
        <v>1.3955304368453321</v>
      </c>
      <c r="AL386" s="31">
        <f t="shared" si="245"/>
        <v>0.77191908289496969</v>
      </c>
      <c r="AM386" s="31" t="str">
        <f t="shared" si="230"/>
        <v>1+974.372186624418i</v>
      </c>
      <c r="AN386" s="31">
        <f t="shared" si="246"/>
        <v>974.37269977521919</v>
      </c>
      <c r="AO386" s="31">
        <f t="shared" si="247"/>
        <v>1.5697700252823648</v>
      </c>
      <c r="AP386" s="58" t="str">
        <f t="shared" si="248"/>
        <v>-0.00221379277569247+0.00215933239927631i</v>
      </c>
      <c r="AQ386" s="49">
        <f t="shared" si="249"/>
        <v>-50.193788298730325</v>
      </c>
      <c r="AR386" s="61">
        <f t="shared" si="250"/>
        <v>135.71349167933309</v>
      </c>
      <c r="AS386" s="58" t="str">
        <f t="shared" si="251"/>
        <v>0.000143521182707413-0.000396383460304286i</v>
      </c>
      <c r="AT386" s="64">
        <f t="shared" si="252"/>
        <v>-67.502681491264809</v>
      </c>
      <c r="AU386" s="61">
        <f t="shared" si="253"/>
        <v>-70.095862829588171</v>
      </c>
    </row>
    <row r="387" spans="14:47" x14ac:dyDescent="0.3">
      <c r="N387" s="10">
        <v>69</v>
      </c>
      <c r="O387" s="50">
        <f t="shared" si="254"/>
        <v>48977.881936844598</v>
      </c>
      <c r="P387" s="48" t="str">
        <f t="shared" si="222"/>
        <v>51201.9230769231</v>
      </c>
      <c r="Q387" s="17" t="str">
        <f t="shared" si="223"/>
        <v>1+14380.7917852794i</v>
      </c>
      <c r="R387" s="17">
        <f t="shared" si="231"/>
        <v>14380.791820048</v>
      </c>
      <c r="S387" s="17">
        <f t="shared" si="232"/>
        <v>1.5707267895946284</v>
      </c>
      <c r="T387" s="17" t="str">
        <f t="shared" si="224"/>
        <v>1+9.23211324487075E-07i</v>
      </c>
      <c r="U387" s="17">
        <f t="shared" si="233"/>
        <v>1.0000000000004263</v>
      </c>
      <c r="V387" s="17">
        <f t="shared" si="234"/>
        <v>9.2321132448681271E-7</v>
      </c>
      <c r="W387" s="31" t="str">
        <f t="shared" si="225"/>
        <v>1-0.49853411522302i</v>
      </c>
      <c r="X387" s="17">
        <f t="shared" si="235"/>
        <v>1.1173791943835358</v>
      </c>
      <c r="Y387" s="17">
        <f t="shared" si="236"/>
        <v>-0.46247421369251107</v>
      </c>
      <c r="Z387" s="31" t="str">
        <f t="shared" si="226"/>
        <v>0.0404668323922061+30.4223491235736i</v>
      </c>
      <c r="AA387" s="17">
        <f t="shared" si="237"/>
        <v>30.422376037402525</v>
      </c>
      <c r="AB387" s="17">
        <f t="shared" si="238"/>
        <v>1.5694661596746247</v>
      </c>
      <c r="AC387" s="66" t="str">
        <f t="shared" si="239"/>
        <v>-0.11711514552844+0.0581812349597197i</v>
      </c>
      <c r="AD387" s="64">
        <f t="shared" si="240"/>
        <v>-17.669781523629872</v>
      </c>
      <c r="AE387" s="61">
        <f t="shared" si="241"/>
        <v>153.58242946803335</v>
      </c>
      <c r="AF387" s="31" t="str">
        <f t="shared" si="227"/>
        <v>-1.33333333333333E-06</v>
      </c>
      <c r="AG387" s="31" t="str">
        <f t="shared" si="228"/>
        <v>0.308044845270521i</v>
      </c>
      <c r="AH387" s="31">
        <f t="shared" si="242"/>
        <v>0.30804484527052101</v>
      </c>
      <c r="AI387" s="31">
        <f t="shared" si="243"/>
        <v>1.5707963267948966</v>
      </c>
      <c r="AJ387" s="31" t="str">
        <f t="shared" si="229"/>
        <v>1+0.996072158287751i</v>
      </c>
      <c r="AK387" s="31">
        <f t="shared" si="244"/>
        <v>1.4114388915273726</v>
      </c>
      <c r="AL387" s="31">
        <f t="shared" si="245"/>
        <v>0.78343038050634239</v>
      </c>
      <c r="AM387" s="31" t="str">
        <f t="shared" si="230"/>
        <v>1+997.06823044604i</v>
      </c>
      <c r="AN387" s="31">
        <f t="shared" si="246"/>
        <v>997.06873191610907</v>
      </c>
      <c r="AO387" s="31">
        <f t="shared" si="247"/>
        <v>1.5697933867410787</v>
      </c>
      <c r="AP387" s="58" t="str">
        <f t="shared" si="248"/>
        <v>-0.0021641702953841+0.00215999815113661i</v>
      </c>
      <c r="AQ387" s="49">
        <f t="shared" si="249"/>
        <v>-50.292243845585801</v>
      </c>
      <c r="AR387" s="61">
        <f t="shared" si="250"/>
        <v>135.0552814224699</v>
      </c>
      <c r="AS387" s="58" t="str">
        <f t="shared" si="251"/>
        <v>0.000127785759148397-0.000378882598260114i</v>
      </c>
      <c r="AT387" s="64">
        <f t="shared" si="252"/>
        <v>-67.962025369215667</v>
      </c>
      <c r="AU387" s="61">
        <f t="shared" si="253"/>
        <v>-71.362289109496686</v>
      </c>
    </row>
    <row r="388" spans="14:47" x14ac:dyDescent="0.3">
      <c r="N388" s="10">
        <v>70</v>
      </c>
      <c r="O388" s="50">
        <f t="shared" si="254"/>
        <v>50118.723362727294</v>
      </c>
      <c r="P388" s="48" t="str">
        <f t="shared" si="222"/>
        <v>51201.9230769231</v>
      </c>
      <c r="Q388" s="17" t="str">
        <f t="shared" si="223"/>
        <v>1+14715.7634573251i</v>
      </c>
      <c r="R388" s="17">
        <f t="shared" si="231"/>
        <v>14715.76349130227</v>
      </c>
      <c r="S388" s="17">
        <f t="shared" si="232"/>
        <v>1.5707283724545487</v>
      </c>
      <c r="T388" s="17" t="str">
        <f t="shared" si="224"/>
        <v>1+9.44715678741859E-07i</v>
      </c>
      <c r="U388" s="17">
        <f t="shared" si="233"/>
        <v>1.0000000000004463</v>
      </c>
      <c r="V388" s="17">
        <f t="shared" si="234"/>
        <v>9.4471567874157803E-7</v>
      </c>
      <c r="W388" s="31" t="str">
        <f t="shared" si="225"/>
        <v>1-0.510146466520603i</v>
      </c>
      <c r="X388" s="17">
        <f t="shared" si="235"/>
        <v>1.1226083098318205</v>
      </c>
      <c r="Y388" s="17">
        <f t="shared" si="236"/>
        <v>-0.47173179501732815</v>
      </c>
      <c r="Z388" s="31" t="str">
        <f t="shared" si="226"/>
        <v>-0.00475457260383005+31.1309766668715i</v>
      </c>
      <c r="AA388" s="17">
        <f t="shared" si="237"/>
        <v>31.130977029949744</v>
      </c>
      <c r="AB388" s="17">
        <f t="shared" si="238"/>
        <v>1.5709490548193892</v>
      </c>
      <c r="AC388" s="66" t="str">
        <f t="shared" si="239"/>
        <v>-0.111761480938341+0.0570265321861109i</v>
      </c>
      <c r="AD388" s="64">
        <f t="shared" si="240"/>
        <v>-18.02922049734752</v>
      </c>
      <c r="AE388" s="61">
        <f t="shared" si="241"/>
        <v>152.96695603728253</v>
      </c>
      <c r="AF388" s="31" t="str">
        <f t="shared" si="227"/>
        <v>-1.33333333333333E-06</v>
      </c>
      <c r="AG388" s="31" t="str">
        <f t="shared" si="228"/>
        <v>0.315220131473534i</v>
      </c>
      <c r="AH388" s="31">
        <f t="shared" si="242"/>
        <v>0.315220131473534</v>
      </c>
      <c r="AI388" s="31">
        <f t="shared" si="243"/>
        <v>1.5707963267948966</v>
      </c>
      <c r="AJ388" s="31" t="str">
        <f t="shared" si="229"/>
        <v>1+1.01927365938182i</v>
      </c>
      <c r="AK388" s="31">
        <f t="shared" si="244"/>
        <v>1.4279071372850567</v>
      </c>
      <c r="AL388" s="31">
        <f t="shared" si="245"/>
        <v>0.79494272117496034</v>
      </c>
      <c r="AM388" s="31" t="str">
        <f t="shared" si="230"/>
        <v>1+1020.29293304121i</v>
      </c>
      <c r="AN388" s="31">
        <f t="shared" si="246"/>
        <v>1020.2934230964321</v>
      </c>
      <c r="AO388" s="31">
        <f t="shared" si="247"/>
        <v>1.5698162164291276</v>
      </c>
      <c r="AP388" s="58" t="str">
        <f t="shared" si="248"/>
        <v>-0.00211453882231965+0.00215952357161827i</v>
      </c>
      <c r="AQ388" s="49">
        <f t="shared" si="249"/>
        <v>-50.393001729177769</v>
      </c>
      <c r="AR388" s="61">
        <f t="shared" si="250"/>
        <v>134.39698093461436</v>
      </c>
      <c r="AS388" s="58" t="str">
        <f t="shared" si="251"/>
        <v>0.000113173849820505-0.000361936368695106i</v>
      </c>
      <c r="AT388" s="64">
        <f t="shared" si="252"/>
        <v>-68.422222226525292</v>
      </c>
      <c r="AU388" s="61">
        <f t="shared" si="253"/>
        <v>-72.636063028103109</v>
      </c>
    </row>
    <row r="389" spans="14:47" x14ac:dyDescent="0.3">
      <c r="N389" s="10">
        <v>71</v>
      </c>
      <c r="O389" s="50">
        <f t="shared" si="254"/>
        <v>51286.138399136544</v>
      </c>
      <c r="P389" s="48" t="str">
        <f t="shared" si="222"/>
        <v>51201.9230769231</v>
      </c>
      <c r="Q389" s="17" t="str">
        <f t="shared" si="223"/>
        <v>1+15058.537621942i</v>
      </c>
      <c r="R389" s="17">
        <f t="shared" si="231"/>
        <v>15058.537655145754</v>
      </c>
      <c r="S389" s="17">
        <f t="shared" si="232"/>
        <v>1.5707299192841784</v>
      </c>
      <c r="T389" s="17" t="str">
        <f t="shared" si="224"/>
        <v>1+9.66720933754303E-07i</v>
      </c>
      <c r="U389" s="17">
        <f t="shared" si="233"/>
        <v>1.0000000000004672</v>
      </c>
      <c r="V389" s="17">
        <f t="shared" si="234"/>
        <v>9.6672093375400185E-7</v>
      </c>
      <c r="W389" s="31" t="str">
        <f t="shared" si="225"/>
        <v>1-0.522029304227323i</v>
      </c>
      <c r="X389" s="17">
        <f t="shared" si="235"/>
        <v>1.1280578861353094</v>
      </c>
      <c r="Y389" s="17">
        <f t="shared" si="236"/>
        <v>-0.48111533913859811</v>
      </c>
      <c r="Z389" s="31" t="str">
        <f t="shared" si="226"/>
        <v>-0.0521071967581599+31.8561102660654i</v>
      </c>
      <c r="AA389" s="17">
        <f t="shared" si="237"/>
        <v>31.856152882036326</v>
      </c>
      <c r="AB389" s="17">
        <f t="shared" si="238"/>
        <v>1.572432030270668</v>
      </c>
      <c r="AC389" s="66" t="str">
        <f t="shared" si="239"/>
        <v>-0.106648291797668+0.0558865484634872i</v>
      </c>
      <c r="AD389" s="64">
        <f t="shared" si="240"/>
        <v>-18.387169348265143</v>
      </c>
      <c r="AE389" s="61">
        <f t="shared" si="241"/>
        <v>152.34426296177813</v>
      </c>
      <c r="AF389" s="31" t="str">
        <f t="shared" si="227"/>
        <v>-1.33333333333333E-06</v>
      </c>
      <c r="AG389" s="31" t="str">
        <f t="shared" si="228"/>
        <v>0.322562551562685i</v>
      </c>
      <c r="AH389" s="31">
        <f t="shared" si="242"/>
        <v>0.32256255156268498</v>
      </c>
      <c r="AI389" s="31">
        <f t="shared" si="243"/>
        <v>1.5707963267948966</v>
      </c>
      <c r="AJ389" s="31" t="str">
        <f t="shared" si="229"/>
        <v>1+1.04301559286178i</v>
      </c>
      <c r="AK389" s="31">
        <f t="shared" si="244"/>
        <v>1.444950354494164</v>
      </c>
      <c r="AL389" s="31">
        <f t="shared" si="245"/>
        <v>0.80645000376244436</v>
      </c>
      <c r="AM389" s="31" t="str">
        <f t="shared" si="230"/>
        <v>1+1044.05860845465i</v>
      </c>
      <c r="AN389" s="31">
        <f t="shared" si="246"/>
        <v>1044.0590873548588</v>
      </c>
      <c r="AO389" s="31">
        <f t="shared" si="247"/>
        <v>1.5698385264510191</v>
      </c>
      <c r="AP389" s="58" t="str">
        <f t="shared" si="248"/>
        <v>-0.00206495095008282+0.00215790960461678i</v>
      </c>
      <c r="AQ389" s="49">
        <f t="shared" si="249"/>
        <v>-50.496061146923793</v>
      </c>
      <c r="AR389" s="61">
        <f t="shared" si="250"/>
        <v>133.73894047878215</v>
      </c>
      <c r="AS389" s="58" t="str">
        <f t="shared" si="251"/>
        <v>0.0000996253717740641-0.000345540354532688i</v>
      </c>
      <c r="AT389" s="64">
        <f t="shared" si="252"/>
        <v>-68.88323049518894</v>
      </c>
      <c r="AU389" s="61">
        <f t="shared" si="253"/>
        <v>-73.916796559439689</v>
      </c>
    </row>
    <row r="390" spans="14:47" x14ac:dyDescent="0.3">
      <c r="N390" s="10">
        <v>72</v>
      </c>
      <c r="O390" s="50">
        <f t="shared" si="254"/>
        <v>52480.746024977314</v>
      </c>
      <c r="P390" s="48" t="str">
        <f t="shared" si="222"/>
        <v>51201.9230769231</v>
      </c>
      <c r="Q390" s="17" t="str">
        <f t="shared" si="223"/>
        <v>1+15409.2960225293i</v>
      </c>
      <c r="R390" s="17">
        <f t="shared" si="231"/>
        <v>15409.296054977245</v>
      </c>
      <c r="S390" s="17">
        <f t="shared" si="232"/>
        <v>1.5707314309036675</v>
      </c>
      <c r="T390" s="17" t="str">
        <f t="shared" si="224"/>
        <v>1+9.89238757001884E-07i</v>
      </c>
      <c r="U390" s="17">
        <f t="shared" si="233"/>
        <v>1.0000000000004894</v>
      </c>
      <c r="V390" s="17">
        <f t="shared" si="234"/>
        <v>9.8923875700156137E-7</v>
      </c>
      <c r="W390" s="31" t="str">
        <f t="shared" si="225"/>
        <v>1-0.534188928781017i</v>
      </c>
      <c r="X390" s="17">
        <f t="shared" si="235"/>
        <v>1.1337362178356174</v>
      </c>
      <c r="Y390" s="17">
        <f t="shared" si="236"/>
        <v>-0.49062321061345371</v>
      </c>
      <c r="Z390" s="31" t="str">
        <f t="shared" si="226"/>
        <v>-0.10169148133527+32.5981343965876i</v>
      </c>
      <c r="AA390" s="17">
        <f t="shared" si="237"/>
        <v>32.598293011987053</v>
      </c>
      <c r="AB390" s="17">
        <f t="shared" si="238"/>
        <v>1.5739158657914192</v>
      </c>
      <c r="AC390" s="66" t="str">
        <f t="shared" si="239"/>
        <v>-0.10176479816928+0.0547617130791539i</v>
      </c>
      <c r="AD390" s="64">
        <f t="shared" si="240"/>
        <v>-18.74358729813687</v>
      </c>
      <c r="AE390" s="61">
        <f t="shared" si="241"/>
        <v>151.71439922204473</v>
      </c>
      <c r="AF390" s="31" t="str">
        <f t="shared" si="227"/>
        <v>-1.33333333333333E-06</v>
      </c>
      <c r="AG390" s="31" t="str">
        <f t="shared" si="228"/>
        <v>0.330075998586295i</v>
      </c>
      <c r="AH390" s="31">
        <f t="shared" si="242"/>
        <v>0.33007599858629499</v>
      </c>
      <c r="AI390" s="31">
        <f t="shared" si="243"/>
        <v>1.5707963267948966</v>
      </c>
      <c r="AJ390" s="31" t="str">
        <f t="shared" si="229"/>
        <v>1+1.06731054701502i</v>
      </c>
      <c r="AK390" s="31">
        <f t="shared" si="244"/>
        <v>1.4625839475973681</v>
      </c>
      <c r="AL390" s="31">
        <f t="shared" si="245"/>
        <v>0.81794614052179315</v>
      </c>
      <c r="AM390" s="31" t="str">
        <f t="shared" si="230"/>
        <v>1+1068.37785756203i</v>
      </c>
      <c r="AN390" s="31">
        <f t="shared" si="246"/>
        <v>1068.3783255611438</v>
      </c>
      <c r="AO390" s="31">
        <f t="shared" si="247"/>
        <v>1.5698603286357331</v>
      </c>
      <c r="AP390" s="58" t="str">
        <f t="shared" si="248"/>
        <v>-0.00201545908763664+0.00215516021506651i</v>
      </c>
      <c r="AQ390" s="49">
        <f t="shared" si="249"/>
        <v>-50.601418859885435</v>
      </c>
      <c r="AR390" s="61">
        <f t="shared" si="250"/>
        <v>133.0815095349347</v>
      </c>
      <c r="AS390" s="58" t="str">
        <f t="shared" si="251"/>
        <v>0.000087082521934704-0.000329689436588636i</v>
      </c>
      <c r="AT390" s="64">
        <f t="shared" si="252"/>
        <v>-69.345006158022315</v>
      </c>
      <c r="AU390" s="61">
        <f t="shared" si="253"/>
        <v>-75.204091243020528</v>
      </c>
    </row>
    <row r="391" spans="14:47" x14ac:dyDescent="0.3">
      <c r="N391" s="10">
        <v>73</v>
      </c>
      <c r="O391" s="50">
        <f t="shared" si="254"/>
        <v>53703.179637025423</v>
      </c>
      <c r="P391" s="48" t="str">
        <f t="shared" si="222"/>
        <v>51201.9230769231</v>
      </c>
      <c r="Q391" s="17" t="str">
        <f t="shared" si="223"/>
        <v>1+15768.224635834i</v>
      </c>
      <c r="R391" s="17">
        <f t="shared" si="231"/>
        <v>15768.22466754334</v>
      </c>
      <c r="S391" s="17">
        <f t="shared" si="232"/>
        <v>1.5707329081144963</v>
      </c>
      <c r="T391" s="17" t="str">
        <f t="shared" si="224"/>
        <v>1+1.01228108773255E-06i</v>
      </c>
      <c r="U391" s="17">
        <f t="shared" si="233"/>
        <v>1.0000000000005125</v>
      </c>
      <c r="V391" s="17">
        <f t="shared" si="234"/>
        <v>1.0122810877322042E-6</v>
      </c>
      <c r="W391" s="31" t="str">
        <f t="shared" si="225"/>
        <v>1-0.546631787375578i</v>
      </c>
      <c r="X391" s="17">
        <f t="shared" si="235"/>
        <v>1.1396518376106886</v>
      </c>
      <c r="Y391" s="17">
        <f t="shared" si="236"/>
        <v>-0.500253573736408</v>
      </c>
      <c r="Z391" s="31" t="str">
        <f t="shared" si="226"/>
        <v>-0.15361260125065+33.3574424894544i</v>
      </c>
      <c r="AA391" s="17">
        <f t="shared" si="237"/>
        <v>33.357796184228363</v>
      </c>
      <c r="AB391" s="17">
        <f t="shared" si="238"/>
        <v>1.5754013415664323</v>
      </c>
      <c r="AC391" s="66" t="str">
        <f t="shared" si="239"/>
        <v>-0.0971007015500239+0.0536523945780328i</v>
      </c>
      <c r="AD391" s="64">
        <f t="shared" si="240"/>
        <v>-19.098433641848796</v>
      </c>
      <c r="AE391" s="61">
        <f t="shared" si="241"/>
        <v>151.07742524972616</v>
      </c>
      <c r="AF391" s="31" t="str">
        <f t="shared" si="227"/>
        <v>-1.33333333333333E-06</v>
      </c>
      <c r="AG391" s="31" t="str">
        <f t="shared" si="228"/>
        <v>0.337764456273428i</v>
      </c>
      <c r="AH391" s="31">
        <f t="shared" si="242"/>
        <v>0.33776445627342799</v>
      </c>
      <c r="AI391" s="31">
        <f t="shared" si="243"/>
        <v>1.5707963267948966</v>
      </c>
      <c r="AJ391" s="31" t="str">
        <f t="shared" si="229"/>
        <v>1+1.09217140334781i</v>
      </c>
      <c r="AK391" s="31">
        <f t="shared" si="244"/>
        <v>1.4808235459671502</v>
      </c>
      <c r="AL391" s="31">
        <f t="shared" si="245"/>
        <v>0.82942507316504566</v>
      </c>
      <c r="AM391" s="31" t="str">
        <f t="shared" si="230"/>
        <v>1+1093.26357475116i</v>
      </c>
      <c r="AN391" s="31">
        <f t="shared" si="246"/>
        <v>1093.2640320973176</v>
      </c>
      <c r="AO391" s="31">
        <f t="shared" si="247"/>
        <v>1.5698816345429936</v>
      </c>
      <c r="AP391" s="58" t="str">
        <f t="shared" si="248"/>
        <v>-0.00196611523826333+0.0021512823630237i</v>
      </c>
      <c r="AQ391" s="49">
        <f t="shared" si="249"/>
        <v>-50.709069206470616</v>
      </c>
      <c r="AR391" s="61">
        <f t="shared" si="250"/>
        <v>132.4250358797261</v>
      </c>
      <c r="AS391" s="58" t="str">
        <f t="shared" si="251"/>
        <v>0.0000754897187738514-0.000314377817230982i</v>
      </c>
      <c r="AT391" s="64">
        <f t="shared" si="252"/>
        <v>-69.807502848319402</v>
      </c>
      <c r="AU391" s="61">
        <f t="shared" si="253"/>
        <v>-76.497538870547757</v>
      </c>
    </row>
    <row r="392" spans="14:47" x14ac:dyDescent="0.3">
      <c r="N392" s="10">
        <v>74</v>
      </c>
      <c r="O392" s="50">
        <f t="shared" si="254"/>
        <v>54954.087385762505</v>
      </c>
      <c r="P392" s="48" t="str">
        <f t="shared" si="222"/>
        <v>51201.9230769231</v>
      </c>
      <c r="Q392" s="17" t="str">
        <f t="shared" si="223"/>
        <v>1+16135.5137705576i</v>
      </c>
      <c r="R392" s="17">
        <f t="shared" si="231"/>
        <v>16135.513801545148</v>
      </c>
      <c r="S392" s="17">
        <f t="shared" si="232"/>
        <v>1.5707343516999019</v>
      </c>
      <c r="T392" s="17" t="str">
        <f t="shared" si="224"/>
        <v>1+1.03586014329506E-06i</v>
      </c>
      <c r="U392" s="17">
        <f t="shared" si="233"/>
        <v>1.0000000000005365</v>
      </c>
      <c r="V392" s="17">
        <f t="shared" si="234"/>
        <v>1.0358601432946894E-6</v>
      </c>
      <c r="W392" s="31" t="str">
        <f t="shared" si="225"/>
        <v>1-0.559364477379331i</v>
      </c>
      <c r="X392" s="17">
        <f t="shared" si="235"/>
        <v>1.1458135182279237</v>
      </c>
      <c r="Y392" s="17">
        <f t="shared" si="236"/>
        <v>-0.51000438860421859</v>
      </c>
      <c r="Z392" s="31" t="str">
        <f t="shared" si="226"/>
        <v>-0.20798068816081+34.1344371398669i</v>
      </c>
      <c r="AA392" s="17">
        <f t="shared" si="237"/>
        <v>34.135070745820535</v>
      </c>
      <c r="AB392" s="17">
        <f t="shared" si="238"/>
        <v>1.5768892385848312</v>
      </c>
      <c r="AC392" s="66" t="str">
        <f t="shared" si="239"/>
        <v>-0.0926461635334687+0.052558905524832i</v>
      </c>
      <c r="AD392" s="64">
        <f t="shared" si="240"/>
        <v>-19.451667837977105</v>
      </c>
      <c r="AE392" s="61">
        <f t="shared" si="241"/>
        <v>150.43341313111208</v>
      </c>
      <c r="AF392" s="31" t="str">
        <f t="shared" si="227"/>
        <v>-1.33333333333333E-06</v>
      </c>
      <c r="AG392" s="31" t="str">
        <f t="shared" si="228"/>
        <v>0.345632001146118i</v>
      </c>
      <c r="AH392" s="31">
        <f t="shared" si="242"/>
        <v>0.34563200114611797</v>
      </c>
      <c r="AI392" s="31">
        <f t="shared" si="243"/>
        <v>1.5707963267948966</v>
      </c>
      <c r="AJ392" s="31" t="str">
        <f t="shared" si="229"/>
        <v>1+1.11761134341525i</v>
      </c>
      <c r="AK392" s="31">
        <f t="shared" si="244"/>
        <v>1.499685005236246</v>
      </c>
      <c r="AL392" s="31">
        <f t="shared" si="245"/>
        <v>0.84088078874134409</v>
      </c>
      <c r="AM392" s="31" t="str">
        <f t="shared" si="230"/>
        <v>1+1118.72895475866i</v>
      </c>
      <c r="AN392" s="31">
        <f t="shared" si="246"/>
        <v>1118.7294016943526</v>
      </c>
      <c r="AO392" s="31">
        <f t="shared" si="247"/>
        <v>1.5699024554693972</v>
      </c>
      <c r="AP392" s="58" t="str">
        <f t="shared" si="248"/>
        <v>-0.00191697078213884+0.0021462859586011i</v>
      </c>
      <c r="AQ392" s="49">
        <f t="shared" si="249"/>
        <v>-50.819004126315249</v>
      </c>
      <c r="AR392" s="61">
        <f t="shared" si="250"/>
        <v>131.76986467711035</v>
      </c>
      <c r="AS392" s="58" t="str">
        <f t="shared" si="251"/>
        <v>0.0000647935476435277-0.000299599046142444i</v>
      </c>
      <c r="AT392" s="64">
        <f t="shared" si="252"/>
        <v>-70.270671964292347</v>
      </c>
      <c r="AU392" s="61">
        <f t="shared" si="253"/>
        <v>-77.79672219177759</v>
      </c>
    </row>
    <row r="393" spans="14:47" x14ac:dyDescent="0.3">
      <c r="N393" s="10">
        <v>75</v>
      </c>
      <c r="O393" s="50">
        <f t="shared" si="254"/>
        <v>56234.132519034953</v>
      </c>
      <c r="P393" s="48" t="str">
        <f t="shared" si="222"/>
        <v>51201.9230769231</v>
      </c>
      <c r="Q393" s="17" t="str">
        <f t="shared" si="223"/>
        <v>1+16511.3581682612i</v>
      </c>
      <c r="R393" s="17">
        <f t="shared" si="231"/>
        <v>16511.358198543381</v>
      </c>
      <c r="S393" s="17">
        <f t="shared" si="232"/>
        <v>1.570735762425292</v>
      </c>
      <c r="T393" s="17" t="str">
        <f t="shared" si="224"/>
        <v>1+1.05998842561677E-06i</v>
      </c>
      <c r="U393" s="17">
        <f t="shared" si="233"/>
        <v>1.0000000000005618</v>
      </c>
      <c r="V393" s="17">
        <f t="shared" si="234"/>
        <v>1.059988425616373E-6</v>
      </c>
      <c r="W393" s="31" t="str">
        <f t="shared" si="225"/>
        <v>1-0.572393749833056i</v>
      </c>
      <c r="X393" s="17">
        <f t="shared" si="235"/>
        <v>1.15223027422818</v>
      </c>
      <c r="Y393" s="17">
        <f t="shared" si="236"/>
        <v>-0.519873407760018</v>
      </c>
      <c r="Z393" s="31" t="str">
        <f t="shared" si="226"/>
        <v>-0.26491106406736+34.9295303206737i</v>
      </c>
      <c r="AA393" s="17">
        <f t="shared" si="237"/>
        <v>34.930534869863195</v>
      </c>
      <c r="AB393" s="17">
        <f t="shared" si="238"/>
        <v>1.5783803390226976</v>
      </c>
      <c r="AC393" s="66" t="str">
        <f t="shared" si="239"/>
        <v>-0.0883917854040974+0.0514815069343127i</v>
      </c>
      <c r="AD393" s="64">
        <f t="shared" si="240"/>
        <v>-19.803249603723796</v>
      </c>
      <c r="AE393" s="61">
        <f t="shared" si="241"/>
        <v>149.782446777469</v>
      </c>
      <c r="AF393" s="31" t="str">
        <f t="shared" si="227"/>
        <v>-1.33333333333333E-06</v>
      </c>
      <c r="AG393" s="31" t="str">
        <f t="shared" si="228"/>
        <v>0.353682804680796i</v>
      </c>
      <c r="AH393" s="31">
        <f t="shared" si="242"/>
        <v>0.35368280468079599</v>
      </c>
      <c r="AI393" s="31">
        <f t="shared" si="243"/>
        <v>1.5707963267948966</v>
      </c>
      <c r="AJ393" s="31" t="str">
        <f t="shared" si="229"/>
        <v>1+1.1436438558103i</v>
      </c>
      <c r="AK393" s="31">
        <f t="shared" si="244"/>
        <v>1.519184409126374</v>
      </c>
      <c r="AL393" s="31">
        <f t="shared" si="245"/>
        <v>0.85230733522446855</v>
      </c>
      <c r="AM393" s="31" t="str">
        <f t="shared" si="230"/>
        <v>1+1144.78749966611i</v>
      </c>
      <c r="AN393" s="31">
        <f t="shared" si="246"/>
        <v>1144.7879364283081</v>
      </c>
      <c r="AO393" s="31">
        <f t="shared" si="247"/>
        <v>1.5699228024544025</v>
      </c>
      <c r="AP393" s="58" t="str">
        <f t="shared" si="248"/>
        <v>-0.00186807626446262+0.00214018379829223i</v>
      </c>
      <c r="AQ393" s="49">
        <f t="shared" si="249"/>
        <v>-50.931213194127729</v>
      </c>
      <c r="AR393" s="61">
        <f t="shared" si="250"/>
        <v>131.11633758558381</v>
      </c>
      <c r="AS393" s="58" t="str">
        <f t="shared" si="251"/>
        <v>0.0000549427092343827-0.00028534604818673i</v>
      </c>
      <c r="AT393" s="64">
        <f t="shared" si="252"/>
        <v>-70.734462797851535</v>
      </c>
      <c r="AU393" s="61">
        <f t="shared" si="253"/>
        <v>-79.10121563694716</v>
      </c>
    </row>
    <row r="394" spans="14:47" x14ac:dyDescent="0.3">
      <c r="N394" s="10">
        <v>76</v>
      </c>
      <c r="O394" s="50">
        <f t="shared" si="254"/>
        <v>57543.993733715732</v>
      </c>
      <c r="P394" s="48" t="str">
        <f t="shared" si="222"/>
        <v>51201.9230769231</v>
      </c>
      <c r="Q394" s="17" t="str">
        <f t="shared" si="223"/>
        <v>1+16895.9571066193i</v>
      </c>
      <c r="R394" s="17">
        <f t="shared" si="231"/>
        <v>16895.957136212175</v>
      </c>
      <c r="S394" s="17">
        <f t="shared" si="232"/>
        <v>1.5707371410386519</v>
      </c>
      <c r="T394" s="17" t="str">
        <f t="shared" si="224"/>
        <v>1+1.08467872783235E-06i</v>
      </c>
      <c r="U394" s="17">
        <f t="shared" si="233"/>
        <v>1.0000000000005884</v>
      </c>
      <c r="V394" s="17">
        <f t="shared" si="234"/>
        <v>1.0846787278319246E-6</v>
      </c>
      <c r="W394" s="31" t="str">
        <f t="shared" si="225"/>
        <v>1-0.585726513029469i</v>
      </c>
      <c r="X394" s="17">
        <f t="shared" si="235"/>
        <v>1.1589113633344272</v>
      </c>
      <c r="Y394" s="17">
        <f t="shared" si="236"/>
        <v>-0.52985817347140085</v>
      </c>
      <c r="Z394" s="31" t="str">
        <f t="shared" si="226"/>
        <v>-0.32452448593037+35.7431436008035i</v>
      </c>
      <c r="AA394" s="17">
        <f t="shared" si="237"/>
        <v>35.744616806025888</v>
      </c>
      <c r="AB394" s="17">
        <f t="shared" si="238"/>
        <v>1.5798754266258677</v>
      </c>
      <c r="AC394" s="66" t="str">
        <f t="shared" si="239"/>
        <v>-0.084328588623596+0.0504204123919093i</v>
      </c>
      <c r="AD394" s="64">
        <f t="shared" si="240"/>
        <v>-20.153139013949076</v>
      </c>
      <c r="AE394" s="61">
        <f t="shared" si="241"/>
        <v>149.12462205903881</v>
      </c>
      <c r="AF394" s="31" t="str">
        <f t="shared" si="227"/>
        <v>-1.33333333333333E-06</v>
      </c>
      <c r="AG394" s="31" t="str">
        <f t="shared" si="228"/>
        <v>0.361921135520061i</v>
      </c>
      <c r="AH394" s="31">
        <f t="shared" si="242"/>
        <v>0.361921135520061</v>
      </c>
      <c r="AI394" s="31">
        <f t="shared" si="243"/>
        <v>1.5707963267948966</v>
      </c>
      <c r="AJ394" s="31" t="str">
        <f t="shared" si="229"/>
        <v>1+1.17028274331562i</v>
      </c>
      <c r="AK394" s="31">
        <f t="shared" si="244"/>
        <v>1.5393380718030505</v>
      </c>
      <c r="AL394" s="31">
        <f t="shared" si="245"/>
        <v>0.86369883671236958</v>
      </c>
      <c r="AM394" s="31" t="str">
        <f t="shared" si="230"/>
        <v>1+1171.45302605894i</v>
      </c>
      <c r="AN394" s="31">
        <f t="shared" si="246"/>
        <v>1171.4534528792203</v>
      </c>
      <c r="AO394" s="31">
        <f t="shared" si="247"/>
        <v>1.5699426862861827</v>
      </c>
      <c r="AP394" s="58" t="str">
        <f t="shared" si="248"/>
        <v>-0.00181948119097762+0.00213299148343801i</v>
      </c>
      <c r="AQ394" s="49">
        <f t="shared" si="249"/>
        <v>-51.045683663198467</v>
      </c>
      <c r="AR394" s="61">
        <f t="shared" si="250"/>
        <v>130.46479188765164</v>
      </c>
      <c r="AS394" s="58" t="str">
        <f t="shared" si="251"/>
        <v>0.0000458879706389474-0.000271611153332892i</v>
      </c>
      <c r="AT394" s="64">
        <f t="shared" si="252"/>
        <v>-71.198822677147533</v>
      </c>
      <c r="AU394" s="61">
        <f t="shared" si="253"/>
        <v>-80.410586053309572</v>
      </c>
    </row>
    <row r="395" spans="14:47" x14ac:dyDescent="0.3">
      <c r="N395" s="10">
        <v>77</v>
      </c>
      <c r="O395" s="50">
        <f t="shared" si="254"/>
        <v>58884.365535558936</v>
      </c>
      <c r="P395" s="48" t="str">
        <f t="shared" si="222"/>
        <v>51201.9230769231</v>
      </c>
      <c r="Q395" s="17" t="str">
        <f t="shared" si="223"/>
        <v>1+17289.5145050798i</v>
      </c>
      <c r="R395" s="17">
        <f t="shared" si="231"/>
        <v>17289.514533999059</v>
      </c>
      <c r="S395" s="17">
        <f t="shared" si="232"/>
        <v>1.570738488270941</v>
      </c>
      <c r="T395" s="17" t="str">
        <f t="shared" si="224"/>
        <v>1+1.10994414106685E-06i</v>
      </c>
      <c r="U395" s="17">
        <f t="shared" si="233"/>
        <v>1.000000000000616</v>
      </c>
      <c r="V395" s="17">
        <f t="shared" si="234"/>
        <v>1.1099441410663943E-6</v>
      </c>
      <c r="W395" s="31" t="str">
        <f t="shared" si="225"/>
        <v>1-0.599369836176098i</v>
      </c>
      <c r="X395" s="17">
        <f t="shared" si="235"/>
        <v>1.1658662875809398</v>
      </c>
      <c r="Y395" s="17">
        <f t="shared" si="236"/>
        <v>-0.53995601569594764</v>
      </c>
      <c r="Z395" s="31" t="str">
        <f t="shared" si="226"/>
        <v>-0.38694740181013+36.5757083687869i</v>
      </c>
      <c r="AA395" s="17">
        <f t="shared" si="237"/>
        <v>36.577755138476114</v>
      </c>
      <c r="AB395" s="17">
        <f t="shared" si="238"/>
        <v>1.5813752870929578</v>
      </c>
      <c r="AC395" s="66" t="str">
        <f t="shared" si="239"/>
        <v>-0.0804479961713694+0.049375791885471i</v>
      </c>
      <c r="AD395" s="64">
        <f t="shared" si="240"/>
        <v>-20.501296603972577</v>
      </c>
      <c r="AE395" s="61">
        <f t="shared" si="241"/>
        <v>148.46004689963792</v>
      </c>
      <c r="AF395" s="31" t="str">
        <f t="shared" si="227"/>
        <v>-1.33333333333333E-06</v>
      </c>
      <c r="AG395" s="31" t="str">
        <f t="shared" si="228"/>
        <v>0.370351361735972i</v>
      </c>
      <c r="AH395" s="31">
        <f t="shared" si="242"/>
        <v>0.370351361735972</v>
      </c>
      <c r="AI395" s="31">
        <f t="shared" si="243"/>
        <v>1.5707963267948966</v>
      </c>
      <c r="AJ395" s="31" t="str">
        <f t="shared" si="229"/>
        <v>1+1.19754213022197i</v>
      </c>
      <c r="AK395" s="31">
        <f t="shared" si="244"/>
        <v>1.5601625407811117</v>
      </c>
      <c r="AL395" s="31">
        <f t="shared" si="245"/>
        <v>0.87504950814577576</v>
      </c>
      <c r="AM395" s="31" t="str">
        <f t="shared" si="230"/>
        <v>1+1198.7396723522i</v>
      </c>
      <c r="AN395" s="31">
        <f t="shared" si="246"/>
        <v>1198.740089456868</v>
      </c>
      <c r="AO395" s="31">
        <f t="shared" si="247"/>
        <v>1.5699621175073459</v>
      </c>
      <c r="AP395" s="58" t="str">
        <f t="shared" si="248"/>
        <v>-0.00177123383260468+0.00212472732179203i</v>
      </c>
      <c r="AQ395" s="49">
        <f t="shared" si="249"/>
        <v>-51.162400518189919</v>
      </c>
      <c r="AR395" s="61">
        <f t="shared" si="250"/>
        <v>129.81555964684139</v>
      </c>
      <c r="AS395" s="58" t="str">
        <f t="shared" si="251"/>
        <v>0.0000375821185298038-0.000258386128547923i</v>
      </c>
      <c r="AT395" s="64">
        <f t="shared" si="252"/>
        <v>-71.663697122162503</v>
      </c>
      <c r="AU395" s="61">
        <f t="shared" si="253"/>
        <v>-81.72439345352069</v>
      </c>
    </row>
    <row r="396" spans="14:47" x14ac:dyDescent="0.3">
      <c r="N396" s="10">
        <v>78</v>
      </c>
      <c r="O396" s="50">
        <f t="shared" si="254"/>
        <v>60255.95860743591</v>
      </c>
      <c r="P396" s="48" t="str">
        <f t="shared" si="222"/>
        <v>51201.9230769231</v>
      </c>
      <c r="Q396" s="17" t="str">
        <f t="shared" si="223"/>
        <v>1+17692.2390329846i</v>
      </c>
      <c r="R396" s="17">
        <f t="shared" si="231"/>
        <v>17692.239061245575</v>
      </c>
      <c r="S396" s="17">
        <f t="shared" si="232"/>
        <v>1.5707398048364791</v>
      </c>
      <c r="T396" s="17" t="str">
        <f t="shared" si="224"/>
        <v>1+1.13579806137679E-06i</v>
      </c>
      <c r="U396" s="17">
        <f t="shared" si="233"/>
        <v>1.000000000000645</v>
      </c>
      <c r="V396" s="17">
        <f t="shared" si="234"/>
        <v>1.1357980613763016E-6</v>
      </c>
      <c r="W396" s="31" t="str">
        <f t="shared" si="225"/>
        <v>1-0.613330953143466i</v>
      </c>
      <c r="X396" s="17">
        <f t="shared" si="235"/>
        <v>1.1731047941611492</v>
      </c>
      <c r="Y396" s="17">
        <f t="shared" si="236"/>
        <v>-0.55016405078565556</v>
      </c>
      <c r="Z396" s="31" t="str">
        <f t="shared" si="226"/>
        <v>-0.45231221908042+37.4276660614843i</v>
      </c>
      <c r="AA396" s="17">
        <f t="shared" si="237"/>
        <v>37.43039905148639</v>
      </c>
      <c r="AB396" s="17">
        <f t="shared" si="238"/>
        <v>1.582880708458668</v>
      </c>
      <c r="AC396" s="66" t="str">
        <f t="shared" si="239"/>
        <v>-0.0767418147029553+0.0483477753675436i</v>
      </c>
      <c r="AD396" s="64">
        <f t="shared" si="240"/>
        <v>-20.847683475759268</v>
      </c>
      <c r="AE396" s="61">
        <f t="shared" si="241"/>
        <v>147.78884132890389</v>
      </c>
      <c r="AF396" s="31" t="str">
        <f t="shared" si="227"/>
        <v>-1.33333333333333E-06</v>
      </c>
      <c r="AG396" s="31" t="str">
        <f t="shared" si="228"/>
        <v>0.378977953146055i</v>
      </c>
      <c r="AH396" s="31">
        <f t="shared" si="242"/>
        <v>0.37897795314605498</v>
      </c>
      <c r="AI396" s="31">
        <f t="shared" si="243"/>
        <v>1.5707963267948966</v>
      </c>
      <c r="AJ396" s="31" t="str">
        <f t="shared" si="229"/>
        <v>1+1.22543646981711i</v>
      </c>
      <c r="AK396" s="31">
        <f t="shared" si="244"/>
        <v>1.5816746004023143</v>
      </c>
      <c r="AL396" s="31">
        <f t="shared" si="245"/>
        <v>0.88635366945859995</v>
      </c>
      <c r="AM396" s="31" t="str">
        <f t="shared" si="230"/>
        <v>1+1226.66190628693i</v>
      </c>
      <c r="AN396" s="31">
        <f t="shared" si="246"/>
        <v>1226.6623138971395</v>
      </c>
      <c r="AO396" s="31">
        <f t="shared" si="247"/>
        <v>1.569981106420524</v>
      </c>
      <c r="AP396" s="58" t="str">
        <f t="shared" si="248"/>
        <v>-0.0017233810407792+0.00211541221332509i</v>
      </c>
      <c r="AQ396" s="49">
        <f t="shared" si="249"/>
        <v>-51.281346536746483</v>
      </c>
      <c r="AR396" s="61">
        <f t="shared" si="250"/>
        <v>129.16896689726403</v>
      </c>
      <c r="AS396" s="58" t="str">
        <f t="shared" si="251"/>
        <v>0.0000299799139944639-0.000245662211527639i</v>
      </c>
      <c r="AT396" s="64">
        <f t="shared" si="252"/>
        <v>-72.129030012505737</v>
      </c>
      <c r="AU396" s="61">
        <f t="shared" si="253"/>
        <v>-83.042191773832073</v>
      </c>
    </row>
    <row r="397" spans="14:47" x14ac:dyDescent="0.3">
      <c r="N397" s="10">
        <v>79</v>
      </c>
      <c r="O397" s="50">
        <f t="shared" si="254"/>
        <v>61659.500186148245</v>
      </c>
      <c r="P397" s="48" t="str">
        <f t="shared" si="222"/>
        <v>51201.9230769231</v>
      </c>
      <c r="Q397" s="17" t="str">
        <f t="shared" si="223"/>
        <v>1+18104.3442202091i</v>
      </c>
      <c r="R397" s="17">
        <f t="shared" si="231"/>
        <v>18104.344247826783</v>
      </c>
      <c r="S397" s="17">
        <f t="shared" si="232"/>
        <v>1.5707410914333271</v>
      </c>
      <c r="T397" s="17" t="str">
        <f t="shared" si="224"/>
        <v>1+1.16225419685293E-06i</v>
      </c>
      <c r="U397" s="17">
        <f t="shared" si="233"/>
        <v>1.0000000000006755</v>
      </c>
      <c r="V397" s="17">
        <f t="shared" si="234"/>
        <v>1.1622541968524067E-6</v>
      </c>
      <c r="W397" s="31" t="str">
        <f t="shared" si="225"/>
        <v>1-0.627617266300583i</v>
      </c>
      <c r="X397" s="17">
        <f t="shared" si="235"/>
        <v>1.180636875994739</v>
      </c>
      <c r="Y397" s="17">
        <f t="shared" si="236"/>
        <v>-0.56047918097910288</v>
      </c>
      <c r="Z397" s="31" t="str">
        <f t="shared" si="226"/>
        <v>-0.52075758528225+38.299468398141i</v>
      </c>
      <c r="AA397" s="17">
        <f t="shared" si="237"/>
        <v>38.303008603017474</v>
      </c>
      <c r="AB397" s="17">
        <f t="shared" si="238"/>
        <v>1.5843924814774069</v>
      </c>
      <c r="AC397" s="66" t="str">
        <f t="shared" si="239"/>
        <v>-0.0732022174914482+0.0473364560663228i</v>
      </c>
      <c r="AD397" s="64">
        <f t="shared" si="240"/>
        <v>-21.192261407054282</v>
      </c>
      <c r="AE397" s="61">
        <f t="shared" si="241"/>
        <v>147.1111374893915</v>
      </c>
      <c r="AF397" s="31" t="str">
        <f t="shared" si="227"/>
        <v>-1.33333333333333E-06</v>
      </c>
      <c r="AG397" s="31" t="str">
        <f t="shared" si="228"/>
        <v>0.387805483683261i</v>
      </c>
      <c r="AH397" s="31">
        <f t="shared" si="242"/>
        <v>0.38780548368326101</v>
      </c>
      <c r="AI397" s="31">
        <f t="shared" si="243"/>
        <v>1.5707963267948966</v>
      </c>
      <c r="AJ397" s="31" t="str">
        <f t="shared" si="229"/>
        <v>1+1.25398055204912i</v>
      </c>
      <c r="AK397" s="31">
        <f t="shared" si="244"/>
        <v>1.6038912759028949</v>
      </c>
      <c r="AL397" s="31">
        <f t="shared" si="245"/>
        <v>0.89760575907935924</v>
      </c>
      <c r="AM397" s="31" t="str">
        <f t="shared" si="230"/>
        <v>1+1255.23453260117i</v>
      </c>
      <c r="AN397" s="31">
        <f t="shared" si="246"/>
        <v>1255.2349309330418</v>
      </c>
      <c r="AO397" s="31">
        <f t="shared" si="247"/>
        <v>1.5699996630938351</v>
      </c>
      <c r="AP397" s="58" t="str">
        <f t="shared" si="248"/>
        <v>-0.00167596807492076+0.00210506952157274i</v>
      </c>
      <c r="AQ397" s="49">
        <f t="shared" si="249"/>
        <v>-51.402502359394489</v>
      </c>
      <c r="AR397" s="61">
        <f t="shared" si="250"/>
        <v>128.52533287035416</v>
      </c>
      <c r="AS397" s="58" t="str">
        <f t="shared" si="251"/>
        <v>0.0000230380486045901-0.000233430146099833i</v>
      </c>
      <c r="AT397" s="64">
        <f t="shared" si="252"/>
        <v>-72.594763766448764</v>
      </c>
      <c r="AU397" s="61">
        <f t="shared" si="253"/>
        <v>-84.363529640254342</v>
      </c>
    </row>
    <row r="398" spans="14:47" x14ac:dyDescent="0.3">
      <c r="N398" s="10">
        <v>80</v>
      </c>
      <c r="O398" s="50">
        <f t="shared" si="254"/>
        <v>63095.734448019342</v>
      </c>
      <c r="P398" s="48" t="str">
        <f t="shared" si="222"/>
        <v>51201.9230769231</v>
      </c>
      <c r="Q398" s="17" t="str">
        <f t="shared" si="223"/>
        <v>1+18526.0485703786i</v>
      </c>
      <c r="R398" s="17">
        <f t="shared" si="231"/>
        <v>18526.048597367622</v>
      </c>
      <c r="S398" s="17">
        <f t="shared" si="232"/>
        <v>1.5707423487436554</v>
      </c>
      <c r="T398" s="17" t="str">
        <f t="shared" si="224"/>
        <v>1+0.0000011893265748885i</v>
      </c>
      <c r="U398" s="17">
        <f t="shared" si="233"/>
        <v>1.0000000000007072</v>
      </c>
      <c r="V398" s="17">
        <f t="shared" si="234"/>
        <v>1.1893265748879392E-6</v>
      </c>
      <c r="W398" s="31" t="str">
        <f t="shared" si="225"/>
        <v>1-0.64223635043979i</v>
      </c>
      <c r="X398" s="17">
        <f t="shared" si="235"/>
        <v>1.1884727720171888</v>
      </c>
      <c r="Y398" s="17">
        <f t="shared" si="236"/>
        <v>-0.5708980947267468</v>
      </c>
      <c r="Z398" s="31" t="str">
        <f t="shared" si="226"/>
        <v>-0.59242868221399+39.1915776198958i</v>
      </c>
      <c r="AA398" s="17">
        <f t="shared" si="237"/>
        <v>39.19605500659253</v>
      </c>
      <c r="AB398" s="17">
        <f t="shared" si="238"/>
        <v>1.5859114000072911</v>
      </c>
      <c r="AC398" s="66" t="str">
        <f t="shared" si="239"/>
        <v>-0.0698217281184417+0.0463418935622184i</v>
      </c>
      <c r="AD398" s="64">
        <f t="shared" si="240"/>
        <v>-21.534992962979477</v>
      </c>
      <c r="AE398" s="61">
        <f t="shared" si="241"/>
        <v>146.42707959591183</v>
      </c>
      <c r="AF398" s="31" t="str">
        <f t="shared" si="227"/>
        <v>-1.33333333333333E-06</v>
      </c>
      <c r="AG398" s="31" t="str">
        <f t="shared" si="228"/>
        <v>0.39683863382113i</v>
      </c>
      <c r="AH398" s="31">
        <f t="shared" si="242"/>
        <v>0.39683863382112999</v>
      </c>
      <c r="AI398" s="31">
        <f t="shared" si="243"/>
        <v>1.5707963267948966</v>
      </c>
      <c r="AJ398" s="31" t="str">
        <f t="shared" si="229"/>
        <v>1+1.28318951136821i</v>
      </c>
      <c r="AK398" s="31">
        <f t="shared" si="244"/>
        <v>1.6268298380855279</v>
      </c>
      <c r="AL398" s="31">
        <f t="shared" si="245"/>
        <v>0.90880034671019794</v>
      </c>
      <c r="AM398" s="31" t="str">
        <f t="shared" si="230"/>
        <v>1+1284.47270087958i</v>
      </c>
      <c r="AN398" s="31">
        <f t="shared" si="246"/>
        <v>1284.4730901443143</v>
      </c>
      <c r="AO398" s="31">
        <f t="shared" si="247"/>
        <v>1.5700177973662219</v>
      </c>
      <c r="AP398" s="58" t="str">
        <f t="shared" si="248"/>
        <v>-0.0016290384432907+0.00209372493196967i</v>
      </c>
      <c r="AQ398" s="49">
        <f t="shared" si="249"/>
        <v>-51.525846567140647</v>
      </c>
      <c r="AR398" s="61">
        <f t="shared" si="250"/>
        <v>127.88496926298996</v>
      </c>
      <c r="AS398" s="58" t="str">
        <f t="shared" si="251"/>
        <v>0.0000167151013360313-0.000221680219102529i</v>
      </c>
      <c r="AT398" s="64">
        <f t="shared" si="252"/>
        <v>-73.06083953012012</v>
      </c>
      <c r="AU398" s="61">
        <f t="shared" si="253"/>
        <v>-85.687951141098239</v>
      </c>
    </row>
    <row r="399" spans="14:47" x14ac:dyDescent="0.3">
      <c r="N399" s="10">
        <v>81</v>
      </c>
      <c r="O399" s="50">
        <f t="shared" si="254"/>
        <v>64565.422903465682</v>
      </c>
      <c r="P399" s="48" t="str">
        <f t="shared" si="222"/>
        <v>51201.9230769231</v>
      </c>
      <c r="Q399" s="17" t="str">
        <f t="shared" si="223"/>
        <v>1+18957.5756767213i</v>
      </c>
      <c r="R399" s="17">
        <f t="shared" si="231"/>
        <v>18957.575703095979</v>
      </c>
      <c r="S399" s="17">
        <f t="shared" si="232"/>
        <v>1.5707435774341068</v>
      </c>
      <c r="T399" s="17" t="str">
        <f t="shared" si="224"/>
        <v>1+1.21702954961668E-06i</v>
      </c>
      <c r="U399" s="17">
        <f t="shared" si="233"/>
        <v>1.0000000000007407</v>
      </c>
      <c r="V399" s="17">
        <f t="shared" si="234"/>
        <v>1.2170295496160791E-6</v>
      </c>
      <c r="W399" s="31" t="str">
        <f t="shared" si="225"/>
        <v>1-0.657195956793005i</v>
      </c>
      <c r="X399" s="17">
        <f t="shared" si="235"/>
        <v>1.1966229671977191</v>
      </c>
      <c r="Y399" s="17">
        <f t="shared" si="236"/>
        <v>-0.58141726789055193</v>
      </c>
      <c r="Z399" s="31" t="str">
        <f t="shared" si="226"/>
        <v>-0.66747753388135+40.1044667348667i</v>
      </c>
      <c r="AA399" s="17">
        <f t="shared" si="237"/>
        <v>40.110020921787935</v>
      </c>
      <c r="AB399" s="17">
        <f t="shared" si="238"/>
        <v>1.5874382613945457</v>
      </c>
      <c r="AC399" s="66" t="str">
        <f t="shared" si="239"/>
        <v>-0.066593204882369+0.0453641166458511i</v>
      </c>
      <c r="AD399" s="64">
        <f t="shared" si="240"/>
        <v>-21.875841609552566</v>
      </c>
      <c r="AE399" s="61">
        <f t="shared" si="241"/>
        <v>145.73682384475362</v>
      </c>
      <c r="AF399" s="31" t="str">
        <f t="shared" si="227"/>
        <v>-1.33333333333333E-06</v>
      </c>
      <c r="AG399" s="31" t="str">
        <f t="shared" si="228"/>
        <v>0.406082193055431i</v>
      </c>
      <c r="AH399" s="31">
        <f t="shared" si="242"/>
        <v>0.40608219305543097</v>
      </c>
      <c r="AI399" s="31">
        <f t="shared" si="243"/>
        <v>1.5707963267948966</v>
      </c>
      <c r="AJ399" s="31" t="str">
        <f t="shared" si="229"/>
        <v>1+1.31307883475126i</v>
      </c>
      <c r="AK399" s="31">
        <f t="shared" si="244"/>
        <v>1.6505078086067109</v>
      </c>
      <c r="AL399" s="31">
        <f t="shared" si="245"/>
        <v>0.9199321453181597</v>
      </c>
      <c r="AM399" s="31" t="str">
        <f t="shared" si="230"/>
        <v>1+1314.39191358601i</v>
      </c>
      <c r="AN399" s="31">
        <f t="shared" si="246"/>
        <v>1314.3922939899994</v>
      </c>
      <c r="AO399" s="31">
        <f t="shared" si="247"/>
        <v>1.5700355188526682</v>
      </c>
      <c r="AP399" s="58" t="str">
        <f t="shared" si="248"/>
        <v>-0.00158263375830454+0.00208140629872957i</v>
      </c>
      <c r="AQ399" s="49">
        <f t="shared" si="249"/>
        <v>-51.651355766119991</v>
      </c>
      <c r="AR399" s="61">
        <f t="shared" si="250"/>
        <v>127.24817955074414</v>
      </c>
      <c r="AS399" s="58" t="str">
        <f t="shared" si="251"/>
        <v>0.0000109714959975505-0.00021040229851414i</v>
      </c>
      <c r="AT399" s="64">
        <f t="shared" si="252"/>
        <v>-73.527197375672571</v>
      </c>
      <c r="AU399" s="61">
        <f t="shared" si="253"/>
        <v>-87.014996604502215</v>
      </c>
    </row>
    <row r="400" spans="14:47" x14ac:dyDescent="0.3">
      <c r="N400" s="10">
        <v>82</v>
      </c>
      <c r="O400" s="50">
        <f t="shared" si="254"/>
        <v>66069.344800759733</v>
      </c>
      <c r="P400" s="48" t="str">
        <f t="shared" si="222"/>
        <v>51201.9230769231</v>
      </c>
      <c r="Q400" s="17" t="str">
        <f t="shared" si="223"/>
        <v>1+19399.154340621i</v>
      </c>
      <c r="R400" s="17">
        <f t="shared" si="231"/>
        <v>19399.154366395316</v>
      </c>
      <c r="S400" s="17">
        <f t="shared" si="232"/>
        <v>1.570744778156149</v>
      </c>
      <c r="T400" s="17" t="str">
        <f t="shared" si="224"/>
        <v>1+1.24537780952135E-06i</v>
      </c>
      <c r="U400" s="17">
        <f t="shared" si="233"/>
        <v>1.0000000000007754</v>
      </c>
      <c r="V400" s="17">
        <f t="shared" si="234"/>
        <v>1.2453778095207063E-6</v>
      </c>
      <c r="W400" s="31" t="str">
        <f t="shared" si="225"/>
        <v>1-0.672504017141528i</v>
      </c>
      <c r="X400" s="17">
        <f t="shared" si="235"/>
        <v>1.2050981922945085</v>
      </c>
      <c r="Y400" s="17">
        <f t="shared" si="236"/>
        <v>-0.59203296585425047</v>
      </c>
      <c r="Z400" s="31" t="str">
        <f t="shared" si="226"/>
        <v>-0.74606332896068+41.0386197689458i</v>
      </c>
      <c r="AA400" s="17">
        <f t="shared" si="237"/>
        <v>41.045400753688945</v>
      </c>
      <c r="AB400" s="17">
        <f t="shared" si="238"/>
        <v>1.5889738668583455</v>
      </c>
      <c r="AC400" s="66" t="str">
        <f t="shared" si="239"/>
        <v>-0.063509825893404+0.0444031259722484i</v>
      </c>
      <c r="AD400" s="64">
        <f t="shared" si="240"/>
        <v>-22.21477182854477</v>
      </c>
      <c r="AE400" s="61">
        <f t="shared" si="241"/>
        <v>145.0405382707053</v>
      </c>
      <c r="AF400" s="31" t="str">
        <f t="shared" si="227"/>
        <v>-1.33333333333333E-06</v>
      </c>
      <c r="AG400" s="31" t="str">
        <f t="shared" si="228"/>
        <v>0.415541062443623i</v>
      </c>
      <c r="AH400" s="31">
        <f t="shared" si="242"/>
        <v>0.41554106244362299</v>
      </c>
      <c r="AI400" s="31">
        <f t="shared" si="243"/>
        <v>1.5707963267948966</v>
      </c>
      <c r="AJ400" s="31" t="str">
        <f t="shared" si="229"/>
        <v>1+1.34366436991314i</v>
      </c>
      <c r="AK400" s="31">
        <f t="shared" si="244"/>
        <v>1.674942965886921</v>
      </c>
      <c r="AL400" s="31">
        <f t="shared" si="245"/>
        <v>0.93099602228181222</v>
      </c>
      <c r="AM400" s="31" t="str">
        <f t="shared" si="230"/>
        <v>1+1345.00803428306i</v>
      </c>
      <c r="AN400" s="31">
        <f t="shared" si="246"/>
        <v>1345.0084060279999</v>
      </c>
      <c r="AO400" s="31">
        <f t="shared" si="247"/>
        <v>1.5700528369492959</v>
      </c>
      <c r="AP400" s="58" t="str">
        <f t="shared" si="248"/>
        <v>-0.00153679360716589+0.00206814348191585i</v>
      </c>
      <c r="AQ400" s="49">
        <f t="shared" si="249"/>
        <v>-51.779004678604167</v>
      </c>
      <c r="AR400" s="61">
        <f t="shared" si="250"/>
        <v>126.61525834952091</v>
      </c>
      <c r="AS400" s="58" t="str">
        <f t="shared" si="251"/>
        <v>5.76945886900806E-06-0.000199585872591387i</v>
      </c>
      <c r="AT400" s="64">
        <f t="shared" si="252"/>
        <v>-73.993776507148937</v>
      </c>
      <c r="AU400" s="61">
        <f t="shared" si="253"/>
        <v>-88.344203379773788</v>
      </c>
    </row>
    <row r="401" spans="14:47" x14ac:dyDescent="0.3">
      <c r="N401" s="10">
        <v>83</v>
      </c>
      <c r="O401" s="50">
        <f t="shared" si="254"/>
        <v>67608.297539198305</v>
      </c>
      <c r="P401" s="48" t="str">
        <f t="shared" si="222"/>
        <v>51201.9230769231</v>
      </c>
      <c r="Q401" s="17" t="str">
        <f t="shared" si="223"/>
        <v>1+19851.0186929302i</v>
      </c>
      <c r="R401" s="17">
        <f t="shared" si="231"/>
        <v>19851.018718117823</v>
      </c>
      <c r="S401" s="17">
        <f t="shared" si="232"/>
        <v>1.5707459515464208</v>
      </c>
      <c r="T401" s="17" t="str">
        <f t="shared" si="224"/>
        <v>1+1.27438638522515E-06i</v>
      </c>
      <c r="U401" s="17">
        <f t="shared" si="233"/>
        <v>1.000000000000812</v>
      </c>
      <c r="V401" s="17">
        <f t="shared" si="234"/>
        <v>1.27438638522446E-6</v>
      </c>
      <c r="W401" s="31" t="str">
        <f t="shared" si="225"/>
        <v>1-0.688168648021581i</v>
      </c>
      <c r="X401" s="17">
        <f t="shared" si="235"/>
        <v>1.2139094233590291</v>
      </c>
      <c r="Y401" s="17">
        <f t="shared" si="236"/>
        <v>-0.60274124657484285</v>
      </c>
      <c r="Z401" s="31" t="str">
        <f t="shared" si="226"/>
        <v>-0.82835275845952+41.9945320224366i</v>
      </c>
      <c r="AA401" s="17">
        <f t="shared" si="237"/>
        <v>42.002700961675082</v>
      </c>
      <c r="AB401" s="17">
        <f t="shared" si="238"/>
        <v>1.5905190218761245</v>
      </c>
      <c r="AC401" s="66" t="str">
        <f t="shared" si="239"/>
        <v>-0.0605650748253682+0.0434588965250462i</v>
      </c>
      <c r="AD401" s="64">
        <f t="shared" si="240"/>
        <v>-22.551749233045758</v>
      </c>
      <c r="AE401" s="61">
        <f t="shared" si="241"/>
        <v>144.33840255012055</v>
      </c>
      <c r="AF401" s="31" t="str">
        <f t="shared" si="227"/>
        <v>-1.33333333333333E-06</v>
      </c>
      <c r="AG401" s="31" t="str">
        <f t="shared" si="228"/>
        <v>0.425220257203458i</v>
      </c>
      <c r="AH401" s="31">
        <f t="shared" si="242"/>
        <v>0.42522025720345802</v>
      </c>
      <c r="AI401" s="31">
        <f t="shared" si="243"/>
        <v>1.5707963267948966</v>
      </c>
      <c r="AJ401" s="31" t="str">
        <f t="shared" si="229"/>
        <v>1+1.37496233370945i</v>
      </c>
      <c r="AK401" s="31">
        <f t="shared" si="244"/>
        <v>1.7001533516479437</v>
      </c>
      <c r="AL401" s="31">
        <f t="shared" si="245"/>
        <v>0.94198700964547899</v>
      </c>
      <c r="AM401" s="31" t="str">
        <f t="shared" si="230"/>
        <v>1+1376.33729604316i</v>
      </c>
      <c r="AN401" s="31">
        <f t="shared" si="246"/>
        <v>1376.3376593261544</v>
      </c>
      <c r="AO401" s="31">
        <f t="shared" si="247"/>
        <v>1.5700697608383474</v>
      </c>
      <c r="AP401" s="58" t="str">
        <f t="shared" si="248"/>
        <v>-0.00149155543848366+0.00205396817640927i</v>
      </c>
      <c r="AQ401" s="49">
        <f t="shared" si="249"/>
        <v>-51.908766239642304</v>
      </c>
      <c r="AR401" s="61">
        <f t="shared" si="250"/>
        <v>125.9864908283167</v>
      </c>
      <c r="AS401" s="58" t="str">
        <f t="shared" si="251"/>
        <v>1.07297629363944E-06-0.000189220089755584i</v>
      </c>
      <c r="AT401" s="64">
        <f t="shared" si="252"/>
        <v>-74.460515472688058</v>
      </c>
      <c r="AU401" s="61">
        <f t="shared" si="253"/>
        <v>-89.675106621562747</v>
      </c>
    </row>
    <row r="402" spans="14:47" x14ac:dyDescent="0.3">
      <c r="N402" s="10">
        <v>84</v>
      </c>
      <c r="O402" s="50">
        <f t="shared" si="254"/>
        <v>69183.097091893651</v>
      </c>
      <c r="P402" s="48" t="str">
        <f t="shared" si="222"/>
        <v>51201.9230769231</v>
      </c>
      <c r="Q402" s="17" t="str">
        <f t="shared" si="223"/>
        <v>1+20313.4083181097i</v>
      </c>
      <c r="R402" s="17">
        <f t="shared" si="231"/>
        <v>20313.408342723982</v>
      </c>
      <c r="S402" s="17">
        <f t="shared" si="232"/>
        <v>1.5707470982270693</v>
      </c>
      <c r="T402" s="17" t="str">
        <f t="shared" si="224"/>
        <v>1+0.0000013040706574589i</v>
      </c>
      <c r="U402" s="17">
        <f t="shared" si="233"/>
        <v>1.0000000000008504</v>
      </c>
      <c r="V402" s="17">
        <f t="shared" si="234"/>
        <v>1.3040706574581607E-6</v>
      </c>
      <c r="W402" s="31" t="str">
        <f t="shared" si="225"/>
        <v>1-0.704198155027803i</v>
      </c>
      <c r="X402" s="17">
        <f t="shared" si="235"/>
        <v>1.2230678810043871</v>
      </c>
      <c r="Y402" s="17">
        <f t="shared" si="236"/>
        <v>-0.61353796459954557</v>
      </c>
      <c r="Z402" s="31" t="str">
        <f t="shared" si="226"/>
        <v>-0.91452036929056+42.972710332669i</v>
      </c>
      <c r="AA402" s="17">
        <f t="shared" si="237"/>
        <v>42.982440377918564</v>
      </c>
      <c r="AB402" s="17">
        <f t="shared" si="238"/>
        <v>1.5920745365693687</v>
      </c>
      <c r="AC402" s="66" t="str">
        <f t="shared" si="239"/>
        <v>-0.0577527272962842+0.0425313799035687i</v>
      </c>
      <c r="AD402" s="64">
        <f t="shared" si="240"/>
        <v>-22.886740683067309</v>
      </c>
      <c r="AE402" s="61">
        <f t="shared" si="241"/>
        <v>143.63060774864073</v>
      </c>
      <c r="AF402" s="31" t="str">
        <f t="shared" si="227"/>
        <v>-1.33333333333333E-06</v>
      </c>
      <c r="AG402" s="31" t="str">
        <f t="shared" si="228"/>
        <v>0.435124909372118i</v>
      </c>
      <c r="AH402" s="31">
        <f t="shared" si="242"/>
        <v>0.43512490937211801</v>
      </c>
      <c r="AI402" s="31">
        <f t="shared" si="243"/>
        <v>1.5707963267948966</v>
      </c>
      <c r="AJ402" s="31" t="str">
        <f t="shared" si="229"/>
        <v>1+1.40698932073487i</v>
      </c>
      <c r="AK402" s="31">
        <f t="shared" si="244"/>
        <v>1.7261572780780929</v>
      </c>
      <c r="AL402" s="31">
        <f t="shared" si="245"/>
        <v>0.95290031344233272</v>
      </c>
      <c r="AM402" s="31" t="str">
        <f t="shared" si="230"/>
        <v>1+1408.39631005561i</v>
      </c>
      <c r="AN402" s="31">
        <f t="shared" si="246"/>
        <v>1408.3966650692757</v>
      </c>
      <c r="AO402" s="31">
        <f t="shared" si="247"/>
        <v>1.570086299493054</v>
      </c>
      <c r="AP402" s="58" t="str">
        <f t="shared" si="248"/>
        <v>-0.00144695446532774+0.00203891373451097i</v>
      </c>
      <c r="AQ402" s="49">
        <f t="shared" si="249"/>
        <v>-52.040611698580797</v>
      </c>
      <c r="AR402" s="61">
        <f t="shared" si="250"/>
        <v>125.36215217532643</v>
      </c>
      <c r="AS402" s="58" t="str">
        <f t="shared" si="251"/>
        <v>-3.15224798687641E-06-0.00017929379895788i</v>
      </c>
      <c r="AT402" s="64">
        <f t="shared" si="252"/>
        <v>-74.927352381648092</v>
      </c>
      <c r="AU402" s="61">
        <f t="shared" si="253"/>
        <v>-91.007240076032858</v>
      </c>
    </row>
    <row r="403" spans="14:47" x14ac:dyDescent="0.3">
      <c r="N403" s="10">
        <v>85</v>
      </c>
      <c r="O403" s="50">
        <f t="shared" si="254"/>
        <v>70794.578438413781</v>
      </c>
      <c r="P403" s="48" t="str">
        <f t="shared" ref="P403:P466" si="255">COMPLEX(Adc,0)</f>
        <v>51201.9230769231</v>
      </c>
      <c r="Q403" s="17" t="str">
        <f t="shared" ref="Q403:Q466" si="256">IMSUM(COMPLEX(1,0),IMDIV(COMPLEX(0,2*PI()*O403),COMPLEX(wp_lf,0)))</f>
        <v>1+20786.5683812592i</v>
      </c>
      <c r="R403" s="17">
        <f t="shared" si="231"/>
        <v>20786.568405313192</v>
      </c>
      <c r="S403" s="17">
        <f t="shared" si="232"/>
        <v>1.5707482188060797</v>
      </c>
      <c r="T403" s="17" t="str">
        <f t="shared" ref="T403:T466" si="257">IMSUM(COMPLEX(1,0),IMDIV(COMPLEX(0,2*PI()*O403),COMPLEX(wz_esr,0)))</f>
        <v>1+1.33444636521664E-06i</v>
      </c>
      <c r="U403" s="17">
        <f t="shared" si="233"/>
        <v>1.0000000000008904</v>
      </c>
      <c r="V403" s="17">
        <f t="shared" si="234"/>
        <v>1.3344463652158477E-6</v>
      </c>
      <c r="W403" s="31" t="str">
        <f t="shared" ref="W403:W466" si="258">IMSUB(COMPLEX(1,0),IMDIV(COMPLEX(0,2*PI()*O403),COMPLEX(wz_rhp,0)))</f>
        <v>1-0.720601037216987i</v>
      </c>
      <c r="X403" s="17">
        <f t="shared" si="235"/>
        <v>1.2325850294556548</v>
      </c>
      <c r="Y403" s="17">
        <f t="shared" si="236"/>
        <v>-0.62441877606534657</v>
      </c>
      <c r="Z403" s="31" t="str">
        <f t="shared" ref="Z403:Z466" si="259">IMSUM(COMPLEX(1,0),IMDIV(COMPLEX(0,2*PI()*O403),COMPLEX(Q*(wsl/2),0)),IMDIV(IMPOWER(COMPLEX(0,2*PI()*O403),2),IMPOWER(COMPLEX(wsl/2,0),2)))</f>
        <v>-1.00474893450909+43.9736733427309i</v>
      </c>
      <c r="AA403" s="17">
        <f t="shared" si="237"/>
        <v>43.985150536000205</v>
      </c>
      <c r="AB403" s="17">
        <f t="shared" si="238"/>
        <v>1.5936412260899115</v>
      </c>
      <c r="AC403" s="66" t="str">
        <f t="shared" si="239"/>
        <v>-0.0550668378504041+0.0416205064448222i</v>
      </c>
      <c r="AD403" s="64">
        <f t="shared" si="240"/>
        <v>-23.219714400480306</v>
      </c>
      <c r="AE403" s="61">
        <f t="shared" si="241"/>
        <v>142.9173560125902</v>
      </c>
      <c r="AF403" s="31" t="str">
        <f t="shared" ref="AF403:AF466" si="260">COMPLEX(Adc_ea,0)</f>
        <v>-1.33333333333333E-06</v>
      </c>
      <c r="AG403" s="31" t="str">
        <f t="shared" ref="AG403:AG466" si="261">COMPLEX(0,2*PI()*O403*wp0_ea)</f>
        <v>0.445260270527287i</v>
      </c>
      <c r="AH403" s="31">
        <f t="shared" si="242"/>
        <v>0.44526027052728701</v>
      </c>
      <c r="AI403" s="31">
        <f t="shared" si="243"/>
        <v>1.5707963267948966</v>
      </c>
      <c r="AJ403" s="31" t="str">
        <f t="shared" ref="AJ403:AJ466" si="262">IMSUM(COMPLEX(1,0),IMDIV(COMPLEX(0,2*PI()*O403),COMPLEX(wp1_ea,0)))</f>
        <v>1+1.43976231212185i</v>
      </c>
      <c r="AK403" s="31">
        <f t="shared" si="244"/>
        <v>1.7529733356233503</v>
      </c>
      <c r="AL403" s="31">
        <f t="shared" si="245"/>
        <v>0.96373132205707901</v>
      </c>
      <c r="AM403" s="31" t="str">
        <f t="shared" ref="AM403:AM466" si="263">IMSUM(COMPLEX(1,0),IMDIV(COMPLEX(0,2*PI()*O403),COMPLEX(wz_ea,0)))</f>
        <v>1+1441.20207443397i</v>
      </c>
      <c r="AN403" s="31">
        <f t="shared" si="246"/>
        <v>1441.2024213665402</v>
      </c>
      <c r="AO403" s="31">
        <f t="shared" si="247"/>
        <v>1.5701024616823933</v>
      </c>
      <c r="AP403" s="58" t="str">
        <f t="shared" si="248"/>
        <v>-0.00140302358497197+0.00202301498392453i</v>
      </c>
      <c r="AQ403" s="49">
        <f t="shared" si="249"/>
        <v>-52.174510724695146</v>
      </c>
      <c r="AR403" s="61">
        <f t="shared" si="250"/>
        <v>124.74250711906843</v>
      </c>
      <c r="AS403" s="58" t="str">
        <f t="shared" si="251"/>
        <v>-6.93883592245865E-06-0.000169795590249273i</v>
      </c>
      <c r="AT403" s="64">
        <f t="shared" si="252"/>
        <v>-75.394225125175467</v>
      </c>
      <c r="AU403" s="61">
        <f t="shared" si="253"/>
        <v>-92.340136868341347</v>
      </c>
    </row>
    <row r="404" spans="14:47" x14ac:dyDescent="0.3">
      <c r="N404" s="10">
        <v>86</v>
      </c>
      <c r="O404" s="50">
        <f t="shared" si="254"/>
        <v>72443.596007499116</v>
      </c>
      <c r="P404" s="48" t="str">
        <f t="shared" si="255"/>
        <v>51201.9230769231</v>
      </c>
      <c r="Q404" s="17" t="str">
        <f t="shared" si="256"/>
        <v>1+21270.7497581073i</v>
      </c>
      <c r="R404" s="17">
        <f t="shared" ref="R404:R467" si="264">IMABS(Q404)</f>
        <v>21270.749781613758</v>
      </c>
      <c r="S404" s="17">
        <f t="shared" ref="S404:S467" si="265">IMARGUMENT(Q404)</f>
        <v>1.5707493138775976</v>
      </c>
      <c r="T404" s="17" t="str">
        <f t="shared" si="257"/>
        <v>1+1.36552961410072E-06i</v>
      </c>
      <c r="U404" s="17">
        <f t="shared" ref="U404:U467" si="266">IMABS(T404)</f>
        <v>1.0000000000009324</v>
      </c>
      <c r="V404" s="17">
        <f t="shared" ref="V404:V467" si="267">IMARGUMENT(T404)</f>
        <v>1.3655296140998713E-6</v>
      </c>
      <c r="W404" s="31" t="str">
        <f t="shared" si="258"/>
        <v>1-0.737385991614387i</v>
      </c>
      <c r="X404" s="17">
        <f t="shared" ref="X404:X467" si="268">IMABS(W404)</f>
        <v>1.2424725754032291</v>
      </c>
      <c r="Y404" s="17">
        <f t="shared" ref="Y404:Y467" si="269">IMARGUMENT(W404)</f>
        <v>-0.63537914469064372</v>
      </c>
      <c r="Z404" s="31" t="str">
        <f t="shared" si="259"/>
        <v>-1.0992298409991+44.9979517764596i</v>
      </c>
      <c r="AA404" s="17">
        <f t="shared" ref="AA404:AA467" si="270">IMABS(Z404)</f>
        <v>45.011376010070244</v>
      </c>
      <c r="AB404" s="17">
        <f t="shared" ref="AB404:AB467" si="271">IMARGUMENT(Z404)</f>
        <v>1.5952199110067253</v>
      </c>
      <c r="AC404" s="66" t="str">
        <f t="shared" ref="AC404:AC467" si="272">(IMDIV(IMPRODUCT(P404,T404,W404),IMPRODUCT(Q404,Z404)))</f>
        <v>-0.05250172751565+0.0407261871916259i</v>
      </c>
      <c r="AD404" s="64">
        <f t="shared" ref="AD404:AD467" si="273">20*LOG(IMABS(AC404))</f>
        <v>-23.550640082553222</v>
      </c>
      <c r="AE404" s="61">
        <f t="shared" ref="AE404:AE467" si="274">(180/PI())*IMARGUMENT(AC404)</f>
        <v>142.19886020350143</v>
      </c>
      <c r="AF404" s="31" t="str">
        <f t="shared" si="260"/>
        <v>-1.33333333333333E-06</v>
      </c>
      <c r="AG404" s="31" t="str">
        <f t="shared" si="261"/>
        <v>0.455631714571606i</v>
      </c>
      <c r="AH404" s="31">
        <f t="shared" ref="AH404:AH467" si="275">IMABS(AG404)</f>
        <v>0.45563171457160601</v>
      </c>
      <c r="AI404" s="31">
        <f t="shared" ref="AI404:AI467" si="276">IMARGUMENT(AG404)</f>
        <v>1.5707963267948966</v>
      </c>
      <c r="AJ404" s="31" t="str">
        <f t="shared" si="262"/>
        <v>1+1.47329868454423i</v>
      </c>
      <c r="AK404" s="31">
        <f t="shared" ref="AK404:AK467" si="277">IMABS(AJ404)</f>
        <v>1.7806204013993994</v>
      </c>
      <c r="AL404" s="31">
        <f t="shared" ref="AL404:AL467" si="278">IMARGUMENT(AJ404)</f>
        <v>0.97447561360814117</v>
      </c>
      <c r="AM404" s="31" t="str">
        <f t="shared" si="263"/>
        <v>1+1474.77198322877i</v>
      </c>
      <c r="AN404" s="31">
        <f t="shared" ref="AN404:AN467" si="279">IMABS(AM404)</f>
        <v>1474.7723222641926</v>
      </c>
      <c r="AO404" s="31">
        <f t="shared" ref="AO404:AO467" si="280">IMARGUMENT(AM404)</f>
        <v>1.5701182559757381</v>
      </c>
      <c r="AP404" s="58" t="str">
        <f t="shared" ref="AP404:AP467" si="281">IMPRODUCT(AF404,IMDIV(AM404,IMPRODUCT(AG404,AJ404)))</f>
        <v>-0.00135979331537504+0.00200630804284174i</v>
      </c>
      <c r="AQ404" s="49">
        <f t="shared" ref="AQ404:AQ467" si="282">20*LOG(IMABS(AP404))</f>
        <v>-52.310431516154772</v>
      </c>
      <c r="AR404" s="61">
        <f t="shared" ref="AR404:AR467" si="283">(180/PI())*IMARGUMENT(AP404)</f>
        <v>124.12780950568359</v>
      </c>
      <c r="AS404" s="58" t="str">
        <f t="shared" ref="AS404:AS467" si="284">IMPRODUCT(AC404,AP404)</f>
        <v>-0.0000103177787954146-0.00016071383528162i</v>
      </c>
      <c r="AT404" s="64">
        <f t="shared" ref="AT404:AT467" si="285">20*LOG(IMABS(AS404))</f>
        <v>-75.861071598707966</v>
      </c>
      <c r="AU404" s="61">
        <f t="shared" ref="AU404:AU467" si="286">(180/PI())*IMARGUMENT(AS404)</f>
        <v>-93.67333029081496</v>
      </c>
    </row>
    <row r="405" spans="14:47" x14ac:dyDescent="0.3">
      <c r="N405" s="10">
        <v>87</v>
      </c>
      <c r="O405" s="50">
        <f t="shared" si="254"/>
        <v>74131.024130091857</v>
      </c>
      <c r="P405" s="48" t="str">
        <f t="shared" si="255"/>
        <v>51201.9230769231</v>
      </c>
      <c r="Q405" s="17" t="str">
        <f t="shared" si="256"/>
        <v>1+21766.2091680288i</v>
      </c>
      <c r="R405" s="17">
        <f t="shared" si="264"/>
        <v>21766.209191000184</v>
      </c>
      <c r="S405" s="17">
        <f t="shared" si="265"/>
        <v>1.570750384022245</v>
      </c>
      <c r="T405" s="17" t="str">
        <f t="shared" si="257"/>
        <v>1+1.39733688486111E-06i</v>
      </c>
      <c r="U405" s="17">
        <f t="shared" si="266"/>
        <v>1.0000000000009763</v>
      </c>
      <c r="V405" s="17">
        <f t="shared" si="267"/>
        <v>1.3973368848602004E-6</v>
      </c>
      <c r="W405" s="31" t="str">
        <f t="shared" si="258"/>
        <v>1-0.754561917824998i</v>
      </c>
      <c r="X405" s="17">
        <f t="shared" si="268"/>
        <v>1.252742466683292</v>
      </c>
      <c r="Y405" s="17">
        <f t="shared" si="269"/>
        <v>-0.64641434876024428</v>
      </c>
      <c r="Z405" s="31" t="str">
        <f t="shared" si="259"/>
        <v>-1.19816349543051+46.0460887198385i</v>
      </c>
      <c r="AA405" s="17">
        <f t="shared" si="270"/>
        <v>46.061674765004156</v>
      </c>
      <c r="AB405" s="17">
        <f t="shared" si="271"/>
        <v>1.5968114176932124</v>
      </c>
      <c r="AC405" s="66" t="str">
        <f t="shared" si="272"/>
        <v>-0.050051971911502+0.0398483157173693i</v>
      </c>
      <c r="AD405" s="64">
        <f t="shared" si="273"/>
        <v>-23.879489013336929</v>
      </c>
      <c r="AE405" s="61">
        <f t="shared" si="274"/>
        <v>141.47534347569578</v>
      </c>
      <c r="AF405" s="31" t="str">
        <f t="shared" si="260"/>
        <v>-1.33333333333333E-06</v>
      </c>
      <c r="AG405" s="31" t="str">
        <f t="shared" si="261"/>
        <v>0.466244740581989i</v>
      </c>
      <c r="AH405" s="31">
        <f t="shared" si="275"/>
        <v>0.466244740581989</v>
      </c>
      <c r="AI405" s="31">
        <f t="shared" si="276"/>
        <v>1.5707963267948966</v>
      </c>
      <c r="AJ405" s="31" t="str">
        <f t="shared" si="262"/>
        <v>1+1.50761621943056i</v>
      </c>
      <c r="AK405" s="31">
        <f t="shared" si="277"/>
        <v>1.8091176482169684</v>
      </c>
      <c r="AL405" s="31">
        <f t="shared" si="278"/>
        <v>0.98512896233838421</v>
      </c>
      <c r="AM405" s="31" t="str">
        <f t="shared" si="263"/>
        <v>1+1509.12383565i</v>
      </c>
      <c r="AN405" s="31">
        <f t="shared" si="279"/>
        <v>1509.1241669680358</v>
      </c>
      <c r="AO405" s="31">
        <f t="shared" si="280"/>
        <v>1.5701336907474002</v>
      </c>
      <c r="AP405" s="58" t="str">
        <f t="shared" si="281"/>
        <v>-0.00131729174825794+0.00198883013381145i</v>
      </c>
      <c r="AQ405" s="49">
        <f t="shared" si="282"/>
        <v>-52.448340911549693</v>
      </c>
      <c r="AR405" s="61">
        <f t="shared" si="283"/>
        <v>123.5183019330336</v>
      </c>
      <c r="AS405" s="58" t="str">
        <f t="shared" si="284"/>
        <v>-0.0000133184814972767-0.000152036727470747i</v>
      </c>
      <c r="AT405" s="64">
        <f t="shared" si="285"/>
        <v>-76.327829924886629</v>
      </c>
      <c r="AU405" s="61">
        <f t="shared" si="286"/>
        <v>-95.006354591270608</v>
      </c>
    </row>
    <row r="406" spans="14:47" x14ac:dyDescent="0.3">
      <c r="N406" s="10">
        <v>88</v>
      </c>
      <c r="O406" s="50">
        <f t="shared" si="254"/>
        <v>75857.757502918481</v>
      </c>
      <c r="P406" s="48" t="str">
        <f t="shared" si="255"/>
        <v>51201.9230769231</v>
      </c>
      <c r="Q406" s="17" t="str">
        <f t="shared" si="256"/>
        <v>1+22273.2093101609i</v>
      </c>
      <c r="R406" s="17">
        <f t="shared" si="264"/>
        <v>22273.209332609393</v>
      </c>
      <c r="S406" s="17">
        <f t="shared" si="265"/>
        <v>1.5707514298074261</v>
      </c>
      <c r="T406" s="17" t="str">
        <f t="shared" si="257"/>
        <v>1+1.42988504213379E-06i</v>
      </c>
      <c r="U406" s="17">
        <f t="shared" si="266"/>
        <v>1.0000000000010223</v>
      </c>
      <c r="V406" s="17">
        <f t="shared" si="267"/>
        <v>1.4298850421328154E-6</v>
      </c>
      <c r="W406" s="31" t="str">
        <f t="shared" si="258"/>
        <v>1-0.772137922752245i</v>
      </c>
      <c r="X406" s="17">
        <f t="shared" si="268"/>
        <v>1.263406890812359</v>
      </c>
      <c r="Y406" s="17">
        <f t="shared" si="269"/>
        <v>-0.65751948909633839</v>
      </c>
      <c r="Z406" s="31" t="str">
        <f t="shared" si="259"/>
        <v>-1.30175974934864+47.1186399089485i</v>
      </c>
      <c r="AA406" s="17">
        <f t="shared" si="270"/>
        <v>47.13661851802884</v>
      </c>
      <c r="AB406" s="17">
        <f t="shared" si="271"/>
        <v>1.5984165787149747</v>
      </c>
      <c r="AC406" s="66" t="str">
        <f t="shared" si="272"/>
        <v>-0.0477123898834013+0.0389867698171763i</v>
      </c>
      <c r="AD406" s="64">
        <f t="shared" si="273"/>
        <v>-24.206234172128429</v>
      </c>
      <c r="AE406" s="61">
        <f t="shared" si="274"/>
        <v>140.74703879734611</v>
      </c>
      <c r="AF406" s="31" t="str">
        <f t="shared" si="260"/>
        <v>-1.33333333333333E-06</v>
      </c>
      <c r="AG406" s="31" t="str">
        <f t="shared" si="261"/>
        <v>0.477104975725307i</v>
      </c>
      <c r="AH406" s="31">
        <f t="shared" si="275"/>
        <v>0.47710497572530702</v>
      </c>
      <c r="AI406" s="31">
        <f t="shared" si="276"/>
        <v>1.5707963267948966</v>
      </c>
      <c r="AJ406" s="31" t="str">
        <f t="shared" si="262"/>
        <v>1+1.5427331123921i</v>
      </c>
      <c r="AK406" s="31">
        <f t="shared" si="277"/>
        <v>1.8384845542106183</v>
      </c>
      <c r="AL406" s="31">
        <f t="shared" si="278"/>
        <v>0.99568734401225112</v>
      </c>
      <c r="AM406" s="31" t="str">
        <f t="shared" si="263"/>
        <v>1+1544.27584550449i</v>
      </c>
      <c r="AN406" s="31">
        <f t="shared" si="279"/>
        <v>1544.2761692808083</v>
      </c>
      <c r="AO406" s="31">
        <f t="shared" si="280"/>
        <v>1.5701487741810705</v>
      </c>
      <c r="AP406" s="58" t="str">
        <f t="shared" si="281"/>
        <v>-0.0012755445184585+0.00197061939800585i</v>
      </c>
      <c r="AQ406" s="49">
        <f t="shared" si="282"/>
        <v>-52.588204503214968</v>
      </c>
      <c r="AR406" s="61">
        <f t="shared" si="283"/>
        <v>122.91421544172265</v>
      </c>
      <c r="AS406" s="58" t="str">
        <f t="shared" si="284"/>
        <v>-0.0000159688074889893-0.000143752321562151i</v>
      </c>
      <c r="AT406" s="64">
        <f t="shared" si="285"/>
        <v>-76.7944386753434</v>
      </c>
      <c r="AU406" s="61">
        <f t="shared" si="286"/>
        <v>-96.338745760931232</v>
      </c>
    </row>
    <row r="407" spans="14:47" x14ac:dyDescent="0.3">
      <c r="N407" s="10">
        <v>89</v>
      </c>
      <c r="O407" s="50">
        <f t="shared" si="254"/>
        <v>77624.711662869129</v>
      </c>
      <c r="P407" s="48" t="str">
        <f t="shared" si="255"/>
        <v>51201.9230769231</v>
      </c>
      <c r="Q407" s="17" t="str">
        <f t="shared" si="256"/>
        <v>1+22792.0190026901i</v>
      </c>
      <c r="R407" s="17">
        <f t="shared" si="264"/>
        <v>22792.019024627603</v>
      </c>
      <c r="S407" s="17">
        <f t="shared" si="265"/>
        <v>1.5707524517876303</v>
      </c>
      <c r="T407" s="17" t="str">
        <f t="shared" si="257"/>
        <v>1+1.46319134338257E-06i</v>
      </c>
      <c r="U407" s="17">
        <f t="shared" si="266"/>
        <v>1.0000000000010705</v>
      </c>
      <c r="V407" s="17">
        <f t="shared" si="267"/>
        <v>1.4631913433815257E-6</v>
      </c>
      <c r="W407" s="31" t="str">
        <f t="shared" si="258"/>
        <v>1-0.790123325426589i</v>
      </c>
      <c r="X407" s="17">
        <f t="shared" si="268"/>
        <v>1.274478273405699</v>
      </c>
      <c r="Y407" s="17">
        <f t="shared" si="269"/>
        <v>-0.6686894979990643</v>
      </c>
      <c r="Z407" s="31" t="str">
        <f t="shared" si="259"/>
        <v>-1.41023834429743+48.2161740246272i</v>
      </c>
      <c r="AA407" s="17">
        <f t="shared" si="270"/>
        <v>48.236793112321031</v>
      </c>
      <c r="AB407" s="17">
        <f t="shared" si="271"/>
        <v>1.6000362332180345</v>
      </c>
      <c r="AC407" s="66" t="str">
        <f t="shared" si="272"/>
        <v>-0.045478032640747+0.0381414130746138i</v>
      </c>
      <c r="AD407" s="64">
        <f t="shared" si="273"/>
        <v>-24.530850338239528</v>
      </c>
      <c r="AE407" s="61">
        <f t="shared" si="274"/>
        <v>140.01418841595964</v>
      </c>
      <c r="AF407" s="31" t="str">
        <f t="shared" si="260"/>
        <v>-1.33333333333333E-06</v>
      </c>
      <c r="AG407" s="31" t="str">
        <f t="shared" si="261"/>
        <v>0.488218178241985i</v>
      </c>
      <c r="AH407" s="31">
        <f t="shared" si="275"/>
        <v>0.48821817824198499</v>
      </c>
      <c r="AI407" s="31">
        <f t="shared" si="276"/>
        <v>1.5707963267948966</v>
      </c>
      <c r="AJ407" s="31" t="str">
        <f t="shared" si="262"/>
        <v>1+1.57866798287031i</v>
      </c>
      <c r="AK407" s="31">
        <f t="shared" si="277"/>
        <v>1.8687409130587938</v>
      </c>
      <c r="AL407" s="31">
        <f t="shared" si="278"/>
        <v>1.0061469403254979</v>
      </c>
      <c r="AM407" s="31" t="str">
        <f t="shared" si="263"/>
        <v>1+1580.24665085318i</v>
      </c>
      <c r="AN407" s="31">
        <f t="shared" si="279"/>
        <v>1580.2469672594507</v>
      </c>
      <c r="AO407" s="31">
        <f t="shared" si="280"/>
        <v>1.5701635142741575</v>
      </c>
      <c r="AP407" s="58" t="str">
        <f t="shared" si="281"/>
        <v>-0.0012345747890792+0.00195171471141328i</v>
      </c>
      <c r="AQ407" s="49">
        <f t="shared" si="282"/>
        <v>-52.729986751606646</v>
      </c>
      <c r="AR407" s="61">
        <f t="shared" si="283"/>
        <v>122.31576926268635</v>
      </c>
      <c r="AS407" s="58" t="str">
        <f t="shared" si="284"/>
        <v>-0.0000182951244566274-0.000135848572352853i</v>
      </c>
      <c r="AT407" s="64">
        <f t="shared" si="285"/>
        <v>-77.260837089846191</v>
      </c>
      <c r="AU407" s="61">
        <f t="shared" si="286"/>
        <v>-97.670042321354032</v>
      </c>
    </row>
    <row r="408" spans="14:47" x14ac:dyDescent="0.3">
      <c r="N408" s="10">
        <v>90</v>
      </c>
      <c r="O408" s="50">
        <f t="shared" si="254"/>
        <v>79432.823472428237</v>
      </c>
      <c r="P408" s="48" t="str">
        <f t="shared" si="255"/>
        <v>51201.9230769231</v>
      </c>
      <c r="Q408" s="17" t="str">
        <f t="shared" si="256"/>
        <v>1+23322.9133253826i</v>
      </c>
      <c r="R408" s="17">
        <f t="shared" si="264"/>
        <v>23322.913346820744</v>
      </c>
      <c r="S408" s="17">
        <f t="shared" si="265"/>
        <v>1.5707534505047249</v>
      </c>
      <c r="T408" s="17" t="str">
        <f t="shared" si="257"/>
        <v>1+1.49727344804925E-06i</v>
      </c>
      <c r="U408" s="17">
        <f t="shared" si="266"/>
        <v>1.0000000000011209</v>
      </c>
      <c r="V408" s="17">
        <f t="shared" si="267"/>
        <v>1.497273448048131E-6</v>
      </c>
      <c r="W408" s="31" t="str">
        <f t="shared" si="258"/>
        <v>1-0.808527661946597i</v>
      </c>
      <c r="X408" s="17">
        <f t="shared" si="268"/>
        <v>1.2859692765120132</v>
      </c>
      <c r="Y408" s="17">
        <f t="shared" si="269"/>
        <v>-0.67991914913106077</v>
      </c>
      <c r="Z408" s="31" t="str">
        <f t="shared" si="259"/>
        <v>-1.52382937792078+49.3392729939905i</v>
      </c>
      <c r="AA408" s="17">
        <f t="shared" si="270"/>
        <v>49.362798903106523</v>
      </c>
      <c r="AB408" s="17">
        <f t="shared" si="271"/>
        <v>1.6016712273174665</v>
      </c>
      <c r="AC408" s="66" t="str">
        <f t="shared" si="272"/>
        <v>-0.0433441733765288+0.0373120963124697i</v>
      </c>
      <c r="AD408" s="64">
        <f t="shared" si="273"/>
        <v>-24.853314191299795</v>
      </c>
      <c r="AE408" s="61">
        <f t="shared" si="274"/>
        <v>139.27704326975214</v>
      </c>
      <c r="AF408" s="31" t="str">
        <f t="shared" si="260"/>
        <v>-1.33333333333333E-06</v>
      </c>
      <c r="AG408" s="31" t="str">
        <f t="shared" si="261"/>
        <v>0.499590240499101i</v>
      </c>
      <c r="AH408" s="31">
        <f t="shared" si="275"/>
        <v>0.499590240499101</v>
      </c>
      <c r="AI408" s="31">
        <f t="shared" si="276"/>
        <v>1.5707963267948966</v>
      </c>
      <c r="AJ408" s="31" t="str">
        <f t="shared" si="262"/>
        <v>1+1.61543988400918i</v>
      </c>
      <c r="AK408" s="31">
        <f t="shared" si="277"/>
        <v>1.8999068447814993</v>
      </c>
      <c r="AL408" s="31">
        <f t="shared" si="278"/>
        <v>1.016504142341742</v>
      </c>
      <c r="AM408" s="31" t="str">
        <f t="shared" si="263"/>
        <v>1+1617.05532389319i</v>
      </c>
      <c r="AN408" s="31">
        <f t="shared" si="279"/>
        <v>1617.0556330971765</v>
      </c>
      <c r="AO408" s="31">
        <f t="shared" si="280"/>
        <v>1.5701779188420282</v>
      </c>
      <c r="AP408" s="58" t="str">
        <f t="shared" si="281"/>
        <v>-0.00119440325179531+0.0019321555043835i</v>
      </c>
      <c r="AQ408" s="49">
        <f t="shared" si="282"/>
        <v>-52.873651100014314</v>
      </c>
      <c r="AR408" s="61">
        <f t="shared" si="283"/>
        <v>121.72317062053612</v>
      </c>
      <c r="AS408" s="58" t="str">
        <f t="shared" si="284"/>
        <v>-0.0000203223506429199-0.000128313372339326i</v>
      </c>
      <c r="AT408" s="64">
        <f t="shared" si="285"/>
        <v>-77.726965291314144</v>
      </c>
      <c r="AU408" s="61">
        <f t="shared" si="286"/>
        <v>-98.999786109711792</v>
      </c>
    </row>
    <row r="409" spans="14:47" x14ac:dyDescent="0.3">
      <c r="N409" s="10">
        <v>91</v>
      </c>
      <c r="O409" s="50">
        <f t="shared" si="254"/>
        <v>81283.051616410012</v>
      </c>
      <c r="P409" s="48" t="str">
        <f t="shared" si="255"/>
        <v>51201.9230769231</v>
      </c>
      <c r="Q409" s="17" t="str">
        <f t="shared" si="256"/>
        <v>1+23866.1737654354i</v>
      </c>
      <c r="R409" s="17">
        <f t="shared" si="264"/>
        <v>23866.173786385552</v>
      </c>
      <c r="S409" s="17">
        <f t="shared" si="265"/>
        <v>1.5707544264882431</v>
      </c>
      <c r="T409" s="17" t="str">
        <f t="shared" si="257"/>
        <v>1+1.53214942691684E-06i</v>
      </c>
      <c r="U409" s="17">
        <f t="shared" si="266"/>
        <v>1.0000000000011737</v>
      </c>
      <c r="V409" s="17">
        <f t="shared" si="267"/>
        <v>1.532149426915641E-6</v>
      </c>
      <c r="W409" s="31" t="str">
        <f t="shared" si="258"/>
        <v>1-0.827360690535094i</v>
      </c>
      <c r="X409" s="17">
        <f t="shared" si="268"/>
        <v>1.2978927968991536</v>
      </c>
      <c r="Y409" s="17">
        <f t="shared" si="269"/>
        <v>-0.69120306831109313</v>
      </c>
      <c r="Z409" s="31" t="str">
        <f t="shared" si="259"/>
        <v>-1.64277379203039+50.4885322989775i</v>
      </c>
      <c r="AA409" s="17">
        <f t="shared" si="270"/>
        <v>50.51525115682071</v>
      </c>
      <c r="AB409" s="17">
        <f t="shared" si="271"/>
        <v>1.6033224144863842</v>
      </c>
      <c r="AC409" s="66" t="str">
        <f t="shared" si="272"/>
        <v>-0.0413062973475588+0.0364986589355575i</v>
      </c>
      <c r="AD409" s="64">
        <f t="shared" si="273"/>
        <v>-25.173604406336839</v>
      </c>
      <c r="AE409" s="61">
        <f t="shared" si="274"/>
        <v>138.5358623469142</v>
      </c>
      <c r="AF409" s="31" t="str">
        <f t="shared" si="260"/>
        <v>-1.33333333333333E-06</v>
      </c>
      <c r="AG409" s="31" t="str">
        <f t="shared" si="261"/>
        <v>0.511227192114586i</v>
      </c>
      <c r="AH409" s="31">
        <f t="shared" si="275"/>
        <v>0.511227192114586</v>
      </c>
      <c r="AI409" s="31">
        <f t="shared" si="276"/>
        <v>1.5707963267948966</v>
      </c>
      <c r="AJ409" s="31" t="str">
        <f t="shared" si="262"/>
        <v>1+1.65306831275743i</v>
      </c>
      <c r="AK409" s="31">
        <f t="shared" si="277"/>
        <v>1.9320028071001079</v>
      </c>
      <c r="AL409" s="31">
        <f t="shared" si="278"/>
        <v>1.0267555529772221</v>
      </c>
      <c r="AM409" s="31" t="str">
        <f t="shared" si="263"/>
        <v>1+1654.72138107019i</v>
      </c>
      <c r="AN409" s="31">
        <f t="shared" si="279"/>
        <v>1654.7216832358354</v>
      </c>
      <c r="AO409" s="31">
        <f t="shared" si="280"/>
        <v>1.5701919955221513</v>
      </c>
      <c r="AP409" s="58" t="str">
        <f t="shared" si="281"/>
        <v>-0.00115504814156129+0.0019119815858371i</v>
      </c>
      <c r="AQ409" s="49">
        <f t="shared" si="282"/>
        <v>-53.019160088920742</v>
      </c>
      <c r="AR409" s="61">
        <f t="shared" si="283"/>
        <v>121.13661459142806</v>
      </c>
      <c r="AS409" s="58" t="str">
        <f t="shared" si="284"/>
        <v>-0.0000220740018064589-0.000121134588080639i</v>
      </c>
      <c r="AT409" s="64">
        <f t="shared" si="285"/>
        <v>-78.192764495257592</v>
      </c>
      <c r="AU409" s="61">
        <f t="shared" si="286"/>
        <v>-100.32752306165779</v>
      </c>
    </row>
    <row r="410" spans="14:47" x14ac:dyDescent="0.3">
      <c r="N410" s="10">
        <v>92</v>
      </c>
      <c r="O410" s="50">
        <f t="shared" si="254"/>
        <v>83176.377110267174</v>
      </c>
      <c r="P410" s="48" t="str">
        <f t="shared" si="255"/>
        <v>51201.9230769231</v>
      </c>
      <c r="Q410" s="17" t="str">
        <f t="shared" si="256"/>
        <v>1+24422.0883667248i</v>
      </c>
      <c r="R410" s="17">
        <f t="shared" si="264"/>
        <v>24422.08838719807</v>
      </c>
      <c r="S410" s="17">
        <f t="shared" si="265"/>
        <v>1.5707553802556644</v>
      </c>
      <c r="T410" s="17" t="str">
        <f t="shared" si="257"/>
        <v>1+1.56783777169098E-06i</v>
      </c>
      <c r="U410" s="17">
        <f t="shared" si="266"/>
        <v>1.000000000001229</v>
      </c>
      <c r="V410" s="17">
        <f t="shared" si="267"/>
        <v>1.5678377716896953E-6</v>
      </c>
      <c r="W410" s="31" t="str">
        <f t="shared" si="258"/>
        <v>1-0.846632396713127i</v>
      </c>
      <c r="X410" s="17">
        <f t="shared" si="268"/>
        <v>1.3102619643278262</v>
      </c>
      <c r="Y410" s="17">
        <f t="shared" si="269"/>
        <v>-0.70253574517260242</v>
      </c>
      <c r="Z410" s="31" t="str">
        <f t="shared" si="259"/>
        <v>-1.76732388367576+51.6645612920842i</v>
      </c>
      <c r="AA410" s="17">
        <f t="shared" si="270"/>
        <v>51.694780463924367</v>
      </c>
      <c r="AB410" s="17">
        <f t="shared" si="271"/>
        <v>1.6049906559452198</v>
      </c>
      <c r="AC410" s="66" t="str">
        <f t="shared" si="272"/>
        <v>-0.0393600923951616+0.0357009301729698i</v>
      </c>
      <c r="AD410" s="64">
        <f t="shared" si="273"/>
        <v>-25.491701742898591</v>
      </c>
      <c r="AE410" s="61">
        <f t="shared" si="274"/>
        <v>137.79091199530785</v>
      </c>
      <c r="AF410" s="31" t="str">
        <f t="shared" si="260"/>
        <v>-1.33333333333333E-06</v>
      </c>
      <c r="AG410" s="31" t="str">
        <f t="shared" si="261"/>
        <v>0.523135203154223i</v>
      </c>
      <c r="AH410" s="31">
        <f t="shared" si="275"/>
        <v>0.52313520315422302</v>
      </c>
      <c r="AI410" s="31">
        <f t="shared" si="276"/>
        <v>1.5707963267948966</v>
      </c>
      <c r="AJ410" s="31" t="str">
        <f t="shared" si="262"/>
        <v>1+1.69157322020605i</v>
      </c>
      <c r="AK410" s="31">
        <f t="shared" si="277"/>
        <v>1.9650496073428441</v>
      </c>
      <c r="AL410" s="31">
        <f t="shared" si="278"/>
        <v>1.0368979885619307</v>
      </c>
      <c r="AM410" s="31" t="str">
        <f t="shared" si="263"/>
        <v>1+1693.26479342625i</v>
      </c>
      <c r="AN410" s="31">
        <f t="shared" si="279"/>
        <v>1693.2650887137672</v>
      </c>
      <c r="AO410" s="31">
        <f t="shared" si="280"/>
        <v>1.5702057517781463</v>
      </c>
      <c r="AP410" s="58" t="str">
        <f t="shared" si="281"/>
        <v>-0.00111652526484136+0.00189123297332245i</v>
      </c>
      <c r="AQ410" s="49">
        <f t="shared" si="282"/>
        <v>-53.166475469362922</v>
      </c>
      <c r="AR410" s="61">
        <f t="shared" si="283"/>
        <v>120.55628401385141</v>
      </c>
      <c r="AS410" s="58" t="str">
        <f t="shared" si="284"/>
        <v>-0.0000235722387357146-0.000114300095087206i</v>
      </c>
      <c r="AT410" s="64">
        <f t="shared" si="285"/>
        <v>-78.658177212261506</v>
      </c>
      <c r="AU410" s="61">
        <f t="shared" si="286"/>
        <v>-101.65280399084067</v>
      </c>
    </row>
    <row r="411" spans="14:47" x14ac:dyDescent="0.3">
      <c r="N411" s="10">
        <v>93</v>
      </c>
      <c r="O411" s="50">
        <f t="shared" si="254"/>
        <v>85113.803820237721</v>
      </c>
      <c r="P411" s="48" t="str">
        <f t="shared" si="255"/>
        <v>51201.9230769231</v>
      </c>
      <c r="Q411" s="17" t="str">
        <f t="shared" si="256"/>
        <v>1+24990.9518825309i</v>
      </c>
      <c r="R411" s="17">
        <f t="shared" si="264"/>
        <v>24990.951902538138</v>
      </c>
      <c r="S411" s="17">
        <f t="shared" si="265"/>
        <v>1.5707563123126886</v>
      </c>
      <c r="T411" s="17" t="str">
        <f t="shared" si="257"/>
        <v>1+1.60435740480445E-06i</v>
      </c>
      <c r="U411" s="17">
        <f t="shared" si="266"/>
        <v>1.000000000001287</v>
      </c>
      <c r="V411" s="17">
        <f t="shared" si="267"/>
        <v>1.6043574048030735E-6</v>
      </c>
      <c r="W411" s="31" t="str">
        <f t="shared" si="258"/>
        <v>1-0.866352998594402i</v>
      </c>
      <c r="X411" s="17">
        <f t="shared" si="268"/>
        <v>1.3230901398519723</v>
      </c>
      <c r="Y411" s="17">
        <f t="shared" si="269"/>
        <v>-0.71391154563386983</v>
      </c>
      <c r="Z411" s="31" t="str">
        <f t="shared" si="259"/>
        <v>-1.89774384029997+52.8679835194492i</v>
      </c>
      <c r="AA411" s="17">
        <f t="shared" si="270"/>
        <v>52.902033165996073</v>
      </c>
      <c r="AB411" s="17">
        <f t="shared" si="271"/>
        <v>1.606676821051201</v>
      </c>
      <c r="AC411" s="66" t="str">
        <f t="shared" si="272"/>
        <v>-0.0375014398870356+0.0349187302267136i</v>
      </c>
      <c r="AD411" s="64">
        <f t="shared" si="273"/>
        <v>-25.807589127513921</v>
      </c>
      <c r="AE411" s="61">
        <f t="shared" si="274"/>
        <v>137.04246518564642</v>
      </c>
      <c r="AF411" s="31" t="str">
        <f t="shared" si="260"/>
        <v>-1.33333333333333E-06</v>
      </c>
      <c r="AG411" s="31" t="str">
        <f t="shared" si="261"/>
        <v>0.535320587403085i</v>
      </c>
      <c r="AH411" s="31">
        <f t="shared" si="275"/>
        <v>0.53532058740308497</v>
      </c>
      <c r="AI411" s="31">
        <f t="shared" si="276"/>
        <v>1.5707963267948966</v>
      </c>
      <c r="AJ411" s="31" t="str">
        <f t="shared" si="262"/>
        <v>1+1.73097502216664i</v>
      </c>
      <c r="AK411" s="31">
        <f t="shared" si="277"/>
        <v>1.9990684148784901</v>
      </c>
      <c r="AL411" s="31">
        <f t="shared" si="278"/>
        <v>1.0469284795112037</v>
      </c>
      <c r="AM411" s="31" t="str">
        <f t="shared" si="263"/>
        <v>1+1732.7059971888i</v>
      </c>
      <c r="AN411" s="31">
        <f t="shared" si="279"/>
        <v>1732.7062857547537</v>
      </c>
      <c r="AO411" s="31">
        <f t="shared" si="280"/>
        <v>1.5702191949037418</v>
      </c>
      <c r="AP411" s="58" t="str">
        <f t="shared" si="281"/>
        <v>-0.0010788480403984+0.00186994972997033i</v>
      </c>
      <c r="AQ411" s="49">
        <f t="shared" si="282"/>
        <v>-53.315558314687635</v>
      </c>
      <c r="AR411" s="61">
        <f t="shared" si="283"/>
        <v>119.98234945037399</v>
      </c>
      <c r="AS411" s="58" t="str">
        <f t="shared" si="284"/>
        <v>-0.0000248379152241031-0.000107797811068551i</v>
      </c>
      <c r="AT411" s="64">
        <f t="shared" si="285"/>
        <v>-79.123147442201571</v>
      </c>
      <c r="AU411" s="61">
        <f t="shared" si="286"/>
        <v>-102.97518536397956</v>
      </c>
    </row>
    <row r="412" spans="14:47" x14ac:dyDescent="0.3">
      <c r="N412" s="10">
        <v>94</v>
      </c>
      <c r="O412" s="50">
        <f t="shared" si="254"/>
        <v>87096.358995608127</v>
      </c>
      <c r="P412" s="48" t="str">
        <f t="shared" si="255"/>
        <v>51201.9230769231</v>
      </c>
      <c r="Q412" s="17" t="str">
        <f t="shared" si="256"/>
        <v>1+25573.0659318194i</v>
      </c>
      <c r="R412" s="17">
        <f t="shared" si="264"/>
        <v>25573.06595137122</v>
      </c>
      <c r="S412" s="17">
        <f t="shared" si="265"/>
        <v>1.5707572231535047</v>
      </c>
      <c r="T412" s="17" t="str">
        <f t="shared" si="257"/>
        <v>1+1.64172768945013E-06i</v>
      </c>
      <c r="U412" s="17">
        <f t="shared" si="266"/>
        <v>1.0000000000013476</v>
      </c>
      <c r="V412" s="17">
        <f t="shared" si="267"/>
        <v>1.6417276894486552E-6</v>
      </c>
      <c r="W412" s="31" t="str">
        <f t="shared" si="258"/>
        <v>1-0.886532952303071i</v>
      </c>
      <c r="X412" s="17">
        <f t="shared" si="268"/>
        <v>1.3363909141861148</v>
      </c>
      <c r="Y412" s="17">
        <f t="shared" si="269"/>
        <v>-0.72532472511783552</v>
      </c>
      <c r="Z412" s="31" t="str">
        <f t="shared" si="259"/>
        <v>-2.03431030011675+54.0994370514668i</v>
      </c>
      <c r="AA412" s="17">
        <f t="shared" si="270"/>
        <v>54.13767179776741</v>
      </c>
      <c r="AB412" s="17">
        <f t="shared" si="271"/>
        <v>1.6083817876879358</v>
      </c>
      <c r="AC412" s="66" t="str">
        <f t="shared" si="272"/>
        <v>-0.0357264060618245+0.0341518713331925i</v>
      </c>
      <c r="AD412" s="64">
        <f t="shared" si="273"/>
        <v>-26.121251728828746</v>
      </c>
      <c r="AE412" s="61">
        <f t="shared" si="274"/>
        <v>136.29080073171937</v>
      </c>
      <c r="AF412" s="31" t="str">
        <f t="shared" si="260"/>
        <v>-1.33333333333333E-06</v>
      </c>
      <c r="AG412" s="31" t="str">
        <f t="shared" si="261"/>
        <v>0.547789805713194i</v>
      </c>
      <c r="AH412" s="31">
        <f t="shared" si="275"/>
        <v>0.54778980571319402</v>
      </c>
      <c r="AI412" s="31">
        <f t="shared" si="276"/>
        <v>1.5707963267948966</v>
      </c>
      <c r="AJ412" s="31" t="str">
        <f t="shared" si="262"/>
        <v>1+1.77129460999614i</v>
      </c>
      <c r="AK412" s="31">
        <f t="shared" si="277"/>
        <v>2.0340807740602087</v>
      </c>
      <c r="AL412" s="31">
        <f t="shared" si="278"/>
        <v>1.0568442701470921</v>
      </c>
      <c r="AM412" s="31" t="str">
        <f t="shared" si="263"/>
        <v>1+1773.06590460614i</v>
      </c>
      <c r="AN412" s="31">
        <f t="shared" si="279"/>
        <v>1773.0661866035318</v>
      </c>
      <c r="AO412" s="31">
        <f t="shared" si="280"/>
        <v>1.5702323320266411</v>
      </c>
      <c r="AP412" s="58" t="str">
        <f t="shared" si="281"/>
        <v>-0.00104202755160308+0.00184817180925558i</v>
      </c>
      <c r="AQ412" s="49">
        <f t="shared" si="282"/>
        <v>-53.46636913014423</v>
      </c>
      <c r="AR412" s="61">
        <f t="shared" si="283"/>
        <v>119.41496919809927</v>
      </c>
      <c r="AS412" s="58" t="str">
        <f t="shared" si="284"/>
        <v>-0.0000258906263951498-0.000101615727397472i</v>
      </c>
      <c r="AT412" s="64">
        <f t="shared" si="285"/>
        <v>-79.587620858972954</v>
      </c>
      <c r="AU412" s="61">
        <f t="shared" si="286"/>
        <v>-104.29423007018131</v>
      </c>
    </row>
    <row r="413" spans="14:47" x14ac:dyDescent="0.3">
      <c r="N413" s="10">
        <v>95</v>
      </c>
      <c r="O413" s="50">
        <f t="shared" si="254"/>
        <v>89125.093813374609</v>
      </c>
      <c r="P413" s="48" t="str">
        <f t="shared" si="255"/>
        <v>51201.9230769231</v>
      </c>
      <c r="Q413" s="17" t="str">
        <f t="shared" si="256"/>
        <v>1+26168.7391591645i</v>
      </c>
      <c r="R413" s="17">
        <f t="shared" si="264"/>
        <v>26168.739178271266</v>
      </c>
      <c r="S413" s="17">
        <f t="shared" si="265"/>
        <v>1.5707581132610526</v>
      </c>
      <c r="T413" s="17" t="str">
        <f t="shared" si="257"/>
        <v>1+0.0000016799684398476i</v>
      </c>
      <c r="U413" s="17">
        <f t="shared" si="266"/>
        <v>1.0000000000014111</v>
      </c>
      <c r="V413" s="17">
        <f t="shared" si="267"/>
        <v>1.6799684398460197E-6</v>
      </c>
      <c r="W413" s="31" t="str">
        <f t="shared" si="258"/>
        <v>1-0.907182957517701i</v>
      </c>
      <c r="X413" s="17">
        <f t="shared" si="268"/>
        <v>1.350178106181019</v>
      </c>
      <c r="Y413" s="17">
        <f t="shared" si="269"/>
        <v>-0.73676944245128151</v>
      </c>
      <c r="Z413" s="31" t="str">
        <f t="shared" si="259"/>
        <v>-2.17731293889714+55.3595748210998i</v>
      </c>
      <c r="AA413" s="17">
        <f t="shared" si="270"/>
        <v>55.402375544798034</v>
      </c>
      <c r="AB413" s="17">
        <f t="shared" si="271"/>
        <v>1.6101064426549734</v>
      </c>
      <c r="AC413" s="66" t="str">
        <f t="shared" si="272"/>
        <v>-0.034031233758713+0.0334001587435629i</v>
      </c>
      <c r="AD413" s="64">
        <f t="shared" si="273"/>
        <v>-26.432677024807777</v>
      </c>
      <c r="AE413" s="61">
        <f t="shared" si="274"/>
        <v>135.53620247169295</v>
      </c>
      <c r="AF413" s="31" t="str">
        <f t="shared" si="260"/>
        <v>-1.33333333333333E-06</v>
      </c>
      <c r="AG413" s="31" t="str">
        <f t="shared" si="261"/>
        <v>0.560549469429147i</v>
      </c>
      <c r="AH413" s="31">
        <f t="shared" si="275"/>
        <v>0.56054946942914696</v>
      </c>
      <c r="AI413" s="31">
        <f t="shared" si="276"/>
        <v>1.5707963267948966</v>
      </c>
      <c r="AJ413" s="31" t="str">
        <f t="shared" si="262"/>
        <v>1+1.81255336167373i</v>
      </c>
      <c r="AK413" s="31">
        <f t="shared" si="277"/>
        <v>2.0701086176610972</v>
      </c>
      <c r="AL413" s="31">
        <f t="shared" si="278"/>
        <v>1.0666428177133325</v>
      </c>
      <c r="AM413" s="31" t="str">
        <f t="shared" si="263"/>
        <v>1+1814.3659150354i</v>
      </c>
      <c r="AN413" s="31">
        <f t="shared" si="279"/>
        <v>1814.3661906137484</v>
      </c>
      <c r="AO413" s="31">
        <f t="shared" si="280"/>
        <v>1.5702451701123028</v>
      </c>
      <c r="AP413" s="58" t="str">
        <f t="shared" si="281"/>
        <v>-0.00100607260917215+0.00182593890833426i</v>
      </c>
      <c r="AQ413" s="49">
        <f t="shared" si="282"/>
        <v>-53.618867959804206</v>
      </c>
      <c r="AR413" s="61">
        <f t="shared" si="283"/>
        <v>118.85428934532084</v>
      </c>
      <c r="AS413" s="58" t="str">
        <f t="shared" si="284"/>
        <v>-0.0000267487572534365-0.0000957419386725528i</v>
      </c>
      <c r="AT413" s="64">
        <f t="shared" si="285"/>
        <v>-80.051544984611979</v>
      </c>
      <c r="AU413" s="61">
        <f t="shared" si="286"/>
        <v>-105.60950818298622</v>
      </c>
    </row>
    <row r="414" spans="14:47" x14ac:dyDescent="0.3">
      <c r="N414" s="10">
        <v>96</v>
      </c>
      <c r="O414" s="50">
        <f t="shared" si="254"/>
        <v>91201.083935591028</v>
      </c>
      <c r="P414" s="48" t="str">
        <f t="shared" si="255"/>
        <v>51201.9230769231</v>
      </c>
      <c r="Q414" s="17" t="str">
        <f t="shared" si="256"/>
        <v>1+26778.2873983959i</v>
      </c>
      <c r="R414" s="17">
        <f t="shared" si="264"/>
        <v>26778.287417067739</v>
      </c>
      <c r="S414" s="17">
        <f t="shared" si="265"/>
        <v>1.5707589831072792</v>
      </c>
      <c r="T414" s="17" t="str">
        <f t="shared" si="257"/>
        <v>1+1.71909993174888E-06i</v>
      </c>
      <c r="U414" s="17">
        <f t="shared" si="266"/>
        <v>1.0000000000014777</v>
      </c>
      <c r="V414" s="17">
        <f t="shared" si="267"/>
        <v>1.7190999317471867E-6</v>
      </c>
      <c r="W414" s="31" t="str">
        <f t="shared" si="258"/>
        <v>1-0.928313963144392i</v>
      </c>
      <c r="X414" s="17">
        <f t="shared" si="268"/>
        <v>1.3644657614498239</v>
      </c>
      <c r="Y414" s="17">
        <f t="shared" si="269"/>
        <v>-0.74823977436549349</v>
      </c>
      <c r="Z414" s="31" t="str">
        <f t="shared" si="259"/>
        <v>-2.3270550844107+56.6490649700735i</v>
      </c>
      <c r="AA414" s="17">
        <f t="shared" si="270"/>
        <v>56.69684071753462</v>
      </c>
      <c r="AB414" s="17">
        <f t="shared" si="271"/>
        <v>1.6118516820572082</v>
      </c>
      <c r="AC414" s="66" t="str">
        <f t="shared" si="272"/>
        <v>-0.0324123345151363+0.0326633916286001i</v>
      </c>
      <c r="AD414" s="64">
        <f t="shared" si="273"/>
        <v>-26.741854861447436</v>
      </c>
      <c r="AE414" s="61">
        <f t="shared" si="274"/>
        <v>134.77895841495811</v>
      </c>
      <c r="AF414" s="31" t="str">
        <f t="shared" si="260"/>
        <v>-1.33333333333333E-06</v>
      </c>
      <c r="AG414" s="31" t="str">
        <f t="shared" si="261"/>
        <v>0.573606343893541i</v>
      </c>
      <c r="AH414" s="31">
        <f t="shared" si="275"/>
        <v>0.57360634389354104</v>
      </c>
      <c r="AI414" s="31">
        <f t="shared" si="276"/>
        <v>1.5707963267948966</v>
      </c>
      <c r="AJ414" s="31" t="str">
        <f t="shared" si="262"/>
        <v>1+1.85477315313565i</v>
      </c>
      <c r="AK414" s="31">
        <f t="shared" si="277"/>
        <v>2.1071742807828593</v>
      </c>
      <c r="AL414" s="31">
        <f t="shared" si="278"/>
        <v>1.0763217906314209</v>
      </c>
      <c r="AM414" s="31" t="str">
        <f t="shared" si="263"/>
        <v>1+1856.62792628878i</v>
      </c>
      <c r="AN414" s="31">
        <f t="shared" si="279"/>
        <v>1856.6281955942</v>
      </c>
      <c r="AO414" s="31">
        <f t="shared" si="280"/>
        <v>1.5702577159676328</v>
      </c>
      <c r="AP414" s="58" t="str">
        <f t="shared" si="281"/>
        <v>-0.000970989823210334+0.00180329033058273i</v>
      </c>
      <c r="AQ414" s="49">
        <f t="shared" si="282"/>
        <v>-53.773014490349745</v>
      </c>
      <c r="AR414" s="61">
        <f t="shared" si="283"/>
        <v>118.30044387165373</v>
      </c>
      <c r="AS414" s="58" t="str">
        <f t="shared" si="284"/>
        <v>-0.0000274295313272051-0.0000901646702856625i</v>
      </c>
      <c r="AT414" s="64">
        <f t="shared" si="285"/>
        <v>-80.514869351797188</v>
      </c>
      <c r="AU414" s="61">
        <f t="shared" si="286"/>
        <v>-106.9205977133882</v>
      </c>
    </row>
    <row r="415" spans="14:47" x14ac:dyDescent="0.3">
      <c r="N415" s="10">
        <v>97</v>
      </c>
      <c r="O415" s="50">
        <f t="shared" si="254"/>
        <v>93325.430079699145</v>
      </c>
      <c r="P415" s="48" t="str">
        <f t="shared" si="255"/>
        <v>51201.9230769231</v>
      </c>
      <c r="Q415" s="17" t="str">
        <f t="shared" si="256"/>
        <v>1+27402.0338400586i</v>
      </c>
      <c r="R415" s="17">
        <f t="shared" si="264"/>
        <v>27402.033858305422</v>
      </c>
      <c r="S415" s="17">
        <f t="shared" si="265"/>
        <v>1.5707598331533883</v>
      </c>
      <c r="T415" s="17" t="str">
        <f t="shared" si="257"/>
        <v>1+1.75914291318895E-06i</v>
      </c>
      <c r="U415" s="17">
        <f t="shared" si="266"/>
        <v>1.0000000000015472</v>
      </c>
      <c r="V415" s="17">
        <f t="shared" si="267"/>
        <v>1.7591429131871354E-6</v>
      </c>
      <c r="W415" s="31" t="str">
        <f t="shared" si="258"/>
        <v>1-0.949937173122031i</v>
      </c>
      <c r="X415" s="17">
        <f t="shared" si="268"/>
        <v>1.3792681511870979</v>
      </c>
      <c r="Y415" s="17">
        <f t="shared" si="269"/>
        <v>-0.75972973051360371</v>
      </c>
      <c r="Z415" s="31" t="str">
        <f t="shared" si="259"/>
        <v>-2.48385435982434+57.9685912031334i</v>
      </c>
      <c r="AA415" s="17">
        <f t="shared" si="270"/>
        <v>58.021781242536967</v>
      </c>
      <c r="AB415" s="17">
        <f t="shared" si="271"/>
        <v>1.6136184116939618</v>
      </c>
      <c r="AC415" s="66" t="str">
        <f t="shared" si="272"/>
        <v>-0.0308662810164013+0.0319413639133169i</v>
      </c>
      <c r="AD415" s="64">
        <f t="shared" si="273"/>
        <v>-27.04877750251665</v>
      </c>
      <c r="AE415" s="61">
        <f t="shared" si="274"/>
        <v>134.01935985939377</v>
      </c>
      <c r="AF415" s="31" t="str">
        <f t="shared" si="260"/>
        <v>-1.33333333333333E-06</v>
      </c>
      <c r="AG415" s="31" t="str">
        <f t="shared" si="261"/>
        <v>0.586967352034045i</v>
      </c>
      <c r="AH415" s="31">
        <f t="shared" si="275"/>
        <v>0.58696735203404504</v>
      </c>
      <c r="AI415" s="31">
        <f t="shared" si="276"/>
        <v>1.5707963267948966</v>
      </c>
      <c r="AJ415" s="31" t="str">
        <f t="shared" si="262"/>
        <v>1+1.89797636987418i</v>
      </c>
      <c r="AK415" s="31">
        <f t="shared" si="277"/>
        <v>2.1453005152194344</v>
      </c>
      <c r="AL415" s="31">
        <f t="shared" si="278"/>
        <v>1.0858790660483502</v>
      </c>
      <c r="AM415" s="31" t="str">
        <f t="shared" si="263"/>
        <v>1+1899.87434624406i</v>
      </c>
      <c r="AN415" s="31">
        <f t="shared" si="279"/>
        <v>1899.8746094193411</v>
      </c>
      <c r="AO415" s="31">
        <f t="shared" si="280"/>
        <v>1.5702699762445937</v>
      </c>
      <c r="AP415" s="58" t="str">
        <f t="shared" si="281"/>
        <v>-0.000936783683413092+0.00178026485782602i</v>
      </c>
      <c r="AQ415" s="49">
        <f t="shared" si="282"/>
        <v>-53.928768151327986</v>
      </c>
      <c r="AR415" s="61">
        <f t="shared" si="283"/>
        <v>117.75355478874511</v>
      </c>
      <c r="AS415" s="58" t="str">
        <f t="shared" si="284"/>
        <v>-0.0000279490592621023-0.0000848723039252367i</v>
      </c>
      <c r="AT415" s="64">
        <f t="shared" si="285"/>
        <v>-80.977545653844643</v>
      </c>
      <c r="AU415" s="61">
        <f t="shared" si="286"/>
        <v>-108.22708535186109</v>
      </c>
    </row>
    <row r="416" spans="14:47" x14ac:dyDescent="0.3">
      <c r="N416" s="10">
        <v>98</v>
      </c>
      <c r="O416" s="50">
        <f t="shared" si="254"/>
        <v>95499.258602143804</v>
      </c>
      <c r="P416" s="48" t="str">
        <f t="shared" si="255"/>
        <v>51201.9230769231</v>
      </c>
      <c r="Q416" s="17" t="str">
        <f t="shared" si="256"/>
        <v>1+28040.309202772i</v>
      </c>
      <c r="R416" s="17">
        <f t="shared" si="264"/>
        <v>28040.309220603474</v>
      </c>
      <c r="S416" s="17">
        <f t="shared" si="265"/>
        <v>1.5707606638500857</v>
      </c>
      <c r="T416" s="17" t="str">
        <f t="shared" si="257"/>
        <v>1+0.0000018001186154866i</v>
      </c>
      <c r="U416" s="17">
        <f t="shared" si="266"/>
        <v>1.0000000000016203</v>
      </c>
      <c r="V416" s="17">
        <f t="shared" si="267"/>
        <v>1.8001186154846555E-6</v>
      </c>
      <c r="W416" s="31" t="str">
        <f t="shared" si="258"/>
        <v>1-0.972064052362765i</v>
      </c>
      <c r="X416" s="17">
        <f t="shared" si="268"/>
        <v>1.3945997712232425</v>
      </c>
      <c r="Y416" s="17">
        <f t="shared" si="269"/>
        <v>-0.77123326891384725</v>
      </c>
      <c r="Z416" s="31" t="str">
        <f t="shared" si="259"/>
        <v>-2.64804335742366+59.3188531505542i</v>
      </c>
      <c r="AA416" s="17">
        <f t="shared" si="270"/>
        <v>59.377929171703265</v>
      </c>
      <c r="AB416" s="17">
        <f t="shared" si="271"/>
        <v>1.6154075474475571</v>
      </c>
      <c r="AC416" s="66" t="str">
        <f t="shared" si="272"/>
        <v>-0.0293897998817295+0.0312338650462395i</v>
      </c>
      <c r="AD416" s="64">
        <f t="shared" si="273"/>
        <v>-27.353439669913143</v>
      </c>
      <c r="AE416" s="61">
        <f t="shared" si="274"/>
        <v>133.25770048425605</v>
      </c>
      <c r="AF416" s="31" t="str">
        <f t="shared" si="260"/>
        <v>-1.33333333333333E-06</v>
      </c>
      <c r="AG416" s="31" t="str">
        <f t="shared" si="261"/>
        <v>0.600639578034029i</v>
      </c>
      <c r="AH416" s="31">
        <f t="shared" si="275"/>
        <v>0.60063957803402901</v>
      </c>
      <c r="AI416" s="31">
        <f t="shared" si="276"/>
        <v>1.5707963267948966</v>
      </c>
      <c r="AJ416" s="31" t="str">
        <f t="shared" si="262"/>
        <v>1+1.94218591880672i</v>
      </c>
      <c r="AK416" s="31">
        <f t="shared" si="277"/>
        <v>2.184510504257442</v>
      </c>
      <c r="AL416" s="31">
        <f t="shared" si="278"/>
        <v>1.0953127267287084</v>
      </c>
      <c r="AM416" s="31" t="str">
        <f t="shared" si="263"/>
        <v>1+1944.12810472553i</v>
      </c>
      <c r="AN416" s="31">
        <f t="shared" si="279"/>
        <v>1944.1283619102112</v>
      </c>
      <c r="AO416" s="31">
        <f t="shared" si="280"/>
        <v>1.5702819574437323</v>
      </c>
      <c r="AP416" s="58" t="str">
        <f t="shared" si="281"/>
        <v>-0.000903456646287714+0.0017569006326094i</v>
      </c>
      <c r="AQ416" s="49">
        <f t="shared" si="282"/>
        <v>-54.086088211516163</v>
      </c>
      <c r="AR416" s="61">
        <f t="shared" si="283"/>
        <v>117.21373231854638</v>
      </c>
      <c r="AS416" s="58" t="str">
        <f t="shared" si="284"/>
        <v>-0.0000283223872223604-0.0000798534009697528i</v>
      </c>
      <c r="AT416" s="64">
        <f t="shared" si="285"/>
        <v>-81.439527881429314</v>
      </c>
      <c r="AU416" s="61">
        <f t="shared" si="286"/>
        <v>-109.52856719719755</v>
      </c>
    </row>
    <row r="417" spans="14:47" x14ac:dyDescent="0.3">
      <c r="N417" s="10">
        <v>99</v>
      </c>
      <c r="O417" s="50">
        <f t="shared" si="254"/>
        <v>97723.722095581266</v>
      </c>
      <c r="P417" s="48" t="str">
        <f t="shared" si="255"/>
        <v>51201.9230769231</v>
      </c>
      <c r="Q417" s="17" t="str">
        <f t="shared" si="256"/>
        <v>1+28693.4519085822i</v>
      </c>
      <c r="R417" s="17">
        <f t="shared" si="264"/>
        <v>28693.451926007776</v>
      </c>
      <c r="S417" s="17">
        <f t="shared" si="265"/>
        <v>1.5707614756378179</v>
      </c>
      <c r="T417" s="17" t="str">
        <f t="shared" si="257"/>
        <v>1+1.84204876450157E-06i</v>
      </c>
      <c r="U417" s="17">
        <f t="shared" si="266"/>
        <v>1.0000000000016964</v>
      </c>
      <c r="V417" s="17">
        <f t="shared" si="267"/>
        <v>1.8420487644994864E-6</v>
      </c>
      <c r="W417" s="31" t="str">
        <f t="shared" si="258"/>
        <v>1-0.994706332830848i</v>
      </c>
      <c r="X417" s="17">
        <f t="shared" si="268"/>
        <v>1.4104753413561661</v>
      </c>
      <c r="Y417" s="17">
        <f t="shared" si="269"/>
        <v>-0.78274431172295478</v>
      </c>
      <c r="Z417" s="31" t="str">
        <f t="shared" si="259"/>
        <v>-2.81997034408576+60.7005667390932i</v>
      </c>
      <c r="AA417" s="17">
        <f t="shared" si="270"/>
        <v>60.766035210375797</v>
      </c>
      <c r="AB417" s="17">
        <f t="shared" si="271"/>
        <v>1.6172200156711749</v>
      </c>
      <c r="AC417" s="66" t="str">
        <f t="shared" si="272"/>
        <v>-0.0279797647718853+0.0305406807079011i</v>
      </c>
      <c r="AD417" s="64">
        <f t="shared" si="273"/>
        <v>-27.655838574307182</v>
      </c>
      <c r="AE417" s="61">
        <f t="shared" si="274"/>
        <v>132.49427542419468</v>
      </c>
      <c r="AF417" s="31" t="str">
        <f t="shared" si="260"/>
        <v>-1.33333333333333E-06</v>
      </c>
      <c r="AG417" s="31" t="str">
        <f t="shared" si="261"/>
        <v>0.614630271088691i</v>
      </c>
      <c r="AH417" s="31">
        <f t="shared" si="275"/>
        <v>0.61463027108869095</v>
      </c>
      <c r="AI417" s="31">
        <f t="shared" si="276"/>
        <v>1.5707963267948966</v>
      </c>
      <c r="AJ417" s="31" t="str">
        <f t="shared" si="262"/>
        <v>1+1.98742524042127i</v>
      </c>
      <c r="AK417" s="31">
        <f t="shared" si="277"/>
        <v>2.2248278778960726</v>
      </c>
      <c r="AL417" s="31">
        <f t="shared" si="278"/>
        <v>1.1046210573454371</v>
      </c>
      <c r="AM417" s="31" t="str">
        <f t="shared" si="263"/>
        <v>1+1989.4126656617i</v>
      </c>
      <c r="AN417" s="31">
        <f t="shared" si="279"/>
        <v>1989.4129169921441</v>
      </c>
      <c r="AO417" s="31">
        <f t="shared" si="280"/>
        <v>1.5702936659176248</v>
      </c>
      <c r="AP417" s="58" t="str">
        <f t="shared" si="281"/>
        <v>-0.000871009228263924+0.00173323505073842i</v>
      </c>
      <c r="AQ417" s="49">
        <f t="shared" si="282"/>
        <v>-54.244933871100287</v>
      </c>
      <c r="AR417" s="61">
        <f t="shared" si="283"/>
        <v>116.68107510603409</v>
      </c>
      <c r="AS417" s="58" t="str">
        <f t="shared" si="284"/>
        <v>-0.0000285635449553789-0.0000750967237480915i</v>
      </c>
      <c r="AT417" s="64">
        <f t="shared" si="285"/>
        <v>-81.900772445407469</v>
      </c>
      <c r="AU417" s="61">
        <f t="shared" si="286"/>
        <v>-110.82464946977122</v>
      </c>
    </row>
    <row r="418" spans="14:47" x14ac:dyDescent="0.3">
      <c r="N418" s="10">
        <v>100</v>
      </c>
      <c r="O418" s="50">
        <f t="shared" si="254"/>
        <v>100000</v>
      </c>
      <c r="P418" s="48" t="str">
        <f t="shared" si="255"/>
        <v>51201.9230769231</v>
      </c>
      <c r="Q418" s="17" t="str">
        <f t="shared" si="256"/>
        <v>1+29361.8082623969i</v>
      </c>
      <c r="R418" s="17">
        <f t="shared" si="264"/>
        <v>29361.808279425823</v>
      </c>
      <c r="S418" s="17">
        <f t="shared" si="265"/>
        <v>1.5707622689470053</v>
      </c>
      <c r="T418" s="17" t="str">
        <f t="shared" si="257"/>
        <v>1+1.88495559215388E-06i</v>
      </c>
      <c r="U418" s="17">
        <f t="shared" si="266"/>
        <v>1.0000000000017766</v>
      </c>
      <c r="V418" s="17">
        <f t="shared" si="267"/>
        <v>1.8849555921516477E-6</v>
      </c>
      <c r="W418" s="31" t="str">
        <f t="shared" si="258"/>
        <v>1-1.01787601976309i</v>
      </c>
      <c r="X418" s="17">
        <f t="shared" si="268"/>
        <v>1.4269098050012659</v>
      </c>
      <c r="Y418" s="17">
        <f t="shared" si="269"/>
        <v>-0.79425676124000266</v>
      </c>
      <c r="Z418" s="31" t="str">
        <f t="shared" si="259"/>
        <v>-3.00000000000001+62.1144645715843i</v>
      </c>
      <c r="AA418" s="17">
        <f t="shared" si="270"/>
        <v>62.186869265260505</v>
      </c>
      <c r="AB418" s="17">
        <f t="shared" si="271"/>
        <v>1.6190567535757565</v>
      </c>
      <c r="AC418" s="66" t="str">
        <f t="shared" si="272"/>
        <v>-0.0266331898042054+0.0298615934628229i</v>
      </c>
      <c r="AD418" s="64">
        <f t="shared" si="273"/>
        <v>-27.955973935826712</v>
      </c>
      <c r="AE418" s="61">
        <f t="shared" si="274"/>
        <v>131.729380330118</v>
      </c>
      <c r="AF418" s="31" t="str">
        <f t="shared" si="260"/>
        <v>-1.33333333333333E-06</v>
      </c>
      <c r="AG418" s="31" t="str">
        <f t="shared" si="261"/>
        <v>0.628946849248677i</v>
      </c>
      <c r="AH418" s="31">
        <f t="shared" si="275"/>
        <v>0.62894684924867705</v>
      </c>
      <c r="AI418" s="31">
        <f t="shared" si="276"/>
        <v>1.5707963267948966</v>
      </c>
      <c r="AJ418" s="31" t="str">
        <f t="shared" si="262"/>
        <v>1+2.03371832120498i</v>
      </c>
      <c r="AK418" s="31">
        <f t="shared" si="277"/>
        <v>2.2662767284700256</v>
      </c>
      <c r="AL418" s="31">
        <f t="shared" si="278"/>
        <v>1.1138025402244709</v>
      </c>
      <c r="AM418" s="31" t="str">
        <f t="shared" si="263"/>
        <v>1+2035.75203952619i</v>
      </c>
      <c r="AN418" s="31">
        <f t="shared" si="279"/>
        <v>2035.7522851356555</v>
      </c>
      <c r="AO418" s="31">
        <f t="shared" si="280"/>
        <v>1.5703051078742463</v>
      </c>
      <c r="AP418" s="58" t="str">
        <f t="shared" si="281"/>
        <v>-0.000839440103593085+0.0017093046641934i</v>
      </c>
      <c r="AQ418" s="49">
        <f t="shared" si="282"/>
        <v>-54.405264349419298</v>
      </c>
      <c r="AR418" s="61">
        <f t="shared" si="283"/>
        <v>116.15567046321739</v>
      </c>
      <c r="AS418" s="58" t="str">
        <f t="shared" si="284"/>
        <v>-0.0000286855933779938-0.000070591254664563i</v>
      </c>
      <c r="AT418" s="64">
        <f t="shared" si="285"/>
        <v>-82.361238285246031</v>
      </c>
      <c r="AU418" s="61">
        <f t="shared" si="286"/>
        <v>-112.11494920666459</v>
      </c>
    </row>
    <row r="419" spans="14:47" x14ac:dyDescent="0.3">
      <c r="N419" s="10">
        <v>1</v>
      </c>
      <c r="O419" s="50">
        <f>10^(5+(N419/100))</f>
        <v>102329.29922807543</v>
      </c>
      <c r="P419" s="48" t="str">
        <f t="shared" si="255"/>
        <v>51201.9230769231</v>
      </c>
      <c r="Q419" s="17" t="str">
        <f t="shared" si="256"/>
        <v>1+30045.7326356019i</v>
      </c>
      <c r="R419" s="17">
        <f t="shared" si="264"/>
        <v>30045.732652243198</v>
      </c>
      <c r="S419" s="17">
        <f t="shared" si="265"/>
        <v>1.570763044198271</v>
      </c>
      <c r="T419" s="17" t="str">
        <f t="shared" si="257"/>
        <v>1+1.92886184821148E-06i</v>
      </c>
      <c r="U419" s="17">
        <f t="shared" si="266"/>
        <v>1.0000000000018603</v>
      </c>
      <c r="V419" s="17">
        <f t="shared" si="267"/>
        <v>1.9288618482090879E-6</v>
      </c>
      <c r="W419" s="31" t="str">
        <f t="shared" si="258"/>
        <v>1-1.0415853980342i</v>
      </c>
      <c r="X419" s="17">
        <f t="shared" si="268"/>
        <v>1.4439183291994264</v>
      </c>
      <c r="Y419" s="17">
        <f t="shared" si="269"/>
        <v>-0.8057645160382807</v>
      </c>
      <c r="Z419" s="31" t="str">
        <f t="shared" si="259"/>
        <v>-3.18851419220361+63.5612963153733i</v>
      </c>
      <c r="AA419" s="17">
        <f t="shared" si="270"/>
        <v>63.641221013149732</v>
      </c>
      <c r="AB419" s="17">
        <f t="shared" si="271"/>
        <v>1.6209187096156856</v>
      </c>
      <c r="AC419" s="66" t="str">
        <f t="shared" si="272"/>
        <v>-0.0253472232614514+0.0291963833589469i</v>
      </c>
      <c r="AD419" s="64">
        <f t="shared" si="273"/>
        <v>-28.253847994631073</v>
      </c>
      <c r="AE419" s="61">
        <f t="shared" si="274"/>
        <v>130.96331042279601</v>
      </c>
      <c r="AF419" s="31" t="str">
        <f t="shared" si="260"/>
        <v>-1.33333333333333E-06</v>
      </c>
      <c r="AG419" s="31" t="str">
        <f t="shared" si="261"/>
        <v>0.643596903353231i</v>
      </c>
      <c r="AH419" s="31">
        <f t="shared" si="275"/>
        <v>0.64359690335323105</v>
      </c>
      <c r="AI419" s="31">
        <f t="shared" si="276"/>
        <v>1.5707963267948966</v>
      </c>
      <c r="AJ419" s="31" t="str">
        <f t="shared" si="262"/>
        <v>1+2.08108970636203i</v>
      </c>
      <c r="AK419" s="31">
        <f t="shared" si="277"/>
        <v>2.3088816266595398</v>
      </c>
      <c r="AL419" s="31">
        <f t="shared" si="278"/>
        <v>1.1228558505986281</v>
      </c>
      <c r="AM419" s="31" t="str">
        <f t="shared" si="263"/>
        <v>1+2083.1707960684i</v>
      </c>
      <c r="AN419" s="31">
        <f t="shared" si="279"/>
        <v>2083.1710360871116</v>
      </c>
      <c r="AO419" s="31">
        <f t="shared" si="280"/>
        <v>1.5703162893802616</v>
      </c>
      <c r="AP419" s="58" t="str">
        <f t="shared" si="281"/>
        <v>-0.000808746205974466+0.00168514509441322i</v>
      </c>
      <c r="AQ419" s="49">
        <f t="shared" si="282"/>
        <v>-54.567038968077497</v>
      </c>
      <c r="AR419" s="61">
        <f t="shared" si="283"/>
        <v>115.63759464125955</v>
      </c>
      <c r="AS419" s="58" t="str">
        <f t="shared" si="284"/>
        <v>-0.0000287006715472506-0.0000663262132057558i</v>
      </c>
      <c r="AT419" s="64">
        <f t="shared" si="285"/>
        <v>-82.820886962708585</v>
      </c>
      <c r="AU419" s="61">
        <f t="shared" si="286"/>
        <v>-113.39909493594446</v>
      </c>
    </row>
    <row r="420" spans="14:47" x14ac:dyDescent="0.3">
      <c r="N420" s="10">
        <v>2</v>
      </c>
      <c r="O420" s="50">
        <f t="shared" ref="O420:O483" si="287">10^(5+(N420/100))</f>
        <v>104712.85480508996</v>
      </c>
      <c r="P420" s="48" t="str">
        <f t="shared" si="255"/>
        <v>51201.9230769231</v>
      </c>
      <c r="Q420" s="17" t="str">
        <f t="shared" si="256"/>
        <v>1+30745.5876539526i</v>
      </c>
      <c r="R420" s="17">
        <f t="shared" si="264"/>
        <v>30745.587670215096</v>
      </c>
      <c r="S420" s="17">
        <f t="shared" si="265"/>
        <v>1.5707638018026635</v>
      </c>
      <c r="T420" s="17" t="str">
        <f t="shared" si="257"/>
        <v>1+1.97379081235251E-06i</v>
      </c>
      <c r="U420" s="17">
        <f t="shared" si="266"/>
        <v>1.0000000000019478</v>
      </c>
      <c r="V420" s="17">
        <f t="shared" si="267"/>
        <v>1.9737908123499468E-6</v>
      </c>
      <c r="W420" s="31" t="str">
        <f t="shared" si="258"/>
        <v>1-1.06584703867036i</v>
      </c>
      <c r="X420" s="17">
        <f t="shared" si="268"/>
        <v>1.4615163050210476</v>
      </c>
      <c r="Y420" s="17">
        <f t="shared" si="269"/>
        <v>-0.81726148712119417</v>
      </c>
      <c r="Z420" s="31" t="str">
        <f t="shared" si="259"/>
        <v>-3.38591278457276+65.0418290998021i</v>
      </c>
      <c r="AA420" s="17">
        <f t="shared" si="270"/>
        <v>65.129900491499271</v>
      </c>
      <c r="AB420" s="17">
        <f t="shared" si="271"/>
        <v>1.6228068438729513</v>
      </c>
      <c r="AC420" s="66" t="str">
        <f t="shared" si="272"/>
        <v>-0.0241191415815033+0.0285448284782353i</v>
      </c>
      <c r="AD420" s="64">
        <f t="shared" si="273"/>
        <v>-28.549465511308675</v>
      </c>
      <c r="AE420" s="61">
        <f t="shared" si="274"/>
        <v>130.19635954517142</v>
      </c>
      <c r="AF420" s="31" t="str">
        <f t="shared" si="260"/>
        <v>-1.33333333333333E-06</v>
      </c>
      <c r="AG420" s="31" t="str">
        <f t="shared" si="261"/>
        <v>0.658588201054955i</v>
      </c>
      <c r="AH420" s="31">
        <f t="shared" si="275"/>
        <v>0.65858820105495497</v>
      </c>
      <c r="AI420" s="31">
        <f t="shared" si="276"/>
        <v>1.5707963267948966</v>
      </c>
      <c r="AJ420" s="31" t="str">
        <f t="shared" si="262"/>
        <v>1+2.12956451282788i</v>
      </c>
      <c r="AK420" s="31">
        <f t="shared" si="277"/>
        <v>2.3526676378731963</v>
      </c>
      <c r="AL420" s="31">
        <f t="shared" si="278"/>
        <v>1.1317798514259489</v>
      </c>
      <c r="AM420" s="31" t="str">
        <f t="shared" si="263"/>
        <v>1+2131.69407734071i</v>
      </c>
      <c r="AN420" s="31">
        <f t="shared" si="279"/>
        <v>2131.6943118959298</v>
      </c>
      <c r="AO420" s="31">
        <f t="shared" si="280"/>
        <v>1.5703272163642421</v>
      </c>
      <c r="AP420" s="58" t="str">
        <f t="shared" si="281"/>
        <v>-0.000778922832895889+0.00166079095584285i</v>
      </c>
      <c r="AQ420" s="49">
        <f t="shared" si="282"/>
        <v>-54.730217229274949</v>
      </c>
      <c r="AR420" s="61">
        <f t="shared" si="283"/>
        <v>115.12691312754777</v>
      </c>
      <c r="AS420" s="58" t="str">
        <f t="shared" si="284"/>
        <v>-0.000028620042885057-0.0000622910708640482i</v>
      </c>
      <c r="AT420" s="64">
        <f t="shared" si="285"/>
        <v>-83.279682740583624</v>
      </c>
      <c r="AU420" s="61">
        <f t="shared" si="286"/>
        <v>-114.6767273272808</v>
      </c>
    </row>
    <row r="421" spans="14:47" x14ac:dyDescent="0.3">
      <c r="N421" s="10">
        <v>3</v>
      </c>
      <c r="O421" s="50">
        <f t="shared" si="287"/>
        <v>107151.93052376082</v>
      </c>
      <c r="P421" s="48" t="str">
        <f t="shared" si="255"/>
        <v>51201.9230769231</v>
      </c>
      <c r="Q421" s="17" t="str">
        <f t="shared" si="256"/>
        <v>1+31461.7443898434i</v>
      </c>
      <c r="R421" s="17">
        <f t="shared" si="264"/>
        <v>31461.744405735717</v>
      </c>
      <c r="S421" s="17">
        <f t="shared" si="265"/>
        <v>1.5707645421618746</v>
      </c>
      <c r="T421" s="17" t="str">
        <f t="shared" si="257"/>
        <v>1+2.01976630650847E-06i</v>
      </c>
      <c r="U421" s="17">
        <f t="shared" si="266"/>
        <v>1.0000000000020397</v>
      </c>
      <c r="V421" s="17">
        <f t="shared" si="267"/>
        <v>2.0197663065057236E-6</v>
      </c>
      <c r="W421" s="31" t="str">
        <f t="shared" si="258"/>
        <v>1-1.09067380551457i</v>
      </c>
      <c r="X421" s="17">
        <f t="shared" si="268"/>
        <v>1.4797193484021331</v>
      </c>
      <c r="Y421" s="17">
        <f t="shared" si="269"/>
        <v>-0.82874161399798829</v>
      </c>
      <c r="Z421" s="31" t="str">
        <f t="shared" si="259"/>
        <v>-3.59261448598756+66.55684792295i</v>
      </c>
      <c r="AA421" s="17">
        <f t="shared" si="270"/>
        <v>66.653738711970405</v>
      </c>
      <c r="AB421" s="17">
        <f t="shared" si="271"/>
        <v>1.6247221284394662</v>
      </c>
      <c r="AC421" s="66" t="str">
        <f t="shared" si="272"/>
        <v>-0.0229463436154662+0.0279067054418847i</v>
      </c>
      <c r="AD421" s="64">
        <f t="shared" si="273"/>
        <v>-28.842833757130983</v>
      </c>
      <c r="AE421" s="61">
        <f t="shared" si="274"/>
        <v>129.42881921937226</v>
      </c>
      <c r="AF421" s="31" t="str">
        <f t="shared" si="260"/>
        <v>-1.33333333333333E-06</v>
      </c>
      <c r="AG421" s="31" t="str">
        <f t="shared" si="261"/>
        <v>0.673928690938325i</v>
      </c>
      <c r="AH421" s="31">
        <f t="shared" si="275"/>
        <v>0.67392869093832497</v>
      </c>
      <c r="AI421" s="31">
        <f t="shared" si="276"/>
        <v>1.5707963267948966</v>
      </c>
      <c r="AJ421" s="31" t="str">
        <f t="shared" si="262"/>
        <v>1+2.17916844258655i</v>
      </c>
      <c r="AK421" s="31">
        <f t="shared" si="277"/>
        <v>2.3976603389898847</v>
      </c>
      <c r="AL421" s="31">
        <f t="shared" si="278"/>
        <v>1.1405735878267667</v>
      </c>
      <c r="AM421" s="31" t="str">
        <f t="shared" si="263"/>
        <v>1+2181.34761102914i</v>
      </c>
      <c r="AN421" s="31">
        <f t="shared" si="279"/>
        <v>2181.3478402452315</v>
      </c>
      <c r="AO421" s="31">
        <f t="shared" si="280"/>
        <v>1.5703378946198088</v>
      </c>
      <c r="AP421" s="58" t="str">
        <f t="shared" si="281"/>
        <v>-0.000749963751733441+0.00163627578954776i</v>
      </c>
      <c r="AQ421" s="49">
        <f t="shared" si="282"/>
        <v>-54.894758889254717</v>
      </c>
      <c r="AR421" s="61">
        <f t="shared" si="283"/>
        <v>114.62368096460676</v>
      </c>
      <c r="AS421" s="58" t="str">
        <f t="shared" si="284"/>
        <v>-0.0000284541405341769-0.000058475564028347i</v>
      </c>
      <c r="AT421" s="64">
        <f t="shared" si="285"/>
        <v>-83.737592646385707</v>
      </c>
      <c r="AU421" s="61">
        <f t="shared" si="286"/>
        <v>-115.94749981602097</v>
      </c>
    </row>
    <row r="422" spans="14:47" x14ac:dyDescent="0.3">
      <c r="N422" s="10">
        <v>4</v>
      </c>
      <c r="O422" s="50">
        <f t="shared" si="287"/>
        <v>109647.81961431868</v>
      </c>
      <c r="P422" s="48" t="str">
        <f t="shared" si="255"/>
        <v>51201.9230769231</v>
      </c>
      <c r="Q422" s="17" t="str">
        <f t="shared" si="256"/>
        <v>1+32194.5825590551i</v>
      </c>
      <c r="R422" s="17">
        <f t="shared" si="264"/>
        <v>32194.582574585664</v>
      </c>
      <c r="S422" s="17">
        <f t="shared" si="265"/>
        <v>1.5707652656684525</v>
      </c>
      <c r="T422" s="17" t="str">
        <f t="shared" si="257"/>
        <v>1+0.0000020668127074949i</v>
      </c>
      <c r="U422" s="17">
        <f t="shared" si="266"/>
        <v>1.0000000000021358</v>
      </c>
      <c r="V422" s="17">
        <f t="shared" si="267"/>
        <v>2.066812707491957E-6</v>
      </c>
      <c r="W422" s="31" t="str">
        <f t="shared" si="258"/>
        <v>1-1.11607886204724i</v>
      </c>
      <c r="X422" s="17">
        <f t="shared" si="268"/>
        <v>1.498543301445995</v>
      </c>
      <c r="Y422" s="17">
        <f t="shared" si="269"/>
        <v>-0.84019888057597003</v>
      </c>
      <c r="Z422" s="31" t="str">
        <f t="shared" si="259"/>
        <v>-3.80905773846968+68.1071560678506i</v>
      </c>
      <c r="AA422" s="17">
        <f t="shared" si="270"/>
        <v>68.213588298121039</v>
      </c>
      <c r="AB422" s="17">
        <f t="shared" si="271"/>
        <v>1.6266655477971725</v>
      </c>
      <c r="AC422" s="66" t="str">
        <f t="shared" si="272"/>
        <v>-0.0218263451423139+0.0272817898733843i</v>
      </c>
      <c r="AD422" s="64">
        <f t="shared" si="273"/>
        <v>-29.133962494283864</v>
      </c>
      <c r="AE422" s="61">
        <f t="shared" si="274"/>
        <v>128.66097771436392</v>
      </c>
      <c r="AF422" s="31" t="str">
        <f t="shared" si="260"/>
        <v>-1.33333333333333E-06</v>
      </c>
      <c r="AG422" s="31" t="str">
        <f t="shared" si="261"/>
        <v>0.68962650673413i</v>
      </c>
      <c r="AH422" s="31">
        <f t="shared" si="275"/>
        <v>0.68962650673412995</v>
      </c>
      <c r="AI422" s="31">
        <f t="shared" si="276"/>
        <v>1.5707963267948966</v>
      </c>
      <c r="AJ422" s="31" t="str">
        <f t="shared" si="262"/>
        <v>1+2.22992779629819i</v>
      </c>
      <c r="AK422" s="31">
        <f t="shared" si="277"/>
        <v>2.4438858354479862</v>
      </c>
      <c r="AL422" s="31">
        <f t="shared" si="278"/>
        <v>1.1492362811926027</v>
      </c>
      <c r="AM422" s="31" t="str">
        <f t="shared" si="263"/>
        <v>1+2232.15772409449i</v>
      </c>
      <c r="AN422" s="31">
        <f t="shared" si="279"/>
        <v>2232.1579480929868</v>
      </c>
      <c r="AO422" s="31">
        <f t="shared" si="280"/>
        <v>1.5703483298087046</v>
      </c>
      <c r="AP422" s="58" t="str">
        <f t="shared" si="281"/>
        <v>-0.000721861306718563+0.00161163200661998i</v>
      </c>
      <c r="AQ422" s="49">
        <f t="shared" si="282"/>
        <v>-55.06062402680341</v>
      </c>
      <c r="AR422" s="61">
        <f t="shared" si="283"/>
        <v>114.12794308781066</v>
      </c>
      <c r="AS422" s="58" t="str">
        <f t="shared" si="284"/>
        <v>-0.0000282126117325059-0.0000548697049065101i</v>
      </c>
      <c r="AT422" s="64">
        <f t="shared" si="285"/>
        <v>-84.194586521087274</v>
      </c>
      <c r="AU422" s="61">
        <f t="shared" si="286"/>
        <v>-117.21107919782537</v>
      </c>
    </row>
    <row r="423" spans="14:47" x14ac:dyDescent="0.3">
      <c r="N423" s="10">
        <v>5</v>
      </c>
      <c r="O423" s="50">
        <f t="shared" si="287"/>
        <v>112201.84543019651</v>
      </c>
      <c r="P423" s="48" t="str">
        <f t="shared" si="255"/>
        <v>51201.9230769231</v>
      </c>
      <c r="Q423" s="17" t="str">
        <f t="shared" si="256"/>
        <v>1+32944.4907220853i</v>
      </c>
      <c r="R423" s="17">
        <f t="shared" si="264"/>
        <v>32944.490737262342</v>
      </c>
      <c r="S423" s="17">
        <f t="shared" si="265"/>
        <v>1.5707659727060104</v>
      </c>
      <c r="T423" s="17" t="str">
        <f t="shared" si="257"/>
        <v>1+2.11495495993634E-06i</v>
      </c>
      <c r="U423" s="17">
        <f t="shared" si="266"/>
        <v>1.0000000000022364</v>
      </c>
      <c r="V423" s="17">
        <f t="shared" si="267"/>
        <v>2.1149549599331866E-6</v>
      </c>
      <c r="W423" s="31" t="str">
        <f t="shared" si="258"/>
        <v>1-1.14207567836562i</v>
      </c>
      <c r="X423" s="17">
        <f t="shared" si="268"/>
        <v>1.5180042342214635</v>
      </c>
      <c r="Y423" s="17">
        <f t="shared" si="269"/>
        <v>-0.85162733076811814</v>
      </c>
      <c r="Z423" s="31" t="str">
        <f t="shared" si="259"/>
        <v>-4.0357016471767+69.6935755284031i</v>
      </c>
      <c r="AA423" s="17">
        <f t="shared" si="270"/>
        <v>69.810324148497202</v>
      </c>
      <c r="AB423" s="17">
        <f t="shared" si="271"/>
        <v>1.6286380991955336</v>
      </c>
      <c r="AC423" s="66" t="str">
        <f t="shared" si="272"/>
        <v>-0.0207567736287013+0.0266698568224152i</v>
      </c>
      <c r="AD423" s="64">
        <f t="shared" si="273"/>
        <v>-29.422863946291983</v>
      </c>
      <c r="AE423" s="61">
        <f t="shared" si="274"/>
        <v>127.89311913005952</v>
      </c>
      <c r="AF423" s="31" t="str">
        <f t="shared" si="260"/>
        <v>-1.33333333333333E-06</v>
      </c>
      <c r="AG423" s="31" t="str">
        <f t="shared" si="261"/>
        <v>0.705689971632091i</v>
      </c>
      <c r="AH423" s="31">
        <f t="shared" si="275"/>
        <v>0.70568997163209102</v>
      </c>
      <c r="AI423" s="31">
        <f t="shared" si="276"/>
        <v>1.5707963267948966</v>
      </c>
      <c r="AJ423" s="31" t="str">
        <f t="shared" si="262"/>
        <v>1+2.281869487244i</v>
      </c>
      <c r="AK423" s="31">
        <f t="shared" si="277"/>
        <v>2.4913707786708899</v>
      </c>
      <c r="AL423" s="31">
        <f t="shared" si="278"/>
        <v>1.1577673230182595</v>
      </c>
      <c r="AM423" s="31" t="str">
        <f t="shared" si="263"/>
        <v>1+2284.15135673124i</v>
      </c>
      <c r="AN423" s="31">
        <f t="shared" si="279"/>
        <v>2284.1515756309091</v>
      </c>
      <c r="AO423" s="31">
        <f t="shared" si="280"/>
        <v>1.5703585274637955</v>
      </c>
      <c r="AP423" s="58" t="str">
        <f t="shared" si="281"/>
        <v>-0.000694606525948973+0.00158689084103088i</v>
      </c>
      <c r="AQ423" s="49">
        <f t="shared" si="282"/>
        <v>-55.227773106786103</v>
      </c>
      <c r="AR423" s="61">
        <f t="shared" si="283"/>
        <v>113.63973467894854</v>
      </c>
      <c r="AS423" s="58" t="str">
        <f t="shared" si="284"/>
        <v>-0.0000279043611029541-0.0000514637905557117i</v>
      </c>
      <c r="AT423" s="64">
        <f t="shared" si="285"/>
        <v>-84.6506370530781</v>
      </c>
      <c r="AU423" s="61">
        <f t="shared" si="286"/>
        <v>-118.4671461909919</v>
      </c>
    </row>
    <row r="424" spans="14:47" x14ac:dyDescent="0.3">
      <c r="N424" s="10">
        <v>6</v>
      </c>
      <c r="O424" s="50">
        <f t="shared" si="287"/>
        <v>114815.36214968823</v>
      </c>
      <c r="P424" s="48" t="str">
        <f t="shared" si="255"/>
        <v>51201.9230769231</v>
      </c>
      <c r="Q424" s="17" t="str">
        <f t="shared" si="256"/>
        <v>1+33711.8664901681i</v>
      </c>
      <c r="R424" s="17">
        <f t="shared" si="264"/>
        <v>33711.866504999663</v>
      </c>
      <c r="S424" s="17">
        <f t="shared" si="265"/>
        <v>1.5707666636494282</v>
      </c>
      <c r="T424" s="17" t="str">
        <f t="shared" si="257"/>
        <v>1+2.16421858949227E-06i</v>
      </c>
      <c r="U424" s="17">
        <f t="shared" si="266"/>
        <v>1.0000000000023419</v>
      </c>
      <c r="V424" s="17">
        <f t="shared" si="267"/>
        <v>2.1642185894888913E-6</v>
      </c>
      <c r="W424" s="31" t="str">
        <f t="shared" si="258"/>
        <v>1-1.16867803832583i</v>
      </c>
      <c r="X424" s="17">
        <f t="shared" si="268"/>
        <v>1.5381184470856299</v>
      </c>
      <c r="Y424" s="17">
        <f t="shared" si="269"/>
        <v>-0.86302108371839126</v>
      </c>
      <c r="Z424" s="31" t="str">
        <f t="shared" si="259"/>
        <v>-4.27302695422563+71.3169474452042i</v>
      </c>
      <c r="AA424" s="17">
        <f t="shared" si="270"/>
        <v>71.444844126455735</v>
      </c>
      <c r="AB424" s="17">
        <f t="shared" si="271"/>
        <v>1.6306407930259674</v>
      </c>
      <c r="AC424" s="66" t="str">
        <f t="shared" si="272"/>
        <v>-0.01973536322308+0.0260706811523967i</v>
      </c>
      <c r="AD424" s="64">
        <f t="shared" si="273"/>
        <v>-29.709552758936574</v>
      </c>
      <c r="AE424" s="61">
        <f t="shared" si="274"/>
        <v>127.12552250350966</v>
      </c>
      <c r="AF424" s="31" t="str">
        <f t="shared" si="260"/>
        <v>-1.33333333333333E-06</v>
      </c>
      <c r="AG424" s="31" t="str">
        <f t="shared" si="261"/>
        <v>0.722127602693922i</v>
      </c>
      <c r="AH424" s="31">
        <f t="shared" si="275"/>
        <v>0.72212760269392196</v>
      </c>
      <c r="AI424" s="31">
        <f t="shared" si="276"/>
        <v>1.5707963267948966</v>
      </c>
      <c r="AJ424" s="31" t="str">
        <f t="shared" si="262"/>
        <v>1+2.33502105559605i</v>
      </c>
      <c r="AK424" s="31">
        <f t="shared" si="277"/>
        <v>2.5401423838196342</v>
      </c>
      <c r="AL424" s="31">
        <f t="shared" si="278"/>
        <v>1.1661662685065393</v>
      </c>
      <c r="AM424" s="31" t="str">
        <f t="shared" si="263"/>
        <v>1+2337.35607665165i</v>
      </c>
      <c r="AN424" s="31">
        <f t="shared" si="279"/>
        <v>2337.3562905685544</v>
      </c>
      <c r="AO424" s="31">
        <f t="shared" si="280"/>
        <v>1.5703684929920048</v>
      </c>
      <c r="AP424" s="58" t="str">
        <f t="shared" si="281"/>
        <v>-0.00066818922769175+0.00156208231152822i</v>
      </c>
      <c r="AQ424" s="49">
        <f t="shared" si="282"/>
        <v>-55.396167038731448</v>
      </c>
      <c r="AR424" s="61">
        <f t="shared" si="283"/>
        <v>113.15908153281657</v>
      </c>
      <c r="AS424" s="58" t="str">
        <f t="shared" si="284"/>
        <v>-0.000027537592767405-0.0000482484101069756i</v>
      </c>
      <c r="AT424" s="64">
        <f t="shared" si="285"/>
        <v>-85.10571979766803</v>
      </c>
      <c r="AU424" s="61">
        <f t="shared" si="286"/>
        <v>-119.71539596367374</v>
      </c>
    </row>
    <row r="425" spans="14:47" x14ac:dyDescent="0.3">
      <c r="N425" s="10">
        <v>7</v>
      </c>
      <c r="O425" s="50">
        <f t="shared" si="287"/>
        <v>117489.75549395311</v>
      </c>
      <c r="P425" s="48" t="str">
        <f t="shared" si="255"/>
        <v>51201.9230769231</v>
      </c>
      <c r="Q425" s="17" t="str">
        <f t="shared" si="256"/>
        <v>1+34497.1167360935i</v>
      </c>
      <c r="R425" s="17">
        <f t="shared" si="264"/>
        <v>34497.116750587462</v>
      </c>
      <c r="S425" s="17">
        <f t="shared" si="265"/>
        <v>1.570767338865054</v>
      </c>
      <c r="T425" s="17" t="str">
        <f t="shared" si="257"/>
        <v>1+2.21462971639119E-06i</v>
      </c>
      <c r="U425" s="17">
        <f t="shared" si="266"/>
        <v>1.0000000000024523</v>
      </c>
      <c r="V425" s="17">
        <f t="shared" si="267"/>
        <v>2.2146297163875694E-6</v>
      </c>
      <c r="W425" s="31" t="str">
        <f t="shared" si="258"/>
        <v>1-1.19590004685124i</v>
      </c>
      <c r="X425" s="17">
        <f t="shared" si="268"/>
        <v>1.5589024735559303</v>
      </c>
      <c r="Y425" s="17">
        <f t="shared" si="269"/>
        <v>-0.8743743485515072</v>
      </c>
      <c r="Z425" s="31" t="str">
        <f t="shared" si="259"/>
        <v>-4.52153705841156+72.9781325515324i</v>
      </c>
      <c r="AA425" s="17">
        <f t="shared" si="270"/>
        <v>73.118069778130916</v>
      </c>
      <c r="AB425" s="17">
        <f t="shared" si="271"/>
        <v>1.6326746531927423</v>
      </c>
      <c r="AC425" s="66" t="str">
        <f t="shared" si="272"/>
        <v>-0.0187599499737234+0.0254840378942897i</v>
      </c>
      <c r="AD425" s="64">
        <f t="shared" si="273"/>
        <v>-29.994045952051454</v>
      </c>
      <c r="AE425" s="61">
        <f t="shared" si="274"/>
        <v>126.35846094254094</v>
      </c>
      <c r="AF425" s="31" t="str">
        <f t="shared" si="260"/>
        <v>-1.33333333333333E-06</v>
      </c>
      <c r="AG425" s="31" t="str">
        <f t="shared" si="261"/>
        <v>0.738948115369192i</v>
      </c>
      <c r="AH425" s="31">
        <f t="shared" si="275"/>
        <v>0.73894811536919203</v>
      </c>
      <c r="AI425" s="31">
        <f t="shared" si="276"/>
        <v>1.5707963267948966</v>
      </c>
      <c r="AJ425" s="31" t="str">
        <f t="shared" si="262"/>
        <v>1+2.38941068301946i</v>
      </c>
      <c r="AK425" s="31">
        <f t="shared" si="277"/>
        <v>2.59022844786469</v>
      </c>
      <c r="AL425" s="31">
        <f t="shared" si="278"/>
        <v>1.1744328299926856</v>
      </c>
      <c r="AM425" s="31" t="str">
        <f t="shared" si="263"/>
        <v>1+2391.80009370248i</v>
      </c>
      <c r="AN425" s="31">
        <f t="shared" si="279"/>
        <v>2391.8003027500417</v>
      </c>
      <c r="AO425" s="31">
        <f t="shared" si="280"/>
        <v>1.5703782316771795</v>
      </c>
      <c r="AP425" s="58" t="str">
        <f t="shared" si="281"/>
        <v>-0.000642598125300305+0.00153723519212796i</v>
      </c>
      <c r="AQ425" s="49">
        <f t="shared" si="282"/>
        <v>-55.565767230513863</v>
      </c>
      <c r="AR425" s="61">
        <f t="shared" si="283"/>
        <v>112.68600043413355</v>
      </c>
      <c r="AS425" s="58" t="str">
        <f t="shared" si="284"/>
        <v>-0.0000271198512047825-0.0000452144502781201i</v>
      </c>
      <c r="AT425" s="64">
        <f t="shared" si="285"/>
        <v>-85.559813182565307</v>
      </c>
      <c r="AU425" s="61">
        <f t="shared" si="286"/>
        <v>-120.95553862332554</v>
      </c>
    </row>
    <row r="426" spans="14:47" x14ac:dyDescent="0.3">
      <c r="N426" s="10">
        <v>8</v>
      </c>
      <c r="O426" s="50">
        <f t="shared" si="287"/>
        <v>120226.44346174144</v>
      </c>
      <c r="P426" s="48" t="str">
        <f t="shared" si="255"/>
        <v>51201.9230769231</v>
      </c>
      <c r="Q426" s="17" t="str">
        <f t="shared" si="256"/>
        <v>1+35300.6578099356i</v>
      </c>
      <c r="R426" s="17">
        <f t="shared" si="264"/>
        <v>35300.657824099639</v>
      </c>
      <c r="S426" s="17">
        <f t="shared" si="265"/>
        <v>1.5707679987108956</v>
      </c>
      <c r="T426" s="17" t="str">
        <f t="shared" si="257"/>
        <v>1+2.26621506927982E-06i</v>
      </c>
      <c r="U426" s="17">
        <f t="shared" si="266"/>
        <v>1.0000000000025677</v>
      </c>
      <c r="V426" s="17">
        <f t="shared" si="267"/>
        <v>2.2662150692759404E-6</v>
      </c>
      <c r="W426" s="31" t="str">
        <f t="shared" si="258"/>
        <v>1-1.2237561374111i</v>
      </c>
      <c r="X426" s="17">
        <f t="shared" si="268"/>
        <v>1.5803730837531165</v>
      </c>
      <c r="Y426" s="17">
        <f t="shared" si="269"/>
        <v>-0.8856814385595404</v>
      </c>
      <c r="Z426" s="31" t="str">
        <f t="shared" si="259"/>
        <v>-4.78175908298373+74.6780116297191i</v>
      </c>
      <c r="AA426" s="17">
        <f t="shared" si="270"/>
        <v>74.830947080042748</v>
      </c>
      <c r="AB426" s="17">
        <f t="shared" si="271"/>
        <v>1.6347407174797912</v>
      </c>
      <c r="AC426" s="66" t="str">
        <f t="shared" si="272"/>
        <v>-0.017828467260724+0.0249097025690916i</v>
      </c>
      <c r="AD426" s="64">
        <f t="shared" si="273"/>
        <v>-30.276362862659276</v>
      </c>
      <c r="AE426" s="61">
        <f t="shared" si="274"/>
        <v>125.59220079189684</v>
      </c>
      <c r="AF426" s="31" t="str">
        <f t="shared" si="260"/>
        <v>-1.33333333333333E-06</v>
      </c>
      <c r="AG426" s="31" t="str">
        <f t="shared" si="261"/>
        <v>0.756160428116365i</v>
      </c>
      <c r="AH426" s="31">
        <f t="shared" si="275"/>
        <v>0.75616042811636497</v>
      </c>
      <c r="AI426" s="31">
        <f t="shared" si="276"/>
        <v>1.5707963267948966</v>
      </c>
      <c r="AJ426" s="31" t="str">
        <f t="shared" si="262"/>
        <v>1+2.44506720761458i</v>
      </c>
      <c r="AK426" s="31">
        <f t="shared" si="277"/>
        <v>2.6416573679703732</v>
      </c>
      <c r="AL426" s="31">
        <f t="shared" si="278"/>
        <v>1.1825668702331491</v>
      </c>
      <c r="AM426" s="31" t="str">
        <f t="shared" si="263"/>
        <v>1+2447.5122748222i</v>
      </c>
      <c r="AN426" s="31">
        <f t="shared" si="279"/>
        <v>2447.5124791112594</v>
      </c>
      <c r="AO426" s="31">
        <f t="shared" si="280"/>
        <v>1.5703877486828921</v>
      </c>
      <c r="AP426" s="58" t="str">
        <f t="shared" si="281"/>
        <v>-0.000617820930140832+0.00151237699071312i</v>
      </c>
      <c r="AQ426" s="49">
        <f t="shared" si="282"/>
        <v>-55.736535637213763</v>
      </c>
      <c r="AR426" s="61">
        <f t="shared" si="283"/>
        <v>112.22049954222631</v>
      </c>
      <c r="AS426" s="58" t="str">
        <f t="shared" si="284"/>
        <v>-0.0000266580607849958-0.0000423530992755688i</v>
      </c>
      <c r="AT426" s="64">
        <f t="shared" si="285"/>
        <v>-86.012898499873032</v>
      </c>
      <c r="AU426" s="61">
        <f t="shared" si="286"/>
        <v>-122.18729966587688</v>
      </c>
    </row>
    <row r="427" spans="14:47" x14ac:dyDescent="0.3">
      <c r="N427" s="10">
        <v>9</v>
      </c>
      <c r="O427" s="50">
        <f t="shared" si="287"/>
        <v>123026.87708123829</v>
      </c>
      <c r="P427" s="48" t="str">
        <f t="shared" si="255"/>
        <v>51201.9230769231</v>
      </c>
      <c r="Q427" s="17" t="str">
        <f t="shared" si="256"/>
        <v>1+36122.9157598079i</v>
      </c>
      <c r="R427" s="17">
        <f t="shared" si="264"/>
        <v>36122.915773649518</v>
      </c>
      <c r="S427" s="17">
        <f t="shared" si="265"/>
        <v>1.570768643536812</v>
      </c>
      <c r="T427" s="17" t="str">
        <f t="shared" si="257"/>
        <v>1+2.31900199939508E-06i</v>
      </c>
      <c r="U427" s="17">
        <f t="shared" si="266"/>
        <v>1.000000000002689</v>
      </c>
      <c r="V427" s="17">
        <f t="shared" si="267"/>
        <v>2.3190019993909234E-6</v>
      </c>
      <c r="W427" s="31" t="str">
        <f t="shared" si="258"/>
        <v>1-1.25226107967334i</v>
      </c>
      <c r="X427" s="17">
        <f t="shared" si="268"/>
        <v>1.6025472884332115</v>
      </c>
      <c r="Y427" s="17">
        <f t="shared" si="269"/>
        <v>-0.89693678474414495</v>
      </c>
      <c r="Z427" s="31" t="str">
        <f t="shared" si="259"/>
        <v>-5.05424499374485+76.4174859781522i</v>
      </c>
      <c r="AA427" s="17">
        <f t="shared" si="270"/>
        <v>76.584447217942909</v>
      </c>
      <c r="AB427" s="17">
        <f t="shared" si="271"/>
        <v>1.6368400379128809</v>
      </c>
      <c r="AC427" s="66" t="str">
        <f t="shared" si="272"/>
        <v>-0.0169389414324564+0.0243474514812877i</v>
      </c>
      <c r="AD427" s="64">
        <f t="shared" si="273"/>
        <v>-30.556525079982173</v>
      </c>
      <c r="AE427" s="61">
        <f t="shared" si="274"/>
        <v>124.82700083656333</v>
      </c>
      <c r="AF427" s="31" t="str">
        <f t="shared" si="260"/>
        <v>-1.33333333333333E-06</v>
      </c>
      <c r="AG427" s="31" t="str">
        <f t="shared" si="261"/>
        <v>0.773773667131491i</v>
      </c>
      <c r="AH427" s="31">
        <f t="shared" si="275"/>
        <v>0.77377366713149098</v>
      </c>
      <c r="AI427" s="31">
        <f t="shared" si="276"/>
        <v>1.5707963267948966</v>
      </c>
      <c r="AJ427" s="31" t="str">
        <f t="shared" si="262"/>
        <v>1+2.50202013920747i</v>
      </c>
      <c r="AK427" s="31">
        <f t="shared" si="277"/>
        <v>2.6944581601872697</v>
      </c>
      <c r="AL427" s="31">
        <f t="shared" si="278"/>
        <v>1.1905683956006656</v>
      </c>
      <c r="AM427" s="31" t="str">
        <f t="shared" si="263"/>
        <v>1+2504.52215934668i</v>
      </c>
      <c r="AN427" s="31">
        <f t="shared" si="279"/>
        <v>2504.5223589855523</v>
      </c>
      <c r="AO427" s="31">
        <f t="shared" si="280"/>
        <v>1.570397049055178</v>
      </c>
      <c r="AP427" s="58" t="str">
        <f t="shared" si="281"/>
        <v>-0.000593844451997457+0.00148753393522474i</v>
      </c>
      <c r="AQ427" s="49">
        <f t="shared" si="282"/>
        <v>-55.90843480525902</v>
      </c>
      <c r="AR427" s="61">
        <f t="shared" si="283"/>
        <v>111.76257878108065</v>
      </c>
      <c r="AS427" s="58" t="str">
        <f t="shared" si="284"/>
        <v>-0.0000261585639222792-0.0000396558491900032i</v>
      </c>
      <c r="AT427" s="64">
        <f t="shared" si="285"/>
        <v>-86.464959885241214</v>
      </c>
      <c r="AU427" s="61">
        <f t="shared" si="286"/>
        <v>-123.41042038235602</v>
      </c>
    </row>
    <row r="428" spans="14:47" x14ac:dyDescent="0.3">
      <c r="N428" s="10">
        <v>10</v>
      </c>
      <c r="O428" s="50">
        <f t="shared" si="287"/>
        <v>125892.54117941685</v>
      </c>
      <c r="P428" s="48" t="str">
        <f t="shared" si="255"/>
        <v>51201.9230769231</v>
      </c>
      <c r="Q428" s="17" t="str">
        <f t="shared" si="256"/>
        <v>1+36964.3265577595i</v>
      </c>
      <c r="R428" s="17">
        <f t="shared" si="264"/>
        <v>36964.326571286052</v>
      </c>
      <c r="S428" s="17">
        <f t="shared" si="265"/>
        <v>1.5707692736846988</v>
      </c>
      <c r="T428" s="17" t="str">
        <f t="shared" si="257"/>
        <v>1+2.37301849506604E-06i</v>
      </c>
      <c r="U428" s="17">
        <f t="shared" si="266"/>
        <v>1.0000000000028155</v>
      </c>
      <c r="V428" s="17">
        <f t="shared" si="267"/>
        <v>2.3730184950615859E-6</v>
      </c>
      <c r="W428" s="31" t="str">
        <f t="shared" si="258"/>
        <v>1-1.28142998733566i</v>
      </c>
      <c r="X428" s="17">
        <f t="shared" si="268"/>
        <v>1.6254423436231349</v>
      </c>
      <c r="Y428" s="17">
        <f t="shared" si="269"/>
        <v>-0.90813494864055333</v>
      </c>
      <c r="Z428" s="31" t="str">
        <f t="shared" si="259"/>
        <v>-5.33957276984448+78.1974778891559i</v>
      </c>
      <c r="AA428" s="17">
        <f t="shared" si="270"/>
        <v>78.379567398586033</v>
      </c>
      <c r="AB428" s="17">
        <f t="shared" si="271"/>
        <v>1.638973681116489</v>
      </c>
      <c r="AC428" s="66" t="str">
        <f t="shared" si="272"/>
        <v>-0.0160894876374273+0.0237970619853793i</v>
      </c>
      <c r="AD428" s="64">
        <f t="shared" si="273"/>
        <v>-30.834556372920474</v>
      </c>
      <c r="AE428" s="61">
        <f t="shared" si="274"/>
        <v>124.06311154655265</v>
      </c>
      <c r="AF428" s="31" t="str">
        <f t="shared" si="260"/>
        <v>-1.33333333333333E-06</v>
      </c>
      <c r="AG428" s="31" t="str">
        <f t="shared" si="261"/>
        <v>0.791797171187035i</v>
      </c>
      <c r="AH428" s="31">
        <f t="shared" si="275"/>
        <v>0.79179717118703496</v>
      </c>
      <c r="AI428" s="31">
        <f t="shared" si="276"/>
        <v>1.5707963267948966</v>
      </c>
      <c r="AJ428" s="31" t="str">
        <f t="shared" si="262"/>
        <v>1+2.56029967499632i</v>
      </c>
      <c r="AK428" s="31">
        <f t="shared" si="277"/>
        <v>2.7486604784487776</v>
      </c>
      <c r="AL428" s="31">
        <f t="shared" si="278"/>
        <v>1.1984375492247001</v>
      </c>
      <c r="AM428" s="31" t="str">
        <f t="shared" si="263"/>
        <v>1+2562.85997467132i</v>
      </c>
      <c r="AN428" s="31">
        <f t="shared" si="279"/>
        <v>2562.8601697658569</v>
      </c>
      <c r="AO428" s="31">
        <f t="shared" si="280"/>
        <v>1.5704061377252112</v>
      </c>
      <c r="AP428" s="58" t="str">
        <f t="shared" si="281"/>
        <v>-0.000570654696497061+0.0014627309669102i</v>
      </c>
      <c r="AQ428" s="49">
        <f t="shared" si="282"/>
        <v>-56.081427911976789</v>
      </c>
      <c r="AR428" s="61">
        <f t="shared" si="283"/>
        <v>111.31223023251773</v>
      </c>
      <c r="AS428" s="58" t="str">
        <f t="shared" si="284"/>
        <v>-0.0000256271578029665-0.0000371144969937721i</v>
      </c>
      <c r="AT428" s="64">
        <f t="shared" si="285"/>
        <v>-86.915984284897263</v>
      </c>
      <c r="AU428" s="61">
        <f t="shared" si="286"/>
        <v>-124.6246582209296</v>
      </c>
    </row>
    <row r="429" spans="14:47" x14ac:dyDescent="0.3">
      <c r="N429" s="10">
        <v>11</v>
      </c>
      <c r="O429" s="50">
        <f t="shared" si="287"/>
        <v>128824.95516931375</v>
      </c>
      <c r="P429" s="48" t="str">
        <f t="shared" si="255"/>
        <v>51201.9230769231</v>
      </c>
      <c r="Q429" s="17" t="str">
        <f t="shared" si="256"/>
        <v>1+37825.3363309327i</v>
      </c>
      <c r="R429" s="17">
        <f t="shared" si="264"/>
        <v>37825.336344151357</v>
      </c>
      <c r="S429" s="17">
        <f t="shared" si="265"/>
        <v>1.5707698894886684</v>
      </c>
      <c r="T429" s="17" t="str">
        <f t="shared" si="257"/>
        <v>1+2.42829319655371E-06i</v>
      </c>
      <c r="U429" s="17">
        <f t="shared" si="266"/>
        <v>1.0000000000029483</v>
      </c>
      <c r="V429" s="17">
        <f t="shared" si="267"/>
        <v>2.4282931965489371E-6</v>
      </c>
      <c r="W429" s="31" t="str">
        <f t="shared" si="258"/>
        <v>1-1.311278326139i</v>
      </c>
      <c r="X429" s="17">
        <f t="shared" si="268"/>
        <v>1.6490757558711178</v>
      </c>
      <c r="Y429" s="17">
        <f t="shared" si="269"/>
        <v>-0.91927063435744638</v>
      </c>
      <c r="Z429" s="31" t="str">
        <f t="shared" si="259"/>
        <v>-5.63834762975028+80.0189311380026i</v>
      </c>
      <c r="AA429" s="17">
        <f t="shared" si="270"/>
        <v>80.217331696225799</v>
      </c>
      <c r="AB429" s="17">
        <f t="shared" si="271"/>
        <v>1.6411427286647091</v>
      </c>
      <c r="AC429" s="66" t="str">
        <f t="shared" si="272"/>
        <v>-0.0152783058428188+0.0232583127274551i</v>
      </c>
      <c r="AD429" s="64">
        <f t="shared" si="273"/>
        <v>-31.110482610651971</v>
      </c>
      <c r="AE429" s="61">
        <f t="shared" si="274"/>
        <v>123.30077436695301</v>
      </c>
      <c r="AF429" s="31" t="str">
        <f t="shared" si="260"/>
        <v>-1.33333333333333E-06</v>
      </c>
      <c r="AG429" s="31" t="str">
        <f t="shared" si="261"/>
        <v>0.810240496583419i</v>
      </c>
      <c r="AH429" s="31">
        <f t="shared" si="275"/>
        <v>0.81024049658341901</v>
      </c>
      <c r="AI429" s="31">
        <f t="shared" si="276"/>
        <v>1.5707963267948966</v>
      </c>
      <c r="AJ429" s="31" t="str">
        <f t="shared" si="262"/>
        <v>1+2.61993671556243i</v>
      </c>
      <c r="AK429" s="31">
        <f t="shared" si="277"/>
        <v>2.8042946338699957</v>
      </c>
      <c r="AL429" s="31">
        <f t="shared" si="278"/>
        <v>1.2061746041135419</v>
      </c>
      <c r="AM429" s="31" t="str">
        <f t="shared" si="263"/>
        <v>1+2622.556652278i</v>
      </c>
      <c r="AN429" s="31">
        <f t="shared" si="279"/>
        <v>2622.5568429316436</v>
      </c>
      <c r="AO429" s="31">
        <f t="shared" si="280"/>
        <v>1.5704150195119191</v>
      </c>
      <c r="AP429" s="58" t="str">
        <f t="shared" si="281"/>
        <v>-0.000548236959164367+0.00143799174008338i</v>
      </c>
      <c r="AQ429" s="49">
        <f t="shared" si="282"/>
        <v>-56.255478800702221</v>
      </c>
      <c r="AR429" s="61">
        <f t="shared" si="283"/>
        <v>110.86943853041896</v>
      </c>
      <c r="AS429" s="58" t="str">
        <f t="shared" si="284"/>
        <v>-0.0000250691296539064-0.000034721144249435i</v>
      </c>
      <c r="AT429" s="64">
        <f t="shared" si="285"/>
        <v>-87.365961411354206</v>
      </c>
      <c r="AU429" s="61">
        <f t="shared" si="286"/>
        <v>-125.82978710262796</v>
      </c>
    </row>
    <row r="430" spans="14:47" x14ac:dyDescent="0.3">
      <c r="N430" s="10">
        <v>12</v>
      </c>
      <c r="O430" s="50">
        <f t="shared" si="287"/>
        <v>131825.67385564081</v>
      </c>
      <c r="P430" s="48" t="str">
        <f t="shared" si="255"/>
        <v>51201.9230769231</v>
      </c>
      <c r="Q430" s="17" t="str">
        <f t="shared" si="256"/>
        <v>1+38706.4015981059i</v>
      </c>
      <c r="R430" s="17">
        <f t="shared" si="264"/>
        <v>38706.401611023655</v>
      </c>
      <c r="S430" s="17">
        <f t="shared" si="265"/>
        <v>1.5707704912752283</v>
      </c>
      <c r="T430" s="17" t="str">
        <f t="shared" si="257"/>
        <v>1+2.48485541123643E-06i</v>
      </c>
      <c r="U430" s="17">
        <f t="shared" si="266"/>
        <v>1.0000000000030873</v>
      </c>
      <c r="V430" s="17">
        <f t="shared" si="267"/>
        <v>2.4848554112313157E-6</v>
      </c>
      <c r="W430" s="31" t="str">
        <f t="shared" si="258"/>
        <v>1-1.34182192206767i</v>
      </c>
      <c r="X430" s="17">
        <f t="shared" si="268"/>
        <v>1.6734652881196477</v>
      </c>
      <c r="Y430" s="17">
        <f t="shared" si="269"/>
        <v>-0.93033869977536765</v>
      </c>
      <c r="Z430" s="31" t="str">
        <f t="shared" si="259"/>
        <v>-5.95120331499752+81.8828114833141i</v>
      </c>
      <c r="AA430" s="17">
        <f t="shared" si="270"/>
        <v>82.098791935742824</v>
      </c>
      <c r="AB430" s="17">
        <f t="shared" si="271"/>
        <v>1.6433482774254382</v>
      </c>
      <c r="AC430" s="66" t="str">
        <f t="shared" si="272"/>
        <v>-0.0145036770314249+0.0227309838636438i</v>
      </c>
      <c r="AD430" s="64">
        <f t="shared" si="273"/>
        <v>-31.38433167704676</v>
      </c>
      <c r="AE430" s="61">
        <f t="shared" si="274"/>
        <v>122.54022105657758</v>
      </c>
      <c r="AF430" s="31" t="str">
        <f t="shared" si="260"/>
        <v>-1.33333333333333E-06</v>
      </c>
      <c r="AG430" s="31" t="str">
        <f t="shared" si="261"/>
        <v>0.829113422215889i</v>
      </c>
      <c r="AH430" s="31">
        <f t="shared" si="275"/>
        <v>0.82911342221588902</v>
      </c>
      <c r="AI430" s="31">
        <f t="shared" si="276"/>
        <v>1.5707963267948966</v>
      </c>
      <c r="AJ430" s="31" t="str">
        <f t="shared" si="262"/>
        <v>1+2.68096288125409i</v>
      </c>
      <c r="AK430" s="31">
        <f t="shared" si="277"/>
        <v>2.8613916143482059</v>
      </c>
      <c r="AL430" s="31">
        <f t="shared" si="278"/>
        <v>1.2137799562913381</v>
      </c>
      <c r="AM430" s="31" t="str">
        <f t="shared" si="263"/>
        <v>1+2683.64384413534i</v>
      </c>
      <c r="AN430" s="31">
        <f t="shared" si="279"/>
        <v>2683.6440304491771</v>
      </c>
      <c r="AO430" s="31">
        <f t="shared" si="280"/>
        <v>1.5704236991245366</v>
      </c>
      <c r="AP430" s="58" t="str">
        <f t="shared" si="281"/>
        <v>-0.000526575915784224+0.00141333862784688i</v>
      </c>
      <c r="AQ430" s="49">
        <f t="shared" si="282"/>
        <v>-56.430552011608981</v>
      </c>
      <c r="AR430" s="61">
        <f t="shared" si="283"/>
        <v>110.43418125409134</v>
      </c>
      <c r="AS430" s="58" t="str">
        <f t="shared" si="284"/>
        <v>-0.0000244892905283907-0.000032468195639003i</v>
      </c>
      <c r="AT430" s="64">
        <f t="shared" si="285"/>
        <v>-87.81488368865574</v>
      </c>
      <c r="AU430" s="61">
        <f t="shared" si="286"/>
        <v>-127.02559768933106</v>
      </c>
    </row>
    <row r="431" spans="14:47" x14ac:dyDescent="0.3">
      <c r="N431" s="10">
        <v>13</v>
      </c>
      <c r="O431" s="50">
        <f t="shared" si="287"/>
        <v>134896.28825916545</v>
      </c>
      <c r="P431" s="48" t="str">
        <f t="shared" si="255"/>
        <v>51201.9230769231</v>
      </c>
      <c r="Q431" s="17" t="str">
        <f t="shared" si="256"/>
        <v>1+39607.9895117464i</v>
      </c>
      <c r="R431" s="17">
        <f t="shared" si="264"/>
        <v>39607.98952437011</v>
      </c>
      <c r="S431" s="17">
        <f t="shared" si="265"/>
        <v>1.5707710793634537</v>
      </c>
      <c r="T431" s="17" t="str">
        <f t="shared" si="257"/>
        <v>1+2.54273512914915E-06i</v>
      </c>
      <c r="U431" s="17">
        <f t="shared" si="266"/>
        <v>1.0000000000032327</v>
      </c>
      <c r="V431" s="17">
        <f t="shared" si="267"/>
        <v>2.54273512914367E-6</v>
      </c>
      <c r="W431" s="31" t="str">
        <f t="shared" si="258"/>
        <v>1-1.37307696974054i</v>
      </c>
      <c r="X431" s="17">
        <f t="shared" si="268"/>
        <v>1.6986289662053524</v>
      </c>
      <c r="Y431" s="17">
        <f t="shared" si="269"/>
        <v>-0.94133416685530158</v>
      </c>
      <c r="Z431" s="31" t="str">
        <f t="shared" si="259"/>
        <v>-6.27880343443995+83.7901071791214i</v>
      </c>
      <c r="AA431" s="17">
        <f t="shared" si="270"/>
        <v>84.025028614437176</v>
      </c>
      <c r="AB431" s="17">
        <f t="shared" si="271"/>
        <v>1.6455914398970333</v>
      </c>
      <c r="AC431" s="66" t="str">
        <f t="shared" si="272"/>
        <v>-0.0137639595690395+0.0222148572571591i</v>
      </c>
      <c r="AD431" s="64">
        <f t="shared" si="273"/>
        <v>-31.656133379630411</v>
      </c>
      <c r="AE431" s="61">
        <f t="shared" si="274"/>
        <v>121.78167307802809</v>
      </c>
      <c r="AF431" s="31" t="str">
        <f t="shared" si="260"/>
        <v>-1.33333333333333E-06</v>
      </c>
      <c r="AG431" s="31" t="str">
        <f t="shared" si="261"/>
        <v>0.848425954759434i</v>
      </c>
      <c r="AH431" s="31">
        <f t="shared" si="275"/>
        <v>0.84842595475943405</v>
      </c>
      <c r="AI431" s="31">
        <f t="shared" si="276"/>
        <v>1.5707963267948966</v>
      </c>
      <c r="AJ431" s="31" t="str">
        <f t="shared" si="262"/>
        <v>1+2.74341052895213i</v>
      </c>
      <c r="AK431" s="31">
        <f t="shared" si="277"/>
        <v>2.9199831044657443</v>
      </c>
      <c r="AL431" s="31">
        <f t="shared" si="278"/>
        <v>1.2212541179804528</v>
      </c>
      <c r="AM431" s="31" t="str">
        <f t="shared" si="263"/>
        <v>1+2746.15393948108i</v>
      </c>
      <c r="AN431" s="31">
        <f t="shared" si="279"/>
        <v>2746.1541215538973</v>
      </c>
      <c r="AO431" s="31">
        <f t="shared" si="280"/>
        <v>1.5704321811651041</v>
      </c>
      <c r="AP431" s="58" t="str">
        <f t="shared" si="281"/>
        <v>-0.000505655708810939+0.00138879273322926i</v>
      </c>
      <c r="AQ431" s="49">
        <f t="shared" si="282"/>
        <v>-56.606612808438079</v>
      </c>
      <c r="AR431" s="61">
        <f t="shared" si="283"/>
        <v>110.00642931903299</v>
      </c>
      <c r="AS431" s="58" t="str">
        <f t="shared" si="284"/>
        <v>-0.0000238920075965401-0.000030348356422446i</v>
      </c>
      <c r="AT431" s="64">
        <f t="shared" si="285"/>
        <v>-88.26274618806849</v>
      </c>
      <c r="AU431" s="61">
        <f t="shared" si="286"/>
        <v>-128.21189760293896</v>
      </c>
    </row>
    <row r="432" spans="14:47" x14ac:dyDescent="0.3">
      <c r="N432" s="10">
        <v>14</v>
      </c>
      <c r="O432" s="50">
        <f t="shared" si="287"/>
        <v>138038.42646028858</v>
      </c>
      <c r="P432" s="48" t="str">
        <f t="shared" si="255"/>
        <v>51201.9230769231</v>
      </c>
      <c r="Q432" s="17" t="str">
        <f t="shared" si="256"/>
        <v>1+40530.5781056997i</v>
      </c>
      <c r="R432" s="17">
        <f t="shared" si="264"/>
        <v>40530.578118036057</v>
      </c>
      <c r="S432" s="17">
        <f t="shared" si="265"/>
        <v>1.5707716540651568</v>
      </c>
      <c r="T432" s="17" t="str">
        <f t="shared" si="257"/>
        <v>1+2.60196303888443E-06i</v>
      </c>
      <c r="U432" s="17">
        <f t="shared" si="266"/>
        <v>1.0000000000033851</v>
      </c>
      <c r="V432" s="17">
        <f t="shared" si="267"/>
        <v>2.601963038878558E-6</v>
      </c>
      <c r="W432" s="31" t="str">
        <f t="shared" si="258"/>
        <v>1-1.40506004099759i</v>
      </c>
      <c r="X432" s="17">
        <f t="shared" si="268"/>
        <v>1.7245850859868148</v>
      </c>
      <c r="Y432" s="17">
        <f t="shared" si="269"/>
        <v>-0.9522522310181627</v>
      </c>
      <c r="Z432" s="31" t="str">
        <f t="shared" si="259"/>
        <v>-6.62184287185301+85.7418294988483i</v>
      </c>
      <c r="AA432" s="17">
        <f t="shared" si="270"/>
        <v>85.99715186463493</v>
      </c>
      <c r="AB432" s="17">
        <f t="shared" si="271"/>
        <v>1.6478733445365659</v>
      </c>
      <c r="AC432" s="66" t="str">
        <f t="shared" si="272"/>
        <v>-0.0130575857347094+0.0217097166555315i</v>
      </c>
      <c r="AD432" s="64">
        <f t="shared" si="273"/>
        <v>-31.925919353854049</v>
      </c>
      <c r="AE432" s="61">
        <f t="shared" si="274"/>
        <v>121.02534104147369</v>
      </c>
      <c r="AF432" s="31" t="str">
        <f t="shared" si="260"/>
        <v>-1.33333333333333E-06</v>
      </c>
      <c r="AG432" s="31" t="str">
        <f t="shared" si="261"/>
        <v>0.868188333974437i</v>
      </c>
      <c r="AH432" s="31">
        <f t="shared" si="275"/>
        <v>0.86818833397443695</v>
      </c>
      <c r="AI432" s="31">
        <f t="shared" si="276"/>
        <v>1.5707963267948966</v>
      </c>
      <c r="AJ432" s="31" t="str">
        <f t="shared" si="262"/>
        <v>1+2.80731276922595i</v>
      </c>
      <c r="AK432" s="31">
        <f t="shared" si="277"/>
        <v>2.9801015056972595</v>
      </c>
      <c r="AL432" s="31">
        <f t="shared" si="278"/>
        <v>1.2285977108566171</v>
      </c>
      <c r="AM432" s="31" t="str">
        <f t="shared" si="263"/>
        <v>1+2810.12008199518i</v>
      </c>
      <c r="AN432" s="31">
        <f t="shared" si="279"/>
        <v>2810.1202599235135</v>
      </c>
      <c r="AO432" s="31">
        <f t="shared" si="280"/>
        <v>1.5704404701309072</v>
      </c>
      <c r="AP432" s="58" t="str">
        <f t="shared" si="281"/>
        <v>-0.000485460029623129+0.00136437390519805i</v>
      </c>
      <c r="AQ432" s="49">
        <f t="shared" si="282"/>
        <v>-56.783627201314914</v>
      </c>
      <c r="AR432" s="61">
        <f t="shared" si="283"/>
        <v>109.58614736352348</v>
      </c>
      <c r="AS432" s="58" t="str">
        <f t="shared" si="284"/>
        <v>-0.0000232812349364721-0.0000283546289320279i</v>
      </c>
      <c r="AT432" s="64">
        <f t="shared" si="285"/>
        <v>-88.709546555168956</v>
      </c>
      <c r="AU432" s="61">
        <f t="shared" si="286"/>
        <v>-129.3885115950028</v>
      </c>
    </row>
    <row r="433" spans="14:47" x14ac:dyDescent="0.3">
      <c r="N433" s="10">
        <v>15</v>
      </c>
      <c r="O433" s="50">
        <f t="shared" si="287"/>
        <v>141253.75446227577</v>
      </c>
      <c r="P433" s="48" t="str">
        <f t="shared" si="255"/>
        <v>51201.9230769231</v>
      </c>
      <c r="Q433" s="17" t="str">
        <f t="shared" si="256"/>
        <v>1+41474.6565486504i</v>
      </c>
      <c r="R433" s="17">
        <f t="shared" si="264"/>
        <v>41474.656560705953</v>
      </c>
      <c r="S433" s="17">
        <f t="shared" si="265"/>
        <v>1.5707722156850521</v>
      </c>
      <c r="T433" s="17" t="str">
        <f t="shared" si="257"/>
        <v>1+2.66257054386397E-06i</v>
      </c>
      <c r="U433" s="17">
        <f t="shared" si="266"/>
        <v>1.0000000000035447</v>
      </c>
      <c r="V433" s="17">
        <f t="shared" si="267"/>
        <v>2.6625705438576781E-6</v>
      </c>
      <c r="W433" s="31" t="str">
        <f t="shared" si="258"/>
        <v>1-1.43778809368654i</v>
      </c>
      <c r="X433" s="17">
        <f t="shared" si="268"/>
        <v>1.7513522210985359</v>
      </c>
      <c r="Y433" s="17">
        <f t="shared" si="269"/>
        <v>-0.96308826956536908</v>
      </c>
      <c r="Z433" s="31" t="str">
        <f t="shared" si="259"/>
        <v>-6.98104925987557+87.7390132715028i</v>
      </c>
      <c r="AA433" s="17">
        <f t="shared" si="270"/>
        <v>88.01630245940666</v>
      </c>
      <c r="AB433" s="17">
        <f t="shared" si="271"/>
        <v>1.6501951360787264</v>
      </c>
      <c r="AC433" s="66" t="str">
        <f t="shared" si="272"/>
        <v>-0.0123830584065942+0.0212153478495118i</v>
      </c>
      <c r="AD433" s="64">
        <f t="shared" si="273"/>
        <v>-32.193722963448003</v>
      </c>
      <c r="AE433" s="61">
        <f t="shared" si="274"/>
        <v>120.27142420390724</v>
      </c>
      <c r="AF433" s="31" t="str">
        <f t="shared" si="260"/>
        <v>-1.33333333333333E-06</v>
      </c>
      <c r="AG433" s="31" t="str">
        <f t="shared" si="261"/>
        <v>0.888411038135946i</v>
      </c>
      <c r="AH433" s="31">
        <f t="shared" si="275"/>
        <v>0.88841103813594602</v>
      </c>
      <c r="AI433" s="31">
        <f t="shared" si="276"/>
        <v>1.5707963267948966</v>
      </c>
      <c r="AJ433" s="31" t="str">
        <f t="shared" si="262"/>
        <v>1+2.8727034838892i</v>
      </c>
      <c r="AK433" s="31">
        <f t="shared" si="277"/>
        <v>3.0417799569247523</v>
      </c>
      <c r="AL433" s="31">
        <f t="shared" si="278"/>
        <v>1.2358114594015059</v>
      </c>
      <c r="AM433" s="31" t="str">
        <f t="shared" si="263"/>
        <v>1+2875.57618737309i</v>
      </c>
      <c r="AN433" s="31">
        <f t="shared" si="279"/>
        <v>2875.5763612512806</v>
      </c>
      <c r="AO433" s="31">
        <f t="shared" si="280"/>
        <v>1.5704485704168603</v>
      </c>
      <c r="AP433" s="58" t="str">
        <f t="shared" si="281"/>
        <v>-0.000465972196477289+0.00134010075902268i</v>
      </c>
      <c r="AQ433" s="49">
        <f t="shared" si="282"/>
        <v>-56.961561965849015</v>
      </c>
      <c r="AR433" s="61">
        <f t="shared" si="283"/>
        <v>109.17329412963061</v>
      </c>
      <c r="AS433" s="58" t="str">
        <f t="shared" si="284"/>
        <v>-0.0000226605428312337-0.0000264803082061658i</v>
      </c>
      <c r="AT433" s="64">
        <f t="shared" si="285"/>
        <v>-89.155284929297025</v>
      </c>
      <c r="AU433" s="61">
        <f t="shared" si="286"/>
        <v>-130.55528166646218</v>
      </c>
    </row>
    <row r="434" spans="14:47" x14ac:dyDescent="0.3">
      <c r="N434" s="10">
        <v>16</v>
      </c>
      <c r="O434" s="50">
        <f t="shared" si="287"/>
        <v>144543.97707459307</v>
      </c>
      <c r="P434" s="48" t="str">
        <f t="shared" si="255"/>
        <v>51201.9230769231</v>
      </c>
      <c r="Q434" s="17" t="str">
        <f t="shared" si="256"/>
        <v>1+42440.725403485i</v>
      </c>
      <c r="R434" s="17">
        <f t="shared" si="264"/>
        <v>42440.725415266133</v>
      </c>
      <c r="S434" s="17">
        <f t="shared" si="265"/>
        <v>1.5707727645209177</v>
      </c>
      <c r="T434" s="17" t="str">
        <f t="shared" si="257"/>
        <v>1+2.72458977898916E-06i</v>
      </c>
      <c r="U434" s="17">
        <f t="shared" si="266"/>
        <v>1.0000000000037117</v>
      </c>
      <c r="V434" s="17">
        <f t="shared" si="267"/>
        <v>2.7245897789824182E-6</v>
      </c>
      <c r="W434" s="31" t="str">
        <f t="shared" si="258"/>
        <v>1-1.47127848065415i</v>
      </c>
      <c r="X434" s="17">
        <f t="shared" si="268"/>
        <v>1.7789492313261734</v>
      </c>
      <c r="Y434" s="17">
        <f t="shared" si="269"/>
        <v>-0.97383784911986149</v>
      </c>
      <c r="Z434" s="31" t="str">
        <f t="shared" si="259"/>
        <v>-7.35718452341621+89.7827174303569i</v>
      </c>
      <c r="AA434" s="17">
        <f t="shared" si="270"/>
        <v>90.083652863829343</v>
      </c>
      <c r="AB434" s="17">
        <f t="shared" si="271"/>
        <v>1.6525579758443598</v>
      </c>
      <c r="AC434" s="66" t="str">
        <f t="shared" si="272"/>
        <v>-0.011738947896502+0.0207315388150331i</v>
      </c>
      <c r="AD434" s="64">
        <f t="shared" si="273"/>
        <v>-32.459579197641304</v>
      </c>
      <c r="AE434" s="61">
        <f t="shared" si="274"/>
        <v>119.52011002512008</v>
      </c>
      <c r="AF434" s="31" t="str">
        <f t="shared" si="260"/>
        <v>-1.33333333333333E-06</v>
      </c>
      <c r="AG434" s="31" t="str">
        <f t="shared" si="261"/>
        <v>0.909104789589383i</v>
      </c>
      <c r="AH434" s="31">
        <f t="shared" si="275"/>
        <v>0.90910478958938301</v>
      </c>
      <c r="AI434" s="31">
        <f t="shared" si="276"/>
        <v>1.5707963267948966</v>
      </c>
      <c r="AJ434" s="31" t="str">
        <f t="shared" si="262"/>
        <v>1+2.93961734396432i</v>
      </c>
      <c r="AK434" s="31">
        <f t="shared" si="277"/>
        <v>3.1050523552648577</v>
      </c>
      <c r="AL434" s="31">
        <f t="shared" si="278"/>
        <v>1.2428961843745949</v>
      </c>
      <c r="AM434" s="31" t="str">
        <f t="shared" si="263"/>
        <v>1+2942.55696130829i</v>
      </c>
      <c r="AN434" s="31">
        <f t="shared" si="279"/>
        <v>2942.5571312285301</v>
      </c>
      <c r="AO434" s="31">
        <f t="shared" si="280"/>
        <v>1.5704564863178381</v>
      </c>
      <c r="AP434" s="58" t="str">
        <f t="shared" si="281"/>
        <v>-0.000447175228062943+0.00131599070047816i</v>
      </c>
      <c r="AQ434" s="49">
        <f t="shared" si="282"/>
        <v>-57.140384658719896</v>
      </c>
      <c r="AR434" s="61">
        <f t="shared" si="283"/>
        <v>108.7678228373788</v>
      </c>
      <c r="AS434" s="58" t="str">
        <f t="shared" si="284"/>
        <v>-0.0000220331455843483-0.0000247189768629025i</v>
      </c>
      <c r="AT434" s="64">
        <f t="shared" si="285"/>
        <v>-89.5999638563612</v>
      </c>
      <c r="AU434" s="61">
        <f t="shared" si="286"/>
        <v>-131.71206713750112</v>
      </c>
    </row>
    <row r="435" spans="14:47" x14ac:dyDescent="0.3">
      <c r="N435" s="10">
        <v>17</v>
      </c>
      <c r="O435" s="50">
        <f t="shared" si="287"/>
        <v>147910.83881682079</v>
      </c>
      <c r="P435" s="48" t="str">
        <f t="shared" si="255"/>
        <v>51201.9230769231</v>
      </c>
      <c r="Q435" s="17" t="str">
        <f t="shared" si="256"/>
        <v>1+43429.2968926979i</v>
      </c>
      <c r="R435" s="17">
        <f t="shared" si="264"/>
        <v>43429.296904210867</v>
      </c>
      <c r="S435" s="17">
        <f t="shared" si="265"/>
        <v>1.5707733008637541</v>
      </c>
      <c r="T435" s="17" t="str">
        <f t="shared" si="257"/>
        <v>1+2.78805362767937E-06i</v>
      </c>
      <c r="U435" s="17">
        <f t="shared" si="266"/>
        <v>1.0000000000038867</v>
      </c>
      <c r="V435" s="17">
        <f t="shared" si="267"/>
        <v>2.7880536276721461E-6</v>
      </c>
      <c r="W435" s="31" t="str">
        <f t="shared" si="258"/>
        <v>1-1.50554895894686i</v>
      </c>
      <c r="X435" s="17">
        <f t="shared" si="268"/>
        <v>1.8073952715955564</v>
      </c>
      <c r="Y435" s="17">
        <f t="shared" si="269"/>
        <v>-0.98449673207603927</v>
      </c>
      <c r="Z435" s="31" t="str">
        <f t="shared" si="259"/>
        <v>-7.75104649579822+91.8740255744071i</v>
      </c>
      <c r="AA435" s="17">
        <f t="shared" si="270"/>
        <v>92.200408334382303</v>
      </c>
      <c r="AB435" s="17">
        <f t="shared" si="271"/>
        <v>1.6549630420375323</v>
      </c>
      <c r="AC435" s="66" t="str">
        <f t="shared" si="272"/>
        <v>-0.0111238889264699+0.0202580798395155i</v>
      </c>
      <c r="AD435" s="64">
        <f t="shared" si="273"/>
        <v>-32.723524566031116</v>
      </c>
      <c r="AE435" s="61">
        <f t="shared" si="274"/>
        <v>118.77157378111856</v>
      </c>
      <c r="AF435" s="31" t="str">
        <f t="shared" si="260"/>
        <v>-1.33333333333333E-06</v>
      </c>
      <c r="AG435" s="31" t="str">
        <f t="shared" si="261"/>
        <v>0.930280560435683i</v>
      </c>
      <c r="AH435" s="31">
        <f t="shared" si="275"/>
        <v>0.93028056043568297</v>
      </c>
      <c r="AI435" s="31">
        <f t="shared" si="276"/>
        <v>1.5707963267948966</v>
      </c>
      <c r="AJ435" s="31" t="str">
        <f t="shared" si="262"/>
        <v>1+3.00808982806565i</v>
      </c>
      <c r="AK435" s="31">
        <f t="shared" si="277"/>
        <v>3.1699533772142501</v>
      </c>
      <c r="AL435" s="31">
        <f t="shared" si="278"/>
        <v>1.2498527964235098</v>
      </c>
      <c r="AM435" s="31" t="str">
        <f t="shared" si="263"/>
        <v>1+3011.09791789372i</v>
      </c>
      <c r="AN435" s="31">
        <f t="shared" si="279"/>
        <v>3011.0980839461031</v>
      </c>
      <c r="AO435" s="31">
        <f t="shared" si="280"/>
        <v>1.5704642220309522</v>
      </c>
      <c r="AP435" s="58" t="str">
        <f t="shared" si="281"/>
        <v>-0.000429051912607724+0.00129205995340102i</v>
      </c>
      <c r="AQ435" s="49">
        <f t="shared" si="282"/>
        <v>-57.320063629953509</v>
      </c>
      <c r="AR435" s="61">
        <f t="shared" si="283"/>
        <v>108.369681550979</v>
      </c>
      <c r="AS435" s="58" t="str">
        <f t="shared" si="284"/>
        <v>-0.0000214019278739007-0.0000230644993088769i</v>
      </c>
      <c r="AT435" s="64">
        <f t="shared" si="285"/>
        <v>-90.04358819598464</v>
      </c>
      <c r="AU435" s="61">
        <f t="shared" si="286"/>
        <v>-132.85874466790239</v>
      </c>
    </row>
    <row r="436" spans="14:47" x14ac:dyDescent="0.3">
      <c r="N436" s="10">
        <v>18</v>
      </c>
      <c r="O436" s="50">
        <f t="shared" si="287"/>
        <v>151356.12484362084</v>
      </c>
      <c r="P436" s="48" t="str">
        <f t="shared" si="255"/>
        <v>51201.9230769231</v>
      </c>
      <c r="Q436" s="17" t="str">
        <f t="shared" si="256"/>
        <v>1+44440.8951699781i</v>
      </c>
      <c r="R436" s="17">
        <f t="shared" si="264"/>
        <v>44440.895181229003</v>
      </c>
      <c r="S436" s="17">
        <f t="shared" si="265"/>
        <v>1.5707738249979366</v>
      </c>
      <c r="T436" s="17" t="str">
        <f t="shared" si="257"/>
        <v>1+2.85299573930724E-06i</v>
      </c>
      <c r="U436" s="17">
        <f t="shared" si="266"/>
        <v>1.0000000000040696</v>
      </c>
      <c r="V436" s="17">
        <f t="shared" si="267"/>
        <v>2.8529957392994994E-6</v>
      </c>
      <c r="W436" s="31" t="str">
        <f t="shared" si="258"/>
        <v>1-1.54061769922591i</v>
      </c>
      <c r="X436" s="17">
        <f t="shared" si="268"/>
        <v>1.8367098015658696</v>
      </c>
      <c r="Y436" s="17">
        <f t="shared" si="269"/>
        <v>-0.99506088205603016</v>
      </c>
      <c r="Z436" s="31" t="str">
        <f t="shared" si="259"/>
        <v>-8.16347061107111+94.0140465429137i</v>
      </c>
      <c r="AA436" s="17">
        <f t="shared" si="270"/>
        <v>94.367808069229667</v>
      </c>
      <c r="AB436" s="17">
        <f t="shared" si="271"/>
        <v>1.6574115300299461</v>
      </c>
      <c r="AC436" s="66" t="str">
        <f t="shared" si="272"/>
        <v>-0.0105365777410565+0.0197947636337207i</v>
      </c>
      <c r="AD436" s="64">
        <f t="shared" si="273"/>
        <v>-32.985596991871738</v>
      </c>
      <c r="AE436" s="61">
        <f t="shared" si="274"/>
        <v>118.02597823520023</v>
      </c>
      <c r="AF436" s="31" t="str">
        <f t="shared" si="260"/>
        <v>-1.33333333333333E-06</v>
      </c>
      <c r="AG436" s="31" t="str">
        <f t="shared" si="261"/>
        <v>0.951949578348847i</v>
      </c>
      <c r="AH436" s="31">
        <f t="shared" si="275"/>
        <v>0.95194957834884697</v>
      </c>
      <c r="AI436" s="31">
        <f t="shared" si="276"/>
        <v>1.5707963267948966</v>
      </c>
      <c r="AJ436" s="31" t="str">
        <f t="shared" si="262"/>
        <v>1+3.0781572412106i</v>
      </c>
      <c r="AK436" s="31">
        <f t="shared" si="277"/>
        <v>3.2365185001197272</v>
      </c>
      <c r="AL436" s="31">
        <f t="shared" si="278"/>
        <v>1.2566822898494951</v>
      </c>
      <c r="AM436" s="31" t="str">
        <f t="shared" si="263"/>
        <v>1+3081.23539845181i</v>
      </c>
      <c r="AN436" s="31">
        <f t="shared" si="279"/>
        <v>3081.2355607243803</v>
      </c>
      <c r="AO436" s="31">
        <f t="shared" si="280"/>
        <v>1.5704717816577765</v>
      </c>
      <c r="AP436" s="58" t="str">
        <f t="shared" si="281"/>
        <v>-0.000411584872521484+0.00126832359013193i</v>
      </c>
      <c r="AQ436" s="49">
        <f t="shared" si="282"/>
        <v>-57.500568032096801</v>
      </c>
      <c r="AR436" s="61">
        <f t="shared" si="283"/>
        <v>107.97881353616935</v>
      </c>
      <c r="AS436" s="58" t="str">
        <f t="shared" si="284"/>
        <v>-0.0000207694696713682-0.0000215110153750188i</v>
      </c>
      <c r="AT436" s="64">
        <f t="shared" si="285"/>
        <v>-90.486165023968539</v>
      </c>
      <c r="AU436" s="61">
        <f t="shared" si="286"/>
        <v>-133.99520822863045</v>
      </c>
    </row>
    <row r="437" spans="14:47" x14ac:dyDescent="0.3">
      <c r="N437" s="10">
        <v>19</v>
      </c>
      <c r="O437" s="50">
        <f t="shared" si="287"/>
        <v>154881.66189124843</v>
      </c>
      <c r="P437" s="48" t="str">
        <f t="shared" si="255"/>
        <v>51201.9230769231</v>
      </c>
      <c r="Q437" s="17" t="str">
        <f t="shared" si="256"/>
        <v>1+45476.0565981223i</v>
      </c>
      <c r="R437" s="17">
        <f t="shared" si="264"/>
        <v>45476.056609117091</v>
      </c>
      <c r="S437" s="17">
        <f t="shared" si="265"/>
        <v>1.5707743372013689</v>
      </c>
      <c r="T437" s="17" t="str">
        <f t="shared" si="257"/>
        <v>1+2.91945054703995E-06i</v>
      </c>
      <c r="U437" s="17">
        <f t="shared" si="266"/>
        <v>1.0000000000042615</v>
      </c>
      <c r="V437" s="17">
        <f t="shared" si="267"/>
        <v>2.9194505470316558E-6</v>
      </c>
      <c r="W437" s="31" t="str">
        <f t="shared" si="258"/>
        <v>1-1.57650329540157i</v>
      </c>
      <c r="X437" s="17">
        <f t="shared" si="268"/>
        <v>1.8669125958148147</v>
      </c>
      <c r="Y437" s="17">
        <f t="shared" si="269"/>
        <v>-1.0055264683779326</v>
      </c>
      <c r="Z437" s="31" t="str">
        <f t="shared" si="259"/>
        <v>-8.59533167607802+96.2039150033204i</v>
      </c>
      <c r="AA437" s="17">
        <f t="shared" si="270"/>
        <v>96.587126412311733</v>
      </c>
      <c r="AB437" s="17">
        <f t="shared" si="271"/>
        <v>1.6599046526314294</v>
      </c>
      <c r="AC437" s="66" t="str">
        <f t="shared" si="272"/>
        <v>-0.00997576934929093+0.0193413854302705i</v>
      </c>
      <c r="AD437" s="64">
        <f t="shared" si="273"/>
        <v>-33.245835704538578</v>
      </c>
      <c r="AE437" s="61">
        <f t="shared" si="274"/>
        <v>117.28347336643695</v>
      </c>
      <c r="AF437" s="31" t="str">
        <f t="shared" si="260"/>
        <v>-1.33333333333333E-06</v>
      </c>
      <c r="AG437" s="31" t="str">
        <f t="shared" si="261"/>
        <v>0.974123332528995i</v>
      </c>
      <c r="AH437" s="31">
        <f t="shared" si="275"/>
        <v>0.97412333252899497</v>
      </c>
      <c r="AI437" s="31">
        <f t="shared" si="276"/>
        <v>1.5707963267948966</v>
      </c>
      <c r="AJ437" s="31" t="str">
        <f t="shared" si="262"/>
        <v>1+3.14985673406907i</v>
      </c>
      <c r="AK437" s="31">
        <f t="shared" si="277"/>
        <v>3.3047840239810329</v>
      </c>
      <c r="AL437" s="31">
        <f t="shared" si="278"/>
        <v>1.2633857365422494</v>
      </c>
      <c r="AM437" s="31" t="str">
        <f t="shared" si="263"/>
        <v>1+3153.00659080314i</v>
      </c>
      <c r="AN437" s="31">
        <f t="shared" si="279"/>
        <v>3153.0067493819352</v>
      </c>
      <c r="AO437" s="31">
        <f t="shared" si="280"/>
        <v>1.5704791692065214</v>
      </c>
      <c r="AP437" s="58" t="str">
        <f t="shared" si="281"/>
        <v>-0.000394756624604588+0.00124479556440478i</v>
      </c>
      <c r="AQ437" s="49">
        <f t="shared" si="282"/>
        <v>-57.681867826496159</v>
      </c>
      <c r="AR437" s="61">
        <f t="shared" si="283"/>
        <v>107.59515760784775</v>
      </c>
      <c r="AS437" s="58" t="str">
        <f t="shared" si="284"/>
        <v>-0.000020138069756884-0.0000200529334651524i</v>
      </c>
      <c r="AT437" s="64">
        <f t="shared" si="285"/>
        <v>-90.927703531034737</v>
      </c>
      <c r="AU437" s="61">
        <f t="shared" si="286"/>
        <v>-135.12136902571541</v>
      </c>
    </row>
    <row r="438" spans="14:47" x14ac:dyDescent="0.3">
      <c r="N438" s="10">
        <v>20</v>
      </c>
      <c r="O438" s="50">
        <f t="shared" si="287"/>
        <v>158489.31924611164</v>
      </c>
      <c r="P438" s="48" t="str">
        <f t="shared" si="255"/>
        <v>51201.9230769231</v>
      </c>
      <c r="Q438" s="17" t="str">
        <f t="shared" si="256"/>
        <v>1+46535.3300334214i</v>
      </c>
      <c r="R438" s="17">
        <f t="shared" si="264"/>
        <v>46535.330044165923</v>
      </c>
      <c r="S438" s="17">
        <f t="shared" si="265"/>
        <v>1.5707748377456274</v>
      </c>
      <c r="T438" s="17" t="str">
        <f t="shared" si="257"/>
        <v>1+2.98745328609619E-06i</v>
      </c>
      <c r="U438" s="17">
        <f t="shared" si="266"/>
        <v>1.0000000000044624</v>
      </c>
      <c r="V438" s="17">
        <f t="shared" si="267"/>
        <v>2.9874532860873024E-6</v>
      </c>
      <c r="W438" s="31" t="str">
        <f t="shared" si="258"/>
        <v>1-1.61322477449194i</v>
      </c>
      <c r="X438" s="17">
        <f t="shared" si="268"/>
        <v>1.8980237546022891</v>
      </c>
      <c r="Y438" s="17">
        <f t="shared" si="269"/>
        <v>-1.0158898695498313</v>
      </c>
      <c r="Z438" s="31" t="str">
        <f t="shared" si="259"/>
        <v>-9.0475457260384+98.444792052871i</v>
      </c>
      <c r="AA438" s="17">
        <f t="shared" si="270"/>
        <v>98.859674114361539</v>
      </c>
      <c r="AB438" s="17">
        <f t="shared" si="271"/>
        <v>1.6624436403451381</v>
      </c>
      <c r="AC438" s="66" t="str">
        <f t="shared" si="272"/>
        <v>-0.00944027489048945+0.0188977430698746i</v>
      </c>
      <c r="AD438" s="64">
        <f t="shared" si="273"/>
        <v>-33.504281131894444</v>
      </c>
      <c r="AE438" s="61">
        <f t="shared" si="274"/>
        <v>116.54419615485156</v>
      </c>
      <c r="AF438" s="31" t="str">
        <f t="shared" si="260"/>
        <v>-1.33333333333333E-06</v>
      </c>
      <c r="AG438" s="31" t="str">
        <f t="shared" si="261"/>
        <v>0.996813579794096i</v>
      </c>
      <c r="AH438" s="31">
        <f t="shared" si="275"/>
        <v>0.99681357979409602</v>
      </c>
      <c r="AI438" s="31">
        <f t="shared" si="276"/>
        <v>1.5707963267948966</v>
      </c>
      <c r="AJ438" s="31" t="str">
        <f t="shared" si="262"/>
        <v>1+3.22322632266122i</v>
      </c>
      <c r="AK438" s="31">
        <f t="shared" si="277"/>
        <v>3.3747870935951161</v>
      </c>
      <c r="AL438" s="31">
        <f t="shared" si="278"/>
        <v>1.2699642800960642</v>
      </c>
      <c r="AM438" s="31" t="str">
        <f t="shared" si="263"/>
        <v>1+3226.44954898388i</v>
      </c>
      <c r="AN438" s="31">
        <f t="shared" si="279"/>
        <v>3226.4497039529815</v>
      </c>
      <c r="AO438" s="31">
        <f t="shared" si="280"/>
        <v>1.57048638859416</v>
      </c>
      <c r="AP438" s="58" t="str">
        <f t="shared" si="281"/>
        <v>-0.000378549635877402+0.00122148874626844i</v>
      </c>
      <c r="AQ438" s="49">
        <f t="shared" si="282"/>
        <v>-57.863933786884971</v>
      </c>
      <c r="AR438" s="61">
        <f t="shared" si="283"/>
        <v>107.21864846731354</v>
      </c>
      <c r="AS438" s="58" t="str">
        <f t="shared" si="284"/>
        <v>-0.0000195097678673469-0.0000186849232984191i</v>
      </c>
      <c r="AT438" s="64">
        <f t="shared" si="285"/>
        <v>-91.368214918779401</v>
      </c>
      <c r="AU438" s="61">
        <f t="shared" si="286"/>
        <v>-136.23715537783499</v>
      </c>
    </row>
    <row r="439" spans="14:47" x14ac:dyDescent="0.3">
      <c r="N439" s="10">
        <v>21</v>
      </c>
      <c r="O439" s="50">
        <f t="shared" si="287"/>
        <v>162181.00973589328</v>
      </c>
      <c r="P439" s="48" t="str">
        <f t="shared" si="255"/>
        <v>51201.9230769231</v>
      </c>
      <c r="Q439" s="17" t="str">
        <f t="shared" si="256"/>
        <v>1+47619.2771166721i</v>
      </c>
      <c r="R439" s="17">
        <f t="shared" si="264"/>
        <v>47619.277127172048</v>
      </c>
      <c r="S439" s="17">
        <f t="shared" si="265"/>
        <v>1.5707753268961078</v>
      </c>
      <c r="T439" s="17" t="str">
        <f t="shared" si="257"/>
        <v>1+3.05704001242833E-06i</v>
      </c>
      <c r="U439" s="17">
        <f t="shared" si="266"/>
        <v>1.0000000000046727</v>
      </c>
      <c r="V439" s="17">
        <f t="shared" si="267"/>
        <v>3.057040012418807E-6</v>
      </c>
      <c r="W439" s="31" t="str">
        <f t="shared" si="258"/>
        <v>1-1.6508016067113i</v>
      </c>
      <c r="X439" s="17">
        <f t="shared" si="268"/>
        <v>1.930063715197146</v>
      </c>
      <c r="Y439" s="17">
        <f t="shared" si="269"/>
        <v>-1.0261476758105497</v>
      </c>
      <c r="Z439" s="31" t="str">
        <f t="shared" si="259"/>
        <v>-9.5210719675815+100.737865834239i</v>
      </c>
      <c r="AA439" s="17">
        <f t="shared" si="270"/>
        <v>101.18679965414957</v>
      </c>
      <c r="AB439" s="17">
        <f t="shared" si="271"/>
        <v>1.6650297416060034</v>
      </c>
      <c r="AC439" s="66" t="str">
        <f t="shared" si="272"/>
        <v>-0.00892895911841192+0.0184636370762348i</v>
      </c>
      <c r="AD439" s="64">
        <f t="shared" si="273"/>
        <v>-33.760974793255166</v>
      </c>
      <c r="AE439" s="61">
        <f t="shared" si="274"/>
        <v>115.80827042217614</v>
      </c>
      <c r="AF439" s="31" t="str">
        <f t="shared" si="260"/>
        <v>-1.33333333333333E-06</v>
      </c>
      <c r="AG439" s="31" t="str">
        <f t="shared" si="261"/>
        <v>1.02003235081359i</v>
      </c>
      <c r="AH439" s="31">
        <f t="shared" si="275"/>
        <v>1.02003235081359</v>
      </c>
      <c r="AI439" s="31">
        <f t="shared" si="276"/>
        <v>1.5707963267948966</v>
      </c>
      <c r="AJ439" s="31" t="str">
        <f t="shared" si="262"/>
        <v>1+3.29830490851408i</v>
      </c>
      <c r="AK439" s="31">
        <f t="shared" si="277"/>
        <v>3.4465657210516198</v>
      </c>
      <c r="AL439" s="31">
        <f t="shared" si="278"/>
        <v>1.2764191301170853</v>
      </c>
      <c r="AM439" s="31" t="str">
        <f t="shared" si="263"/>
        <v>1+3301.6032134226i</v>
      </c>
      <c r="AN439" s="31">
        <f t="shared" si="279"/>
        <v>3301.6033648641742</v>
      </c>
      <c r="AO439" s="31">
        <f t="shared" si="280"/>
        <v>1.5704934436485043</v>
      </c>
      <c r="AP439" s="58" t="str">
        <f t="shared" si="281"/>
        <v>-0.000362946375115474+0.0011984149586551i</v>
      </c>
      <c r="AQ439" s="49">
        <f t="shared" si="282"/>
        <v>-58.046737500481285</v>
      </c>
      <c r="AR439" s="61">
        <f t="shared" si="283"/>
        <v>106.84921702855726</v>
      </c>
      <c r="AS439" s="58" t="str">
        <f t="shared" si="284"/>
        <v>-0.0000188863655177568-0.0000174019083209918i</v>
      </c>
      <c r="AT439" s="64">
        <f t="shared" si="285"/>
        <v>-91.807712293736458</v>
      </c>
      <c r="AU439" s="61">
        <f t="shared" si="286"/>
        <v>-137.34251254926653</v>
      </c>
    </row>
    <row r="440" spans="14:47" x14ac:dyDescent="0.3">
      <c r="N440" s="10">
        <v>22</v>
      </c>
      <c r="O440" s="50">
        <f t="shared" si="287"/>
        <v>165958.69074375604</v>
      </c>
      <c r="P440" s="48" t="str">
        <f t="shared" si="255"/>
        <v>51201.9230769231</v>
      </c>
      <c r="Q440" s="17" t="str">
        <f t="shared" si="256"/>
        <v>1+48728.4725709659i</v>
      </c>
      <c r="R440" s="17">
        <f t="shared" si="264"/>
        <v>48728.472581226844</v>
      </c>
      <c r="S440" s="17">
        <f t="shared" si="265"/>
        <v>1.5707758049121636</v>
      </c>
      <c r="T440" s="17" t="str">
        <f t="shared" si="257"/>
        <v>1+3.12824762183979E-06i</v>
      </c>
      <c r="U440" s="17">
        <f t="shared" si="266"/>
        <v>1.000000000004893</v>
      </c>
      <c r="V440" s="17">
        <f t="shared" si="267"/>
        <v>3.128247621829586E-6</v>
      </c>
      <c r="W440" s="31" t="str">
        <f t="shared" si="258"/>
        <v>1-1.68925371579349i</v>
      </c>
      <c r="X440" s="17">
        <f t="shared" si="268"/>
        <v>1.9630532637506584</v>
      </c>
      <c r="Y440" s="17">
        <f t="shared" si="269"/>
        <v>-1.0362966907449269</v>
      </c>
      <c r="Z440" s="31" t="str">
        <f t="shared" si="259"/>
        <v>-10.0169148133527+103.084352165495i</v>
      </c>
      <c r="AA440" s="17">
        <f t="shared" si="270"/>
        <v>103.56989062347105</v>
      </c>
      <c r="AB440" s="17">
        <f t="shared" si="271"/>
        <v>1.6676642230008647</v>
      </c>
      <c r="AC440" s="66" t="str">
        <f t="shared" si="272"/>
        <v>-0.00844073799847021+0.0180388707205338i</v>
      </c>
      <c r="AD440" s="64">
        <f t="shared" si="273"/>
        <v>-34.015959193611764</v>
      </c>
      <c r="AE440" s="61">
        <f t="shared" si="274"/>
        <v>115.07580672668277</v>
      </c>
      <c r="AF440" s="31" t="str">
        <f t="shared" si="260"/>
        <v>-1.33333333333333E-06</v>
      </c>
      <c r="AG440" s="31" t="str">
        <f t="shared" si="261"/>
        <v>1.04379195648721i</v>
      </c>
      <c r="AH440" s="31">
        <f t="shared" si="275"/>
        <v>1.04379195648721</v>
      </c>
      <c r="AI440" s="31">
        <f t="shared" si="276"/>
        <v>1.5707963267948966</v>
      </c>
      <c r="AJ440" s="31" t="str">
        <f t="shared" si="262"/>
        <v>1+3.37513229928768i</v>
      </c>
      <c r="AK440" s="31">
        <f t="shared" si="277"/>
        <v>3.5201588085901663</v>
      </c>
      <c r="AL440" s="31">
        <f t="shared" si="278"/>
        <v>1.2827515567295151</v>
      </c>
      <c r="AM440" s="31" t="str">
        <f t="shared" si="263"/>
        <v>1+3378.50743158697i</v>
      </c>
      <c r="AN440" s="31">
        <f t="shared" si="279"/>
        <v>3378.5075795813136</v>
      </c>
      <c r="AO440" s="31">
        <f t="shared" si="280"/>
        <v>1.5705003381102345</v>
      </c>
      <c r="AP440" s="58" t="str">
        <f t="shared" si="281"/>
        <v>-0.000347929360198354+0.00117558501523728i</v>
      </c>
      <c r="AQ440" s="49">
        <f t="shared" si="282"/>
        <v>-58.230251366792359</v>
      </c>
      <c r="AR440" s="61">
        <f t="shared" si="283"/>
        <v>106.48679073314786</v>
      </c>
      <c r="AS440" s="58" t="str">
        <f t="shared" si="284"/>
        <v>-0.0000182694455394524-0.0000161990578570416i</v>
      </c>
      <c r="AT440" s="64">
        <f t="shared" si="285"/>
        <v>-92.246210560404123</v>
      </c>
      <c r="AU440" s="61">
        <f t="shared" si="286"/>
        <v>-138.43740254016947</v>
      </c>
    </row>
    <row r="441" spans="14:47" x14ac:dyDescent="0.3">
      <c r="N441" s="10">
        <v>23</v>
      </c>
      <c r="O441" s="50">
        <f t="shared" si="287"/>
        <v>169824.36524617471</v>
      </c>
      <c r="P441" s="48" t="str">
        <f t="shared" si="255"/>
        <v>51201.9230769231</v>
      </c>
      <c r="Q441" s="17" t="str">
        <f t="shared" si="256"/>
        <v>1+49863.5045064143i</v>
      </c>
      <c r="R441" s="17">
        <f t="shared" si="264"/>
        <v>49863.504516441673</v>
      </c>
      <c r="S441" s="17">
        <f t="shared" si="265"/>
        <v>1.5707762720472458</v>
      </c>
      <c r="T441" s="17" t="str">
        <f t="shared" si="257"/>
        <v>1+3.20111386954758E-06i</v>
      </c>
      <c r="U441" s="17">
        <f t="shared" si="266"/>
        <v>1.0000000000051235</v>
      </c>
      <c r="V441" s="17">
        <f t="shared" si="267"/>
        <v>3.2011138695366461E-6</v>
      </c>
      <c r="W441" s="31" t="str">
        <f t="shared" si="258"/>
        <v>1-1.72860148955569i</v>
      </c>
      <c r="X441" s="17">
        <f t="shared" si="268"/>
        <v>1.9970135476992013</v>
      </c>
      <c r="Y441" s="17">
        <f t="shared" si="269"/>
        <v>-1.0463339320073506</v>
      </c>
      <c r="Z441" s="31" t="str">
        <f t="shared" si="259"/>
        <v>-10.5361260125064+105.485495184753i</v>
      </c>
      <c r="AA441" s="17">
        <f t="shared" si="270"/>
        <v>106.01037517962081</v>
      </c>
      <c r="AB441" s="17">
        <f t="shared" si="271"/>
        <v>1.6703483694685861</v>
      </c>
      <c r="AC441" s="66" t="str">
        <f t="shared" si="272"/>
        <v>-0.00797457641293806+0.017623250076346i</v>
      </c>
      <c r="AD441" s="64">
        <f t="shared" si="273"/>
        <v>-34.26927771972651</v>
      </c>
      <c r="AE441" s="61">
        <f t="shared" si="274"/>
        <v>114.34690231025581</v>
      </c>
      <c r="AF441" s="31" t="str">
        <f t="shared" si="260"/>
        <v>-1.33333333333333E-06</v>
      </c>
      <c r="AG441" s="31" t="str">
        <f t="shared" si="261"/>
        <v>1.06810499447238i</v>
      </c>
      <c r="AH441" s="31">
        <f t="shared" si="275"/>
        <v>1.0681049944723799</v>
      </c>
      <c r="AI441" s="31">
        <f t="shared" si="276"/>
        <v>1.5707963267948966</v>
      </c>
      <c r="AJ441" s="31" t="str">
        <f t="shared" si="262"/>
        <v>1+3.4537492298815i</v>
      </c>
      <c r="AK441" s="31">
        <f t="shared" si="277"/>
        <v>3.5956061718307044</v>
      </c>
      <c r="AL441" s="31">
        <f t="shared" si="278"/>
        <v>1.2889628852867385</v>
      </c>
      <c r="AM441" s="31" t="str">
        <f t="shared" si="263"/>
        <v>1+3457.20297911139i</v>
      </c>
      <c r="AN441" s="31">
        <f t="shared" si="279"/>
        <v>3457.2031237369711</v>
      </c>
      <c r="AO441" s="31">
        <f t="shared" si="280"/>
        <v>1.5705070756348827</v>
      </c>
      <c r="AP441" s="58" t="str">
        <f t="shared" si="281"/>
        <v>-0.000333481201399742+0.0011530087592437i</v>
      </c>
      <c r="AQ441" s="49">
        <f t="shared" si="282"/>
        <v>-58.414448594317122</v>
      </c>
      <c r="AR441" s="61">
        <f t="shared" si="283"/>
        <v>106.13129385337648</v>
      </c>
      <c r="AS441" s="58" t="str">
        <f t="shared" si="284"/>
        <v>-0.0000176603903815285-0.0000150717790634037i</v>
      </c>
      <c r="AT441" s="64">
        <f t="shared" si="285"/>
        <v>-92.683726314043639</v>
      </c>
      <c r="AU441" s="61">
        <f t="shared" si="286"/>
        <v>-139.52180383636778</v>
      </c>
    </row>
    <row r="442" spans="14:47" x14ac:dyDescent="0.3">
      <c r="N442" s="10">
        <v>24</v>
      </c>
      <c r="O442" s="50">
        <f t="shared" si="287"/>
        <v>173780.0828749378</v>
      </c>
      <c r="P442" s="48" t="str">
        <f t="shared" si="255"/>
        <v>51201.9230769231</v>
      </c>
      <c r="Q442" s="17" t="str">
        <f t="shared" si="256"/>
        <v>1+51024.9747319737i</v>
      </c>
      <c r="R442" s="17">
        <f t="shared" si="264"/>
        <v>51024.974741772814</v>
      </c>
      <c r="S442" s="17">
        <f t="shared" si="265"/>
        <v>1.5707767285490351</v>
      </c>
      <c r="T442" s="17" t="str">
        <f t="shared" si="257"/>
        <v>1+3.27567739020078E-06i</v>
      </c>
      <c r="U442" s="17">
        <f t="shared" si="266"/>
        <v>1.000000000005365</v>
      </c>
      <c r="V442" s="17">
        <f t="shared" si="267"/>
        <v>3.2756773901890639E-6</v>
      </c>
      <c r="W442" s="31" t="str">
        <f t="shared" si="258"/>
        <v>1-1.76886579070842i</v>
      </c>
      <c r="X442" s="17">
        <f t="shared" si="268"/>
        <v>2.031966088678284</v>
      </c>
      <c r="Y442" s="17">
        <f t="shared" si="269"/>
        <v>-1.0562566311926342</v>
      </c>
      <c r="Z442" s="31" t="str">
        <f t="shared" si="259"/>
        <v>-11.0798068816081+107.942568009823i</v>
      </c>
      <c r="AA442" s="17">
        <f t="shared" si="270"/>
        <v>108.50972356931427</v>
      </c>
      <c r="AB442" s="17">
        <f t="shared" si="271"/>
        <v>1.6730834844784075</v>
      </c>
      <c r="AC442" s="66" t="str">
        <f t="shared" si="272"/>
        <v>-0.00752948596933425+0.0172165840657596i</v>
      </c>
      <c r="AD442" s="64">
        <f t="shared" si="273"/>
        <v>-34.520974538670387</v>
      </c>
      <c r="AE442" s="61">
        <f t="shared" si="274"/>
        <v>113.62164109556454</v>
      </c>
      <c r="AF442" s="31" t="str">
        <f t="shared" si="260"/>
        <v>-1.33333333333333E-06</v>
      </c>
      <c r="AG442" s="31" t="str">
        <f t="shared" si="261"/>
        <v>1.09298435586366i</v>
      </c>
      <c r="AH442" s="31">
        <f t="shared" si="275"/>
        <v>1.0929843558636601</v>
      </c>
      <c r="AI442" s="31">
        <f t="shared" si="276"/>
        <v>1.5707963267948966</v>
      </c>
      <c r="AJ442" s="31" t="str">
        <f t="shared" si="262"/>
        <v>1+3.53419738403281i</v>
      </c>
      <c r="AK442" s="31">
        <f t="shared" si="277"/>
        <v>3.6729485633894132</v>
      </c>
      <c r="AL442" s="31">
        <f t="shared" si="278"/>
        <v>1.295054491291701</v>
      </c>
      <c r="AM442" s="31" t="str">
        <f t="shared" si="263"/>
        <v>1+3537.73158141684i</v>
      </c>
      <c r="AN442" s="31">
        <f t="shared" si="279"/>
        <v>3537.7317227503409</v>
      </c>
      <c r="AO442" s="31">
        <f t="shared" si="280"/>
        <v>1.5705136597947718</v>
      </c>
      <c r="AP442" s="58" t="str">
        <f t="shared" si="281"/>
        <v>-0.000319584640762723+0.00113069510293217i</v>
      </c>
      <c r="AQ442" s="49">
        <f t="shared" si="282"/>
        <v>-58.599303195332304</v>
      </c>
      <c r="AR442" s="61">
        <f t="shared" si="283"/>
        <v>105.78264778340895</v>
      </c>
      <c r="AS442" s="58" t="str">
        <f t="shared" si="284"/>
        <v>-0.0000170603992237368-0.0000140157087469397i</v>
      </c>
      <c r="AT442" s="64">
        <f t="shared" si="285"/>
        <v>-93.120277734002684</v>
      </c>
      <c r="AU442" s="61">
        <f t="shared" si="286"/>
        <v>-140.59571112102662</v>
      </c>
    </row>
    <row r="443" spans="14:47" x14ac:dyDescent="0.3">
      <c r="N443" s="10">
        <v>25</v>
      </c>
      <c r="O443" s="50">
        <f t="shared" si="287"/>
        <v>177827.94100389251</v>
      </c>
      <c r="P443" s="48" t="str">
        <f t="shared" si="255"/>
        <v>51201.9230769231</v>
      </c>
      <c r="Q443" s="17" t="str">
        <f t="shared" si="256"/>
        <v>1+52213.4990745314i</v>
      </c>
      <c r="R443" s="17">
        <f t="shared" si="264"/>
        <v>52213.499084107469</v>
      </c>
      <c r="S443" s="17">
        <f t="shared" si="265"/>
        <v>1.5707771746595753</v>
      </c>
      <c r="T443" s="17" t="str">
        <f t="shared" si="257"/>
        <v>1+3.35197771836498E-06i</v>
      </c>
      <c r="U443" s="17">
        <f t="shared" si="266"/>
        <v>1.0000000000056177</v>
      </c>
      <c r="V443" s="17">
        <f t="shared" si="267"/>
        <v>3.351977718352426E-6</v>
      </c>
      <c r="W443" s="31" t="str">
        <f t="shared" si="258"/>
        <v>1-1.81006796791709i</v>
      </c>
      <c r="X443" s="17">
        <f t="shared" si="268"/>
        <v>2.0679327959291864</v>
      </c>
      <c r="Y443" s="17">
        <f t="shared" si="269"/>
        <v>-1.0660622328977063</v>
      </c>
      <c r="Z443" s="31" t="str">
        <f t="shared" si="259"/>
        <v>-11.6491106406737+110.456873413241i</v>
      </c>
      <c r="AA443" s="17">
        <f t="shared" si="270"/>
        <v>111.06944972830019</v>
      </c>
      <c r="AB443" s="17">
        <f t="shared" si="271"/>
        <v>1.6758708901845618</v>
      </c>
      <c r="AC443" s="66" t="str">
        <f t="shared" si="272"/>
        <v>-0.00710452290736598+0.0168186844974325i</v>
      </c>
      <c r="AD443" s="64">
        <f t="shared" si="273"/>
        <v>-34.771094499324889</v>
      </c>
      <c r="AE443" s="61">
        <f t="shared" si="274"/>
        <v>112.90009373096004</v>
      </c>
      <c r="AF443" s="31" t="str">
        <f t="shared" si="260"/>
        <v>-1.33333333333333E-06</v>
      </c>
      <c r="AG443" s="31" t="str">
        <f t="shared" si="261"/>
        <v>1.11844323202778i</v>
      </c>
      <c r="AH443" s="31">
        <f t="shared" si="275"/>
        <v>1.11844323202778</v>
      </c>
      <c r="AI443" s="31">
        <f t="shared" si="276"/>
        <v>1.5707963267948966</v>
      </c>
      <c r="AJ443" s="31" t="str">
        <f t="shared" si="262"/>
        <v>1+3.61651941641776i</v>
      </c>
      <c r="AK443" s="31">
        <f t="shared" si="277"/>
        <v>3.7522276968924282</v>
      </c>
      <c r="AL443" s="31">
        <f t="shared" si="278"/>
        <v>1.301027795529256</v>
      </c>
      <c r="AM443" s="31" t="str">
        <f t="shared" si="263"/>
        <v>1+3620.13593583418i</v>
      </c>
      <c r="AN443" s="31">
        <f t="shared" si="279"/>
        <v>3620.136073950538</v>
      </c>
      <c r="AO443" s="31">
        <f t="shared" si="280"/>
        <v>1.5705200940809074</v>
      </c>
      <c r="AP443" s="58" t="str">
        <f t="shared" si="281"/>
        <v>-0.000306222587716854+0.00110865206744526i</v>
      </c>
      <c r="AQ443" s="49">
        <f t="shared" si="282"/>
        <v>-58.784789978939287</v>
      </c>
      <c r="AR443" s="61">
        <f t="shared" si="283"/>
        <v>105.44077131828914</v>
      </c>
      <c r="AS443" s="58" t="str">
        <f t="shared" si="284"/>
        <v>-0.0000164705039506008-0.0000130267050982606i</v>
      </c>
      <c r="AT443" s="64">
        <f t="shared" si="285"/>
        <v>-93.55588447826419</v>
      </c>
      <c r="AU443" s="61">
        <f t="shared" si="286"/>
        <v>-141.65913495075085</v>
      </c>
    </row>
    <row r="444" spans="14:47" x14ac:dyDescent="0.3">
      <c r="N444" s="10">
        <v>26</v>
      </c>
      <c r="O444" s="50">
        <f t="shared" si="287"/>
        <v>181970.08586099857</v>
      </c>
      <c r="P444" s="48" t="str">
        <f t="shared" si="255"/>
        <v>51201.9230769231</v>
      </c>
      <c r="Q444" s="17" t="str">
        <f t="shared" si="256"/>
        <v>1+53429.7077054253i</v>
      </c>
      <c r="R444" s="17">
        <f t="shared" si="264"/>
        <v>53429.707714783392</v>
      </c>
      <c r="S444" s="17">
        <f t="shared" si="265"/>
        <v>1.5707776106153997</v>
      </c>
      <c r="T444" s="17" t="str">
        <f t="shared" si="257"/>
        <v>1+3.43005530948409E-06i</v>
      </c>
      <c r="U444" s="17">
        <f t="shared" si="266"/>
        <v>1.0000000000058826</v>
      </c>
      <c r="V444" s="17">
        <f t="shared" si="267"/>
        <v>3.4300553094706382E-6</v>
      </c>
      <c r="W444" s="31" t="str">
        <f t="shared" si="258"/>
        <v>1-1.85222986712141i</v>
      </c>
      <c r="X444" s="17">
        <f t="shared" si="268"/>
        <v>2.1049359801800613</v>
      </c>
      <c r="Y444" s="17">
        <f t="shared" si="269"/>
        <v>-1.0757483930215488</v>
      </c>
      <c r="Z444" s="31" t="str">
        <f t="shared" si="259"/>
        <v>-12.2452448593036+113.029744513011i</v>
      </c>
      <c r="AA444" s="17">
        <f t="shared" si="270"/>
        <v>113.69111296113184</v>
      </c>
      <c r="AB444" s="17">
        <f t="shared" si="271"/>
        <v>1.678711927555161</v>
      </c>
      <c r="AC444" s="66" t="str">
        <f t="shared" si="272"/>
        <v>-0.00669878610002308+0.0164293660972711i</v>
      </c>
      <c r="AD444" s="64">
        <f t="shared" si="273"/>
        <v>-35.019683037312795</v>
      </c>
      <c r="AE444" s="61">
        <f t="shared" si="274"/>
        <v>112.18231768048933</v>
      </c>
      <c r="AF444" s="31" t="str">
        <f t="shared" si="260"/>
        <v>-1.33333333333333E-06</v>
      </c>
      <c r="AG444" s="31" t="str">
        <f t="shared" si="261"/>
        <v>1.14449512159786i</v>
      </c>
      <c r="AH444" s="31">
        <f t="shared" si="275"/>
        <v>1.14449512159786</v>
      </c>
      <c r="AI444" s="31">
        <f t="shared" si="276"/>
        <v>1.5707963267948966</v>
      </c>
      <c r="AJ444" s="31" t="str">
        <f t="shared" si="262"/>
        <v>1+3.70075897526754i</v>
      </c>
      <c r="AK444" s="31">
        <f t="shared" si="277"/>
        <v>3.8334862714014322</v>
      </c>
      <c r="AL444" s="31">
        <f t="shared" si="278"/>
        <v>1.306884259411899</v>
      </c>
      <c r="AM444" s="31" t="str">
        <f t="shared" si="263"/>
        <v>1+3704.45973424282i</v>
      </c>
      <c r="AN444" s="31">
        <f t="shared" si="279"/>
        <v>3704.4598692152658</v>
      </c>
      <c r="AO444" s="31">
        <f t="shared" si="280"/>
        <v>1.5705263819048318</v>
      </c>
      <c r="AP444" s="58" t="str">
        <f t="shared" si="281"/>
        <v>-0.000293378151103718+0.00108688682280093i</v>
      </c>
      <c r="AQ444" s="49">
        <f t="shared" si="282"/>
        <v>-58.970884542543239</v>
      </c>
      <c r="AR444" s="61">
        <f t="shared" si="283"/>
        <v>105.10558092071612</v>
      </c>
      <c r="AS444" s="58" t="str">
        <f t="shared" si="284"/>
        <v>-0.0000158915840374322-0.0000121008393903006i</v>
      </c>
      <c r="AT444" s="64">
        <f t="shared" si="285"/>
        <v>-93.990567579856048</v>
      </c>
      <c r="AU444" s="61">
        <f t="shared" si="286"/>
        <v>-142.71210139879449</v>
      </c>
    </row>
    <row r="445" spans="14:47" x14ac:dyDescent="0.3">
      <c r="N445" s="10">
        <v>27</v>
      </c>
      <c r="O445" s="50">
        <f t="shared" si="287"/>
        <v>186208.71366628664</v>
      </c>
      <c r="P445" s="48" t="str">
        <f t="shared" si="255"/>
        <v>51201.9230769231</v>
      </c>
      <c r="Q445" s="17" t="str">
        <f t="shared" si="256"/>
        <v>1+54674.2454745707i</v>
      </c>
      <c r="R445" s="17">
        <f t="shared" si="264"/>
        <v>54674.245483715778</v>
      </c>
      <c r="S445" s="17">
        <f t="shared" si="265"/>
        <v>1.570778036647658</v>
      </c>
      <c r="T445" s="17" t="str">
        <f t="shared" si="257"/>
        <v>1+3.50995156133046E-06i</v>
      </c>
      <c r="U445" s="17">
        <f t="shared" si="266"/>
        <v>1.00000000000616</v>
      </c>
      <c r="V445" s="17">
        <f t="shared" si="267"/>
        <v>3.509951561316046E-6</v>
      </c>
      <c r="W445" s="31" t="str">
        <f t="shared" si="258"/>
        <v>1-1.89537384311845i</v>
      </c>
      <c r="X445" s="17">
        <f t="shared" si="268"/>
        <v>2.1429983679829538</v>
      </c>
      <c r="Y445" s="17">
        <f t="shared" si="269"/>
        <v>-1.085312976353684</v>
      </c>
      <c r="Z445" s="31" t="str">
        <f t="shared" si="259"/>
        <v>-12.8694740181012+115.662545479448i</v>
      </c>
      <c r="AA445" s="17">
        <f t="shared" si="270"/>
        <v>116.37631970589187</v>
      </c>
      <c r="AB445" s="17">
        <f t="shared" si="271"/>
        <v>1.6816079564731645</v>
      </c>
      <c r="AC445" s="66" t="str">
        <f t="shared" si="272"/>
        <v>-0.00631141514460892+0.0160484465323568i</v>
      </c>
      <c r="AD445" s="64">
        <f t="shared" si="273"/>
        <v>-35.26678608377712</v>
      </c>
      <c r="AE445" s="61">
        <f t="shared" si="274"/>
        <v>111.46835735627502</v>
      </c>
      <c r="AF445" s="31" t="str">
        <f t="shared" si="260"/>
        <v>-1.33333333333333E-06</v>
      </c>
      <c r="AG445" s="31" t="str">
        <f t="shared" si="261"/>
        <v>1.1711538376306i</v>
      </c>
      <c r="AH445" s="31">
        <f t="shared" si="275"/>
        <v>1.1711538376306001</v>
      </c>
      <c r="AI445" s="31">
        <f t="shared" si="276"/>
        <v>1.5707963267948966</v>
      </c>
      <c r="AJ445" s="31" t="str">
        <f t="shared" si="262"/>
        <v>1+3.78696072551138i</v>
      </c>
      <c r="AK445" s="31">
        <f t="shared" si="277"/>
        <v>3.9167679962649919</v>
      </c>
      <c r="AL445" s="31">
        <f t="shared" si="278"/>
        <v>1.3126253805389887</v>
      </c>
      <c r="AM445" s="31" t="str">
        <f t="shared" si="263"/>
        <v>1+3790.7476862369i</v>
      </c>
      <c r="AN445" s="31">
        <f t="shared" si="279"/>
        <v>3790.7478181369975</v>
      </c>
      <c r="AO445" s="31">
        <f t="shared" si="280"/>
        <v>1.57053252660043</v>
      </c>
      <c r="AP445" s="58" t="str">
        <f t="shared" si="281"/>
        <v>-0.000281034667784798+0.00106540572779631i</v>
      </c>
      <c r="AQ445" s="49">
        <f t="shared" si="282"/>
        <v>-59.157563261925922</v>
      </c>
      <c r="AR445" s="61">
        <f t="shared" si="283"/>
        <v>104.77699097558467</v>
      </c>
      <c r="AS445" s="58" t="str">
        <f t="shared" si="284"/>
        <v>-0.0000153243803993886-0.0000112343876852497i</v>
      </c>
      <c r="AT445" s="64">
        <f t="shared" si="285"/>
        <v>-94.424349345703064</v>
      </c>
      <c r="AU445" s="61">
        <f t="shared" si="286"/>
        <v>-143.75465166814021</v>
      </c>
    </row>
    <row r="446" spans="14:47" x14ac:dyDescent="0.3">
      <c r="N446" s="10">
        <v>28</v>
      </c>
      <c r="O446" s="50">
        <f t="shared" si="287"/>
        <v>190546.07179632492</v>
      </c>
      <c r="P446" s="48" t="str">
        <f t="shared" si="255"/>
        <v>51201.9230769231</v>
      </c>
      <c r="Q446" s="17" t="str">
        <f t="shared" si="256"/>
        <v>1+55947.7722523663i</v>
      </c>
      <c r="R446" s="17">
        <f t="shared" si="264"/>
        <v>55947.772261303217</v>
      </c>
      <c r="S446" s="17">
        <f t="shared" si="265"/>
        <v>1.5707784529822382</v>
      </c>
      <c r="T446" s="17" t="str">
        <f t="shared" si="257"/>
        <v>1+3.59170883595438E-06i</v>
      </c>
      <c r="U446" s="17">
        <f t="shared" si="266"/>
        <v>1.0000000000064502</v>
      </c>
      <c r="V446" s="17">
        <f t="shared" si="267"/>
        <v>3.591708835938935E-6</v>
      </c>
      <c r="W446" s="31" t="str">
        <f t="shared" si="258"/>
        <v>1-1.93952277141537i</v>
      </c>
      <c r="X446" s="17">
        <f t="shared" si="268"/>
        <v>2.1821431164886409</v>
      </c>
      <c r="Y446" s="17">
        <f t="shared" si="269"/>
        <v>-1.0947540535038169</v>
      </c>
      <c r="Z446" s="31" t="str">
        <f t="shared" si="259"/>
        <v>-13.5231221908043+118.356672258474i</v>
      </c>
      <c r="AA446" s="17">
        <f t="shared" si="270"/>
        <v>119.12672538892042</v>
      </c>
      <c r="AB446" s="17">
        <f t="shared" si="271"/>
        <v>1.6845603558070954</v>
      </c>
      <c r="AC446" s="66" t="str">
        <f t="shared" si="272"/>
        <v>-0.00594158853968342+0.0156757464287157i</v>
      </c>
      <c r="AD446" s="64">
        <f t="shared" si="273"/>
        <v>-35.512449978367343</v>
      </c>
      <c r="AE446" s="61">
        <f t="shared" si="274"/>
        <v>110.75824429037597</v>
      </c>
      <c r="AF446" s="31" t="str">
        <f t="shared" si="260"/>
        <v>-1.33333333333333E-06</v>
      </c>
      <c r="AG446" s="31" t="str">
        <f t="shared" si="261"/>
        <v>1.19843351493011i</v>
      </c>
      <c r="AH446" s="31">
        <f t="shared" si="275"/>
        <v>1.19843351493011</v>
      </c>
      <c r="AI446" s="31">
        <f t="shared" si="276"/>
        <v>1.5707963267948966</v>
      </c>
      <c r="AJ446" s="31" t="str">
        <f t="shared" si="262"/>
        <v>1+3.87517037245827i</v>
      </c>
      <c r="AK446" s="31">
        <f t="shared" si="277"/>
        <v>4.0021176164098886</v>
      </c>
      <c r="AL446" s="31">
        <f t="shared" si="278"/>
        <v>1.3182526884684189</v>
      </c>
      <c r="AM446" s="31" t="str">
        <f t="shared" si="263"/>
        <v>1+3879.04554283073i</v>
      </c>
      <c r="AN446" s="31">
        <f t="shared" si="279"/>
        <v>3879.0456717284155</v>
      </c>
      <c r="AO446" s="31">
        <f t="shared" si="280"/>
        <v>1.5705385314256992</v>
      </c>
      <c r="AP446" s="58" t="str">
        <f t="shared" si="281"/>
        <v>-0.000269175728010426+0.00104421436962704i</v>
      </c>
      <c r="AQ446" s="49">
        <f t="shared" si="282"/>
        <v>-59.344803280067893</v>
      </c>
      <c r="AR446" s="61">
        <f t="shared" si="283"/>
        <v>104.45491403235239</v>
      </c>
      <c r="AS446" s="58" t="str">
        <f t="shared" si="284"/>
        <v>-0.000014769508254787-0.0000104238225886052i</v>
      </c>
      <c r="AT446" s="64">
        <f t="shared" si="285"/>
        <v>-94.857253258435207</v>
      </c>
      <c r="AU446" s="61">
        <f t="shared" si="286"/>
        <v>-144.7868416772715</v>
      </c>
    </row>
    <row r="447" spans="14:47" x14ac:dyDescent="0.3">
      <c r="N447" s="10">
        <v>29</v>
      </c>
      <c r="O447" s="50">
        <f t="shared" si="287"/>
        <v>194984.45997580473</v>
      </c>
      <c r="P447" s="48" t="str">
        <f t="shared" si="255"/>
        <v>51201.9230769231</v>
      </c>
      <c r="Q447" s="17" t="str">
        <f t="shared" si="256"/>
        <v>1+57250.9632795658i</v>
      </c>
      <c r="R447" s="17">
        <f t="shared" si="264"/>
        <v>57250.963288299281</v>
      </c>
      <c r="S447" s="17">
        <f t="shared" si="265"/>
        <v>1.5707788598398864</v>
      </c>
      <c r="T447" s="17" t="str">
        <f t="shared" si="257"/>
        <v>1+3.67537048214496E-06i</v>
      </c>
      <c r="U447" s="17">
        <f t="shared" si="266"/>
        <v>1.0000000000067542</v>
      </c>
      <c r="V447" s="17">
        <f t="shared" si="267"/>
        <v>3.6753704821284105E-6</v>
      </c>
      <c r="W447" s="31" t="str">
        <f t="shared" si="258"/>
        <v>1-1.98470006035828i</v>
      </c>
      <c r="X447" s="17">
        <f t="shared" si="268"/>
        <v>2.2223938286420255</v>
      </c>
      <c r="Y447" s="17">
        <f t="shared" si="269"/>
        <v>-1.104069897226895</v>
      </c>
      <c r="Z447" s="31" t="str">
        <f t="shared" si="259"/>
        <v>-14.2075758528224+121.113553311766i</v>
      </c>
      <c r="AA447" s="17">
        <f t="shared" si="270"/>
        <v>121.94403637495228</v>
      </c>
      <c r="AB447" s="17">
        <f t="shared" si="271"/>
        <v>1.6875705234490683</v>
      </c>
      <c r="AC447" s="66" t="str">
        <f t="shared" si="272"/>
        <v>-0.00558852194406759+0.0153110893834772i</v>
      </c>
      <c r="AD447" s="64">
        <f t="shared" si="273"/>
        <v>-35.756721386743848</v>
      </c>
      <c r="AE447" s="61">
        <f t="shared" si="274"/>
        <v>110.05199734316128</v>
      </c>
      <c r="AF447" s="31" t="str">
        <f t="shared" si="260"/>
        <v>-1.33333333333333E-06</v>
      </c>
      <c r="AG447" s="31" t="str">
        <f t="shared" si="261"/>
        <v>1.22634861754237i</v>
      </c>
      <c r="AH447" s="31">
        <f t="shared" si="275"/>
        <v>1.2263486175423699</v>
      </c>
      <c r="AI447" s="31">
        <f t="shared" si="276"/>
        <v>1.5707963267948966</v>
      </c>
      <c r="AJ447" s="31" t="str">
        <f t="shared" si="262"/>
        <v>1+3.96543468603052i</v>
      </c>
      <c r="AK447" s="31">
        <f t="shared" si="277"/>
        <v>4.0895809380881518</v>
      </c>
      <c r="AL447" s="31">
        <f t="shared" si="278"/>
        <v>1.3237677406987947</v>
      </c>
      <c r="AM447" s="31" t="str">
        <f t="shared" si="263"/>
        <v>1+3969.40012071656i</v>
      </c>
      <c r="AN447" s="31">
        <f t="shared" si="279"/>
        <v>3969.4002466801758</v>
      </c>
      <c r="AO447" s="31">
        <f t="shared" si="280"/>
        <v>1.5705443995644759</v>
      </c>
      <c r="AP447" s="58" t="str">
        <f t="shared" si="281"/>
        <v>-0.000257785197731125+0.00102331760304826i</v>
      </c>
      <c r="AQ447" s="49">
        <f t="shared" si="282"/>
        <v>-59.532582494864869</v>
      </c>
      <c r="AR447" s="61">
        <f t="shared" si="283"/>
        <v>104.13926103534321</v>
      </c>
      <c r="AS447" s="58" t="str">
        <f t="shared" si="284"/>
        <v>-0.0000142274690535814-9.66580508458445E-06i</v>
      </c>
      <c r="AT447" s="64">
        <f t="shared" si="285"/>
        <v>-95.289303881608703</v>
      </c>
      <c r="AU447" s="61">
        <f t="shared" si="286"/>
        <v>-145.80874162149559</v>
      </c>
    </row>
    <row r="448" spans="14:47" x14ac:dyDescent="0.3">
      <c r="N448" s="10">
        <v>30</v>
      </c>
      <c r="O448" s="50">
        <f t="shared" si="287"/>
        <v>199526.23149688813</v>
      </c>
      <c r="P448" s="48" t="str">
        <f t="shared" si="255"/>
        <v>51201.9230769231</v>
      </c>
      <c r="Q448" s="17" t="str">
        <f t="shared" si="256"/>
        <v>1+58584.5095253025i</v>
      </c>
      <c r="R448" s="17">
        <f t="shared" si="264"/>
        <v>58584.509533837176</v>
      </c>
      <c r="S448" s="17">
        <f t="shared" si="265"/>
        <v>1.5707792574363237</v>
      </c>
      <c r="T448" s="17" t="str">
        <f t="shared" si="257"/>
        <v>1+3.76098085841448E-06i</v>
      </c>
      <c r="U448" s="17">
        <f t="shared" si="266"/>
        <v>1.0000000000070726</v>
      </c>
      <c r="V448" s="17">
        <f t="shared" si="267"/>
        <v>3.7609808583967471E-6</v>
      </c>
      <c r="W448" s="31" t="str">
        <f t="shared" si="258"/>
        <v>1-2.03092966354382i</v>
      </c>
      <c r="X448" s="17">
        <f t="shared" si="268"/>
        <v>2.2637745687815767</v>
      </c>
      <c r="Y448" s="17">
        <f t="shared" si="269"/>
        <v>-1.1132589781987559</v>
      </c>
      <c r="Z448" s="31" t="str">
        <f t="shared" si="259"/>
        <v>-14.9242868221399+123.934650374152i</v>
      </c>
      <c r="AA448" s="17">
        <f t="shared" si="270"/>
        <v>124.83001201839562</v>
      </c>
      <c r="AB448" s="17">
        <f t="shared" si="271"/>
        <v>1.6906398763175348</v>
      </c>
      <c r="AC448" s="66" t="str">
        <f t="shared" si="272"/>
        <v>-0.00525146651423185+0.0149543019719336i</v>
      </c>
      <c r="AD448" s="64">
        <f t="shared" si="273"/>
        <v>-35.999647222856836</v>
      </c>
      <c r="AE448" s="61">
        <f t="shared" si="274"/>
        <v>109.34962294518581</v>
      </c>
      <c r="AF448" s="31" t="str">
        <f t="shared" si="260"/>
        <v>-1.33333333333333E-06</v>
      </c>
      <c r="AG448" s="31" t="str">
        <f t="shared" si="261"/>
        <v>1.2549139464243i</v>
      </c>
      <c r="AH448" s="31">
        <f t="shared" si="275"/>
        <v>1.2549139464243</v>
      </c>
      <c r="AI448" s="31">
        <f t="shared" si="276"/>
        <v>1.5707963267948966</v>
      </c>
      <c r="AJ448" s="31" t="str">
        <f t="shared" si="262"/>
        <v>1+4.05780152556207i</v>
      </c>
      <c r="AK448" s="31">
        <f t="shared" si="277"/>
        <v>4.1792048550955068</v>
      </c>
      <c r="AL448" s="31">
        <f t="shared" si="278"/>
        <v>1.3291721188592445</v>
      </c>
      <c r="AM448" s="31" t="str">
        <f t="shared" si="263"/>
        <v>1+4061.85932708764i</v>
      </c>
      <c r="AN448" s="31">
        <f t="shared" si="279"/>
        <v>4061.8594501839739</v>
      </c>
      <c r="AO448" s="31">
        <f t="shared" si="280"/>
        <v>1.5705501341281227</v>
      </c>
      <c r="AP448" s="58" t="str">
        <f t="shared" si="281"/>
        <v>-0.000246847238033447+0.001002719588925i</v>
      </c>
      <c r="AQ448" s="49">
        <f t="shared" si="282"/>
        <v>-59.720879545877111</v>
      </c>
      <c r="AR448" s="61">
        <f t="shared" si="283"/>
        <v>103.8299415421511</v>
      </c>
      <c r="AS448" s="58" t="str">
        <f t="shared" si="284"/>
        <v>-0.0000136986615212943-0.0000089571764828939i</v>
      </c>
      <c r="AT448" s="64">
        <f t="shared" si="285"/>
        <v>-95.720526768733961</v>
      </c>
      <c r="AU448" s="61">
        <f t="shared" si="286"/>
        <v>-146.82043551266304</v>
      </c>
    </row>
    <row r="449" spans="14:47" x14ac:dyDescent="0.3">
      <c r="N449" s="10">
        <v>31</v>
      </c>
      <c r="O449" s="50">
        <f t="shared" si="287"/>
        <v>204173.79446695308</v>
      </c>
      <c r="P449" s="48" t="str">
        <f t="shared" si="255"/>
        <v>51201.9230769231</v>
      </c>
      <c r="Q449" s="17" t="str">
        <f t="shared" si="256"/>
        <v>1+59949.118053447i</v>
      </c>
      <c r="R449" s="17">
        <f t="shared" si="264"/>
        <v>59949.118061787398</v>
      </c>
      <c r="S449" s="17">
        <f t="shared" si="265"/>
        <v>1.5707796459823613</v>
      </c>
      <c r="T449" s="17" t="str">
        <f t="shared" si="257"/>
        <v>1+3.84858535651758E-06i</v>
      </c>
      <c r="U449" s="17">
        <f t="shared" si="266"/>
        <v>1.0000000000074059</v>
      </c>
      <c r="V449" s="17">
        <f t="shared" si="267"/>
        <v>3.8485853564985785E-6</v>
      </c>
      <c r="W449" s="31" t="str">
        <f t="shared" si="258"/>
        <v>1-2.07823609251949i</v>
      </c>
      <c r="X449" s="17">
        <f t="shared" si="268"/>
        <v>2.3063098786266072</v>
      </c>
      <c r="Y449" s="17">
        <f t="shared" si="269"/>
        <v>-1.1223199602976857</v>
      </c>
      <c r="Z449" s="31" t="str">
        <f t="shared" si="259"/>
        <v>-15.6747753388133+126.821459228634i</v>
      </c>
      <c r="AA449" s="17">
        <f t="shared" si="270"/>
        <v>127.78646682181312</v>
      </c>
      <c r="AB449" s="17">
        <f t="shared" si="271"/>
        <v>1.6937698503219163</v>
      </c>
      <c r="AC449" s="66" t="str">
        <f t="shared" si="272"/>
        <v>-0.00492970731655593+0.0146052137499786i</v>
      </c>
      <c r="AD449" s="64">
        <f t="shared" si="273"/>
        <v>-36.241274576204127</v>
      </c>
      <c r="AE449" s="61">
        <f t="shared" si="274"/>
        <v>108.65111536955658</v>
      </c>
      <c r="AF449" s="31" t="str">
        <f t="shared" si="260"/>
        <v>-1.33333333333333E-06</v>
      </c>
      <c r="AG449" s="31" t="str">
        <f t="shared" si="261"/>
        <v>1.28414464729137i</v>
      </c>
      <c r="AH449" s="31">
        <f t="shared" si="275"/>
        <v>1.28414464729137</v>
      </c>
      <c r="AI449" s="31">
        <f t="shared" si="276"/>
        <v>1.5707963267948966</v>
      </c>
      <c r="AJ449" s="31" t="str">
        <f t="shared" si="262"/>
        <v>1+4.15231986517381i</v>
      </c>
      <c r="AK449" s="31">
        <f t="shared" si="277"/>
        <v>4.2710373754764834</v>
      </c>
      <c r="AL449" s="31">
        <f t="shared" si="278"/>
        <v>1.3344674251031903</v>
      </c>
      <c r="AM449" s="31" t="str">
        <f t="shared" si="263"/>
        <v>1+4156.47218503899i</v>
      </c>
      <c r="AN449" s="31">
        <f t="shared" si="279"/>
        <v>4156.4723053333091</v>
      </c>
      <c r="AO449" s="31">
        <f t="shared" si="280"/>
        <v>1.57055573815718</v>
      </c>
      <c r="AP449" s="58" t="str">
        <f t="shared" si="281"/>
        <v>-0.000236346321881734+0.000982423832040648i</v>
      </c>
      <c r="AQ449" s="49">
        <f t="shared" si="282"/>
        <v>-59.909673800239545</v>
      </c>
      <c r="AR449" s="61">
        <f t="shared" si="283"/>
        <v>103.52686393035692</v>
      </c>
      <c r="AS449" s="58" t="str">
        <f t="shared" si="284"/>
        <v>-0.0000131833918678053-8.29495050287367E-06i</v>
      </c>
      <c r="AT449" s="64">
        <f t="shared" si="285"/>
        <v>-96.150948376443665</v>
      </c>
      <c r="AU449" s="61">
        <f t="shared" si="286"/>
        <v>-147.82202070008654</v>
      </c>
    </row>
    <row r="450" spans="14:47" x14ac:dyDescent="0.3">
      <c r="N450" s="10">
        <v>32</v>
      </c>
      <c r="O450" s="50">
        <f t="shared" si="287"/>
        <v>208929.61308540447</v>
      </c>
      <c r="P450" s="48" t="str">
        <f t="shared" si="255"/>
        <v>51201.9230769231</v>
      </c>
      <c r="Q450" s="17" t="str">
        <f t="shared" si="256"/>
        <v>1+61345.5123975043i</v>
      </c>
      <c r="R450" s="17">
        <f t="shared" si="264"/>
        <v>61345.512405654852</v>
      </c>
      <c r="S450" s="17">
        <f t="shared" si="265"/>
        <v>1.5707800256840112</v>
      </c>
      <c r="T450" s="17" t="str">
        <f t="shared" si="257"/>
        <v>1+3.93823042551879E-06i</v>
      </c>
      <c r="U450" s="17">
        <f t="shared" si="266"/>
        <v>1.0000000000077547</v>
      </c>
      <c r="V450" s="17">
        <f t="shared" si="267"/>
        <v>3.9382304254984302E-6</v>
      </c>
      <c r="W450" s="31" t="str">
        <f t="shared" si="258"/>
        <v>1-2.12664442978015i</v>
      </c>
      <c r="X450" s="17">
        <f t="shared" si="268"/>
        <v>2.3500247936383434</v>
      </c>
      <c r="Y450" s="17">
        <f t="shared" si="269"/>
        <v>-1.1312516954472027</v>
      </c>
      <c r="Z450" s="31" t="str">
        <f t="shared" si="259"/>
        <v>-16.4606332896068+129.775510499482i</v>
      </c>
      <c r="AA450" s="17">
        <f t="shared" si="270"/>
        <v>130.81527270810574</v>
      </c>
      <c r="AB450" s="17">
        <f t="shared" si="271"/>
        <v>1.696961900286267</v>
      </c>
      <c r="AC450" s="66" t="str">
        <f t="shared" si="272"/>
        <v>-0.00462256181109745+0.0142636572523634i</v>
      </c>
      <c r="AD450" s="64">
        <f t="shared" si="273"/>
        <v>-36.481650644227784</v>
      </c>
      <c r="AE450" s="61">
        <f t="shared" si="274"/>
        <v>107.95645703179051</v>
      </c>
      <c r="AF450" s="31" t="str">
        <f t="shared" si="260"/>
        <v>-1.33333333333333E-06</v>
      </c>
      <c r="AG450" s="31" t="str">
        <f t="shared" si="261"/>
        <v>1.3140562186481i</v>
      </c>
      <c r="AH450" s="31">
        <f t="shared" si="275"/>
        <v>1.3140562186481</v>
      </c>
      <c r="AI450" s="31">
        <f t="shared" si="276"/>
        <v>1.5707963267948966</v>
      </c>
      <c r="AJ450" s="31" t="str">
        <f t="shared" si="262"/>
        <v>1+4.24903981974055i</v>
      </c>
      <c r="AK450" s="31">
        <f t="shared" si="277"/>
        <v>4.3651276487338606</v>
      </c>
      <c r="AL450" s="31">
        <f t="shared" si="278"/>
        <v>1.3396552787018825</v>
      </c>
      <c r="AM450" s="31" t="str">
        <f t="shared" si="263"/>
        <v>1+4253.28885956029i</v>
      </c>
      <c r="AN450" s="31">
        <f t="shared" si="279"/>
        <v>4253.2889771163764</v>
      </c>
      <c r="AO450" s="31">
        <f t="shared" si="280"/>
        <v>1.5705612146229766</v>
      </c>
      <c r="AP450" s="58" t="str">
        <f t="shared" si="281"/>
        <v>-0.000226267248344642+0.000962433218050984i</v>
      </c>
      <c r="AQ450" s="49">
        <f t="shared" si="282"/>
        <v>-60.098945337855476</v>
      </c>
      <c r="AR450" s="61">
        <f t="shared" si="283"/>
        <v>103.22993559279695</v>
      </c>
      <c r="AS450" s="58" t="str">
        <f t="shared" si="284"/>
        <v>-0.0000126818832092683-7.67630551731747E-06i</v>
      </c>
      <c r="AT450" s="64">
        <f t="shared" si="285"/>
        <v>-96.580595982083267</v>
      </c>
      <c r="AU450" s="61">
        <f t="shared" si="286"/>
        <v>-148.81360737541249</v>
      </c>
    </row>
    <row r="451" spans="14:47" x14ac:dyDescent="0.3">
      <c r="N451" s="10">
        <v>33</v>
      </c>
      <c r="O451" s="50">
        <f t="shared" si="287"/>
        <v>213796.20895022334</v>
      </c>
      <c r="P451" s="48" t="str">
        <f t="shared" si="255"/>
        <v>51201.9230769231</v>
      </c>
      <c r="Q451" s="17" t="str">
        <f t="shared" si="256"/>
        <v>1+62774.4329442381i</v>
      </c>
      <c r="R451" s="17">
        <f t="shared" si="264"/>
        <v>62774.432952203133</v>
      </c>
      <c r="S451" s="17">
        <f t="shared" si="265"/>
        <v>1.5707803967425964</v>
      </c>
      <c r="T451" s="17" t="str">
        <f t="shared" si="257"/>
        <v>1+4.02996359642022E-06i</v>
      </c>
      <c r="U451" s="17">
        <f t="shared" si="266"/>
        <v>1.0000000000081202</v>
      </c>
      <c r="V451" s="17">
        <f t="shared" si="267"/>
        <v>4.0299635963984037E-6</v>
      </c>
      <c r="W451" s="31" t="str">
        <f t="shared" si="258"/>
        <v>1-2.17618034206692i</v>
      </c>
      <c r="X451" s="17">
        <f t="shared" si="268"/>
        <v>2.3949448597407201</v>
      </c>
      <c r="Y451" s="17">
        <f t="shared" si="269"/>
        <v>-1.1400532180743219</v>
      </c>
      <c r="Z451" s="31" t="str">
        <f t="shared" si="259"/>
        <v>-17.2835275845951+132.798370463777i</v>
      </c>
      <c r="AA451" s="17">
        <f t="shared" si="270"/>
        <v>133.91836141322077</v>
      </c>
      <c r="AB451" s="17">
        <f t="shared" si="271"/>
        <v>1.7002174998288113</v>
      </c>
      <c r="AC451" s="66" t="str">
        <f t="shared" si="272"/>
        <v>-0.00432937840366166+0.0139294679871903i</v>
      </c>
      <c r="AD451" s="64">
        <f t="shared" si="273"/>
        <v>-36.720822669955623</v>
      </c>
      <c r="AE451" s="61">
        <f t="shared" si="274"/>
        <v>107.26561881422782</v>
      </c>
      <c r="AF451" s="31" t="str">
        <f t="shared" si="260"/>
        <v>-1.33333333333333E-06</v>
      </c>
      <c r="AG451" s="31" t="str">
        <f t="shared" si="261"/>
        <v>1.34466452000555i</v>
      </c>
      <c r="AH451" s="31">
        <f t="shared" si="275"/>
        <v>1.34466452000555</v>
      </c>
      <c r="AI451" s="31">
        <f t="shared" si="276"/>
        <v>1.5707963267948966</v>
      </c>
      <c r="AJ451" s="31" t="str">
        <f t="shared" si="262"/>
        <v>1+4.34801267146237i</v>
      </c>
      <c r="AK451" s="31">
        <f t="shared" si="277"/>
        <v>4.4615259935584071</v>
      </c>
      <c r="AL451" s="31">
        <f t="shared" si="278"/>
        <v>1.3447373128328084</v>
      </c>
      <c r="AM451" s="31" t="str">
        <f t="shared" si="263"/>
        <v>1+4352.36068413384i</v>
      </c>
      <c r="AN451" s="31">
        <f t="shared" si="279"/>
        <v>4352.3607990140226</v>
      </c>
      <c r="AO451" s="31">
        <f t="shared" si="280"/>
        <v>1.5705665664292061</v>
      </c>
      <c r="AP451" s="58" t="str">
        <f t="shared" si="281"/>
        <v>-0.000216595154482094+0.000942750049489518i</v>
      </c>
      <c r="AQ451" s="49">
        <f t="shared" si="282"/>
        <v>-60.288674935983934</v>
      </c>
      <c r="AR451" s="61">
        <f t="shared" si="283"/>
        <v>102.93906312166315</v>
      </c>
      <c r="AS451" s="58" t="str">
        <f t="shared" si="284"/>
        <v>-0.0000121942842501338-7.09857697484975E-06i</v>
      </c>
      <c r="AT451" s="64">
        <f t="shared" si="285"/>
        <v>-97.009497605939544</v>
      </c>
      <c r="AU451" s="61">
        <f t="shared" si="286"/>
        <v>-149.79531806410904</v>
      </c>
    </row>
    <row r="452" spans="14:47" x14ac:dyDescent="0.3">
      <c r="N452" s="10">
        <v>34</v>
      </c>
      <c r="O452" s="50">
        <f t="shared" si="287"/>
        <v>218776.16239495538</v>
      </c>
      <c r="P452" s="48" t="str">
        <f t="shared" si="255"/>
        <v>51201.9230769231</v>
      </c>
      <c r="Q452" s="17" t="str">
        <f t="shared" si="256"/>
        <v>1+64236.637326237i</v>
      </c>
      <c r="R452" s="17">
        <f t="shared" si="264"/>
        <v>64236.637334020728</v>
      </c>
      <c r="S452" s="17">
        <f t="shared" si="265"/>
        <v>1.5707807593548571</v>
      </c>
      <c r="T452" s="17" t="str">
        <f t="shared" si="257"/>
        <v>1+4.12383350736336E-06i</v>
      </c>
      <c r="U452" s="17">
        <f t="shared" si="266"/>
        <v>1.000000000008503</v>
      </c>
      <c r="V452" s="17">
        <f t="shared" si="267"/>
        <v>4.1238335073399837E-6</v>
      </c>
      <c r="W452" s="31" t="str">
        <f t="shared" si="258"/>
        <v>1-2.22687009397621i</v>
      </c>
      <c r="X452" s="17">
        <f t="shared" si="268"/>
        <v>2.4410961503893311</v>
      </c>
      <c r="Y452" s="17">
        <f t="shared" si="269"/>
        <v>-1.1487237392365768</v>
      </c>
      <c r="Z452" s="31" t="str">
        <f t="shared" si="259"/>
        <v>-18.1452036929056+135.891641881886i</v>
      </c>
      <c r="AA452" s="17">
        <f t="shared" si="270"/>
        <v>137.09772700672971</v>
      </c>
      <c r="AB452" s="17">
        <f t="shared" si="271"/>
        <v>1.7035381411941128</v>
      </c>
      <c r="AC452" s="66" t="str">
        <f t="shared" si="272"/>
        <v>-0.00404953506310009+0.0136024844270206i</v>
      </c>
      <c r="AD452" s="64">
        <f t="shared" si="273"/>
        <v>-36.958837884958704</v>
      </c>
      <c r="AE452" s="61">
        <f t="shared" si="274"/>
        <v>106.57856041214116</v>
      </c>
      <c r="AF452" s="31" t="str">
        <f t="shared" si="260"/>
        <v>-1.33333333333333E-06</v>
      </c>
      <c r="AG452" s="31" t="str">
        <f t="shared" si="261"/>
        <v>1.37598578029024i</v>
      </c>
      <c r="AH452" s="31">
        <f t="shared" si="275"/>
        <v>1.37598578029024</v>
      </c>
      <c r="AI452" s="31">
        <f t="shared" si="276"/>
        <v>1.5707963267948966</v>
      </c>
      <c r="AJ452" s="31" t="str">
        <f t="shared" si="262"/>
        <v>1+4.44929089705537i</v>
      </c>
      <c r="AK452" s="31">
        <f t="shared" si="277"/>
        <v>4.5602839260971217</v>
      </c>
      <c r="AL452" s="31">
        <f t="shared" si="278"/>
        <v>1.3497151715577478</v>
      </c>
      <c r="AM452" s="31" t="str">
        <f t="shared" si="263"/>
        <v>1+4453.74018795243i</v>
      </c>
      <c r="AN452" s="31">
        <f t="shared" si="279"/>
        <v>4453.7403002176216</v>
      </c>
      <c r="AO452" s="31">
        <f t="shared" si="280"/>
        <v>1.5705717964134656</v>
      </c>
      <c r="AP452" s="58" t="str">
        <f t="shared" si="281"/>
        <v>-0.000207315525063642+0.000923376080745736i</v>
      </c>
      <c r="AQ452" s="49">
        <f t="shared" si="282"/>
        <v>-60.478844053327556</v>
      </c>
      <c r="AR452" s="61">
        <f t="shared" si="283"/>
        <v>102.65415248173676</v>
      </c>
      <c r="AS452" s="58" t="str">
        <f t="shared" si="284"/>
        <v>-0.000011720677270757-6.55925001656559E-06i</v>
      </c>
      <c r="AT452" s="64">
        <f t="shared" si="285"/>
        <v>-97.437681938286232</v>
      </c>
      <c r="AU452" s="61">
        <f t="shared" si="286"/>
        <v>-150.76728710612215</v>
      </c>
    </row>
    <row r="453" spans="14:47" x14ac:dyDescent="0.3">
      <c r="N453" s="10">
        <v>35</v>
      </c>
      <c r="O453" s="50">
        <f t="shared" si="287"/>
        <v>223872.11385683404</v>
      </c>
      <c r="P453" s="48" t="str">
        <f t="shared" si="255"/>
        <v>51201.9230769231</v>
      </c>
      <c r="Q453" s="17" t="str">
        <f t="shared" si="256"/>
        <v>1+65732.9008236188i</v>
      </c>
      <c r="R453" s="17">
        <f t="shared" si="264"/>
        <v>65732.900831225343</v>
      </c>
      <c r="S453" s="17">
        <f t="shared" si="265"/>
        <v>1.570781113713055</v>
      </c>
      <c r="T453" s="17" t="str">
        <f t="shared" si="257"/>
        <v>1+0.0000042198899294175i</v>
      </c>
      <c r="U453" s="17">
        <f t="shared" si="266"/>
        <v>1.0000000000089038</v>
      </c>
      <c r="V453" s="17">
        <f t="shared" si="267"/>
        <v>4.2198899293924518E-6</v>
      </c>
      <c r="W453" s="31" t="str">
        <f t="shared" si="258"/>
        <v>1-2.27874056188545i</v>
      </c>
      <c r="X453" s="17">
        <f t="shared" si="268"/>
        <v>2.4885052839771138</v>
      </c>
      <c r="Y453" s="17">
        <f t="shared" si="269"/>
        <v>-1.1572626404691895</v>
      </c>
      <c r="Z453" s="31" t="str">
        <f t="shared" si="259"/>
        <v>-19.0474893450911+139.05696484726i</v>
      </c>
      <c r="AA453" s="17">
        <f t="shared" si="270"/>
        <v>140.35542854796697</v>
      </c>
      <c r="AB453" s="17">
        <f t="shared" si="271"/>
        <v>1.706925335034394</v>
      </c>
      <c r="AC453" s="66" t="str">
        <f t="shared" si="272"/>
        <v>-0.00378243800090789+0.0132825479969615i</v>
      </c>
      <c r="AD453" s="64">
        <f t="shared" si="273"/>
        <v>-37.195743457646074</v>
      </c>
      <c r="AE453" s="61">
        <f t="shared" si="274"/>
        <v>105.89523069879085</v>
      </c>
      <c r="AF453" s="31" t="str">
        <f t="shared" si="260"/>
        <v>-1.33333333333333E-06</v>
      </c>
      <c r="AG453" s="31" t="str">
        <f t="shared" si="261"/>
        <v>1.40803660644897i</v>
      </c>
      <c r="AH453" s="31">
        <f t="shared" si="275"/>
        <v>1.40803660644897</v>
      </c>
      <c r="AI453" s="31">
        <f t="shared" si="276"/>
        <v>1.5707963267948966</v>
      </c>
      <c r="AJ453" s="31" t="str">
        <f t="shared" si="262"/>
        <v>1+4.55292819557532i</v>
      </c>
      <c r="AK453" s="31">
        <f t="shared" si="277"/>
        <v>4.6614541887767968</v>
      </c>
      <c r="AL453" s="31">
        <f t="shared" si="278"/>
        <v>1.3545905069847597</v>
      </c>
      <c r="AM453" s="31" t="str">
        <f t="shared" si="263"/>
        <v>1+4557.4811237709i</v>
      </c>
      <c r="AN453" s="31">
        <f t="shared" si="279"/>
        <v>4557.4812334806238</v>
      </c>
      <c r="AO453" s="31">
        <f t="shared" si="280"/>
        <v>1.570576907348761</v>
      </c>
      <c r="AP453" s="58" t="str">
        <f t="shared" si="281"/>
        <v>-0.000198414200284039+0.000904312551953172i</v>
      </c>
      <c r="AQ453" s="49">
        <f t="shared" si="282"/>
        <v>-60.669434813716371</v>
      </c>
      <c r="AR453" s="61">
        <f t="shared" si="283"/>
        <v>102.37510917308012</v>
      </c>
      <c r="AS453" s="58" t="str">
        <f t="shared" si="284"/>
        <v>-0.0000112610854644986-6.05595229975715E-06i</v>
      </c>
      <c r="AT453" s="64">
        <f t="shared" si="285"/>
        <v>-97.865178271362481</v>
      </c>
      <c r="AU453" s="61">
        <f t="shared" si="286"/>
        <v>-151.7296601281289</v>
      </c>
    </row>
    <row r="454" spans="14:47" x14ac:dyDescent="0.3">
      <c r="N454" s="10">
        <v>36</v>
      </c>
      <c r="O454" s="50">
        <f t="shared" si="287"/>
        <v>229086.76527677779</v>
      </c>
      <c r="P454" s="48" t="str">
        <f t="shared" si="255"/>
        <v>51201.9230769231</v>
      </c>
      <c r="Q454" s="17" t="str">
        <f t="shared" si="256"/>
        <v>1+67264.0167750948i</v>
      </c>
      <c r="R454" s="17">
        <f t="shared" si="264"/>
        <v>67264.016782528197</v>
      </c>
      <c r="S454" s="17">
        <f t="shared" si="265"/>
        <v>1.5707814600050753</v>
      </c>
      <c r="T454" s="17" t="str">
        <f t="shared" si="257"/>
        <v>1+4.31818379296905E-06i</v>
      </c>
      <c r="U454" s="17">
        <f t="shared" si="266"/>
        <v>1.0000000000093232</v>
      </c>
      <c r="V454" s="17">
        <f t="shared" si="267"/>
        <v>4.3181837929422099E-6</v>
      </c>
      <c r="W454" s="31" t="str">
        <f t="shared" si="258"/>
        <v>1-2.33181924820329i</v>
      </c>
      <c r="X454" s="17">
        <f t="shared" si="268"/>
        <v>2.5371994415676817</v>
      </c>
      <c r="Y454" s="17">
        <f t="shared" si="269"/>
        <v>-1.1656694674019852</v>
      </c>
      <c r="Z454" s="31" t="str">
        <f t="shared" si="259"/>
        <v>-19.9922984099911+142.296017656033i</v>
      </c>
      <c r="AA454" s="17">
        <f t="shared" si="270"/>
        <v>143.69359288597451</v>
      </c>
      <c r="AB454" s="17">
        <f t="shared" si="271"/>
        <v>1.7103806101363781</v>
      </c>
      <c r="AC454" s="66" t="str">
        <f t="shared" si="272"/>
        <v>-0.00352752041031351+0.01296950306006i</v>
      </c>
      <c r="AD454" s="64">
        <f t="shared" si="273"/>
        <v>-37.431586446887714</v>
      </c>
      <c r="AE454" s="61">
        <f t="shared" si="274"/>
        <v>105.21556810679684</v>
      </c>
      <c r="AF454" s="31" t="str">
        <f t="shared" si="260"/>
        <v>-1.33333333333333E-06</v>
      </c>
      <c r="AG454" s="31" t="str">
        <f t="shared" si="261"/>
        <v>1.44083399225401i</v>
      </c>
      <c r="AH454" s="31">
        <f t="shared" si="275"/>
        <v>1.4408339922540101</v>
      </c>
      <c r="AI454" s="31">
        <f t="shared" si="276"/>
        <v>1.5707963267948966</v>
      </c>
      <c r="AJ454" s="31" t="str">
        <f t="shared" si="262"/>
        <v>1+4.65897951688968i</v>
      </c>
      <c r="AK454" s="31">
        <f t="shared" si="277"/>
        <v>4.7650907797016417</v>
      </c>
      <c r="AL454" s="31">
        <f t="shared" si="278"/>
        <v>1.3593649766081832</v>
      </c>
      <c r="AM454" s="31" t="str">
        <f t="shared" si="263"/>
        <v>1+4663.63849640657i</v>
      </c>
      <c r="AN454" s="31">
        <f t="shared" si="279"/>
        <v>4663.6386036189951</v>
      </c>
      <c r="AO454" s="31">
        <f t="shared" si="280"/>
        <v>1.5705819019449765</v>
      </c>
      <c r="AP454" s="58" t="str">
        <f t="shared" si="281"/>
        <v>-0.000189877381635809+0.000885560221737754i</v>
      </c>
      <c r="AQ454" s="49">
        <f t="shared" si="282"/>
        <v>-60.860429989476827</v>
      </c>
      <c r="AR454" s="61">
        <f t="shared" si="283"/>
        <v>102.10183838352808</v>
      </c>
      <c r="AS454" s="58" t="str">
        <f t="shared" si="284"/>
        <v>-0.000010815479666518-5.58644703890349E-06i</v>
      </c>
      <c r="AT454" s="64">
        <f t="shared" si="285"/>
        <v>-98.292016436364534</v>
      </c>
      <c r="AU454" s="61">
        <f t="shared" si="286"/>
        <v>-152.68259350967506</v>
      </c>
    </row>
    <row r="455" spans="14:47" x14ac:dyDescent="0.3">
      <c r="N455" s="10">
        <v>37</v>
      </c>
      <c r="O455" s="50">
        <f t="shared" si="287"/>
        <v>234422.88153199267</v>
      </c>
      <c r="P455" s="48" t="str">
        <f t="shared" si="255"/>
        <v>51201.9230769231</v>
      </c>
      <c r="Q455" s="17" t="str">
        <f t="shared" si="256"/>
        <v>1+68830.7969986097i</v>
      </c>
      <c r="R455" s="17">
        <f t="shared" si="264"/>
        <v>68830.797005873887</v>
      </c>
      <c r="S455" s="17">
        <f t="shared" si="265"/>
        <v>1.5707817984145271</v>
      </c>
      <c r="T455" s="17" t="str">
        <f t="shared" si="257"/>
        <v>1+4.41876721472556E-06i</v>
      </c>
      <c r="U455" s="17">
        <f t="shared" si="266"/>
        <v>1.0000000000097629</v>
      </c>
      <c r="V455" s="17">
        <f t="shared" si="267"/>
        <v>4.4187672146968005E-6</v>
      </c>
      <c r="W455" s="31" t="str">
        <f t="shared" si="258"/>
        <v>1-2.3861342959518i</v>
      </c>
      <c r="X455" s="17">
        <f t="shared" si="268"/>
        <v>2.5872063849483276</v>
      </c>
      <c r="Y455" s="17">
        <f t="shared" si="269"/>
        <v>-1.1739439231933098</v>
      </c>
      <c r="Z455" s="31" t="str">
        <f t="shared" si="259"/>
        <v>-20.9816349543052+145.610517696877i</v>
      </c>
      <c r="AA455" s="17">
        <f t="shared" si="270"/>
        <v>147.1144176119671</v>
      </c>
      <c r="AB455" s="17">
        <f t="shared" si="271"/>
        <v>1.7139055130898244</v>
      </c>
      <c r="AC455" s="66" t="str">
        <f t="shared" si="272"/>
        <v>-0.00328424126217997+0.0126631969003191i</v>
      </c>
      <c r="AD455" s="64">
        <f t="shared" si="273"/>
        <v>-37.666413760915972</v>
      </c>
      <c r="AE455" s="61">
        <f t="shared" si="274"/>
        <v>104.53950102333285</v>
      </c>
      <c r="AF455" s="31" t="str">
        <f t="shared" si="260"/>
        <v>-1.33333333333333E-06</v>
      </c>
      <c r="AG455" s="31" t="str">
        <f t="shared" si="261"/>
        <v>1.47439532731343i</v>
      </c>
      <c r="AH455" s="31">
        <f t="shared" si="275"/>
        <v>1.47439532731343</v>
      </c>
      <c r="AI455" s="31">
        <f t="shared" si="276"/>
        <v>1.5707963267948966</v>
      </c>
      <c r="AJ455" s="31" t="str">
        <f t="shared" si="262"/>
        <v>1+4.76750109081279i</v>
      </c>
      <c r="AK455" s="31">
        <f t="shared" si="277"/>
        <v>4.8712489826430696</v>
      </c>
      <c r="AL455" s="31">
        <f t="shared" si="278"/>
        <v>1.3640402408204393</v>
      </c>
      <c r="AM455" s="31" t="str">
        <f t="shared" si="263"/>
        <v>1+4772.2685919036i</v>
      </c>
      <c r="AN455" s="31">
        <f t="shared" si="279"/>
        <v>4772.2686966755728</v>
      </c>
      <c r="AO455" s="31">
        <f t="shared" si="280"/>
        <v>1.5705867828503122</v>
      </c>
      <c r="AP455" s="58" t="str">
        <f t="shared" si="281"/>
        <v>-0.000181691636092136+0.00086711939878914i</v>
      </c>
      <c r="AQ455" s="49">
        <f t="shared" si="282"/>
        <v>-61.051812984568443</v>
      </c>
      <c r="AR455" s="61">
        <f t="shared" si="283"/>
        <v>101.83424513133325</v>
      </c>
      <c r="AS455" s="58" t="str">
        <f t="shared" si="284"/>
        <v>-0.0000103837845147064-5.14862627171582E-06i</v>
      </c>
      <c r="AT455" s="64">
        <f t="shared" si="285"/>
        <v>-98.718226745484415</v>
      </c>
      <c r="AU455" s="61">
        <f t="shared" si="286"/>
        <v>-153.62625384533385</v>
      </c>
    </row>
    <row r="456" spans="14:47" x14ac:dyDescent="0.3">
      <c r="N456" s="10">
        <v>38</v>
      </c>
      <c r="O456" s="50">
        <f t="shared" si="287"/>
        <v>239883.29190194907</v>
      </c>
      <c r="P456" s="48" t="str">
        <f t="shared" si="255"/>
        <v>51201.9230769231</v>
      </c>
      <c r="Q456" s="17" t="str">
        <f t="shared" si="256"/>
        <v>1+70434.0722217763i</v>
      </c>
      <c r="R456" s="17">
        <f t="shared" si="264"/>
        <v>70434.072228875128</v>
      </c>
      <c r="S456" s="17">
        <f t="shared" si="265"/>
        <v>1.5707821291208393</v>
      </c>
      <c r="T456" s="17" t="str">
        <f t="shared" si="257"/>
        <v>1+0.0000045216935253486i</v>
      </c>
      <c r="U456" s="17">
        <f t="shared" si="266"/>
        <v>1.0000000000102229</v>
      </c>
      <c r="V456" s="17">
        <f t="shared" si="267"/>
        <v>4.5216935253177834E-6</v>
      </c>
      <c r="W456" s="31" t="str">
        <f t="shared" si="258"/>
        <v>1-2.44171450368824i</v>
      </c>
      <c r="X456" s="17">
        <f t="shared" si="268"/>
        <v>2.6385544749960177</v>
      </c>
      <c r="Y456" s="17">
        <f t="shared" si="269"/>
        <v>-1.1820858618256889</v>
      </c>
      <c r="Z456" s="31" t="str">
        <f t="shared" si="259"/>
        <v>-22.0175974934864+149.002222361586i</v>
      </c>
      <c r="AA456" s="17">
        <f t="shared" si="270"/>
        <v>150.62017417357046</v>
      </c>
      <c r="AB456" s="17">
        <f t="shared" si="271"/>
        <v>1.7175016078937095</v>
      </c>
      <c r="AC456" s="66" t="str">
        <f t="shared" si="272"/>
        <v>-0.0030520841551556+0.0123634797036209i</v>
      </c>
      <c r="AD456" s="64">
        <f t="shared" si="273"/>
        <v>-37.90027212142936</v>
      </c>
      <c r="AE456" s="61">
        <f t="shared" si="274"/>
        <v>103.86694819681864</v>
      </c>
      <c r="AF456" s="31" t="str">
        <f t="shared" si="260"/>
        <v>-1.33333333333333E-06</v>
      </c>
      <c r="AG456" s="31" t="str">
        <f t="shared" si="261"/>
        <v>1.50873840629131i</v>
      </c>
      <c r="AH456" s="31">
        <f t="shared" si="275"/>
        <v>1.5087384062913101</v>
      </c>
      <c r="AI456" s="31">
        <f t="shared" si="276"/>
        <v>1.5707963267948966</v>
      </c>
      <c r="AJ456" s="31" t="str">
        <f t="shared" si="262"/>
        <v>1+4.87855045691956i</v>
      </c>
      <c r="AK456" s="31">
        <f t="shared" si="277"/>
        <v>4.9799853976402426</v>
      </c>
      <c r="AL456" s="31">
        <f t="shared" si="278"/>
        <v>1.368617960589269</v>
      </c>
      <c r="AM456" s="31" t="str">
        <f t="shared" si="263"/>
        <v>1+4883.42900737649i</v>
      </c>
      <c r="AN456" s="31">
        <f t="shared" si="279"/>
        <v>4883.4291097635605</v>
      </c>
      <c r="AO456" s="31">
        <f t="shared" si="280"/>
        <v>1.5705915526526879</v>
      </c>
      <c r="AP456" s="58" t="str">
        <f t="shared" si="281"/>
        <v>-0.000173843898746584+0.000848989972228965i</v>
      </c>
      <c r="AQ456" s="49">
        <f t="shared" si="282"/>
        <v>-61.243567817562656</v>
      </c>
      <c r="AR456" s="61">
        <f t="shared" si="283"/>
        <v>101.57223439833089</v>
      </c>
      <c r="AS456" s="58" t="str">
        <f t="shared" si="284"/>
        <v>-9.96588408139555E-06-4.74050435587773E-06i</v>
      </c>
      <c r="AT456" s="64">
        <f t="shared" si="285"/>
        <v>-99.143839938992016</v>
      </c>
      <c r="AU456" s="61">
        <f t="shared" si="286"/>
        <v>-154.56081740485047</v>
      </c>
    </row>
    <row r="457" spans="14:47" x14ac:dyDescent="0.3">
      <c r="N457" s="10">
        <v>39</v>
      </c>
      <c r="O457" s="50">
        <f t="shared" si="287"/>
        <v>245470.89156850305</v>
      </c>
      <c r="P457" s="48" t="str">
        <f t="shared" si="255"/>
        <v>51201.9230769231</v>
      </c>
      <c r="Q457" s="17" t="str">
        <f t="shared" si="256"/>
        <v>1+72074.69252234i</v>
      </c>
      <c r="R457" s="17">
        <f t="shared" si="264"/>
        <v>72074.69252927725</v>
      </c>
      <c r="S457" s="17">
        <f t="shared" si="265"/>
        <v>1.5707824522993568</v>
      </c>
      <c r="T457" s="17" t="str">
        <f t="shared" si="257"/>
        <v>1+4.62701729773047E-06i</v>
      </c>
      <c r="U457" s="17">
        <f t="shared" si="266"/>
        <v>1.0000000000107048</v>
      </c>
      <c r="V457" s="17">
        <f t="shared" si="267"/>
        <v>4.6270172976974489E-6</v>
      </c>
      <c r="W457" s="31" t="str">
        <f t="shared" si="258"/>
        <v>1-2.49858934077445i</v>
      </c>
      <c r="X457" s="17">
        <f t="shared" si="268"/>
        <v>2.6912726903514814</v>
      </c>
      <c r="Y457" s="17">
        <f t="shared" si="269"/>
        <v>-1.1900952813053474</v>
      </c>
      <c r="Z457" s="31" t="str">
        <f t="shared" si="259"/>
        <v>-23.1023834429743+152.47292997687i</v>
      </c>
      <c r="AA457" s="17">
        <f t="shared" si="270"/>
        <v>154.2132111606451</v>
      </c>
      <c r="AB457" s="17">
        <f t="shared" si="271"/>
        <v>1.7211704754958546</v>
      </c>
      <c r="AC457" s="66" t="str">
        <f t="shared" si="272"/>
        <v>-0.00283055621762202+0.0120702045368279i</v>
      </c>
      <c r="AD457" s="64">
        <f t="shared" si="273"/>
        <v>-38.133208032791451</v>
      </c>
      <c r="AE457" s="61">
        <f t="shared" si="274"/>
        <v>103.19781915293171</v>
      </c>
      <c r="AF457" s="31" t="str">
        <f t="shared" si="260"/>
        <v>-1.33333333333333E-06</v>
      </c>
      <c r="AG457" s="31" t="str">
        <f t="shared" si="261"/>
        <v>1.54388143834274i</v>
      </c>
      <c r="AH457" s="31">
        <f t="shared" si="275"/>
        <v>1.5438814383427399</v>
      </c>
      <c r="AI457" s="31">
        <f t="shared" si="276"/>
        <v>1.5707963267948966</v>
      </c>
      <c r="AJ457" s="31" t="str">
        <f t="shared" si="262"/>
        <v>1+4.99218649505385i</v>
      </c>
      <c r="AK457" s="31">
        <f t="shared" si="277"/>
        <v>5.0913579722307922</v>
      </c>
      <c r="AL457" s="31">
        <f t="shared" si="278"/>
        <v>1.3730997952939525</v>
      </c>
      <c r="AM457" s="31" t="str">
        <f t="shared" si="263"/>
        <v>1+4997.17868154891i</v>
      </c>
      <c r="AN457" s="31">
        <f t="shared" si="279"/>
        <v>4997.1787816053684</v>
      </c>
      <c r="AO457" s="31">
        <f t="shared" si="280"/>
        <v>1.5705962138811151</v>
      </c>
      <c r="AP457" s="58" t="str">
        <f t="shared" si="281"/>
        <v>-0.000166321474048997+0.000831171440759754i</v>
      </c>
      <c r="AQ457" s="49">
        <f t="shared" si="282"/>
        <v>-61.435679104532703</v>
      </c>
      <c r="AR457" s="61">
        <f t="shared" si="283"/>
        <v>101.31571125399346</v>
      </c>
      <c r="AS457" s="58" t="str">
        <f t="shared" si="284"/>
        <v>-9.56162701264672E-06-4.36021170019048E-06i</v>
      </c>
      <c r="AT457" s="64">
        <f t="shared" si="285"/>
        <v>-99.56888713732414</v>
      </c>
      <c r="AU457" s="61">
        <f t="shared" si="286"/>
        <v>-155.48646959307484</v>
      </c>
    </row>
    <row r="458" spans="14:47" x14ac:dyDescent="0.3">
      <c r="N458" s="10">
        <v>40</v>
      </c>
      <c r="O458" s="50">
        <f t="shared" si="287"/>
        <v>251188.64315095844</v>
      </c>
      <c r="P458" s="48" t="str">
        <f t="shared" si="255"/>
        <v>51201.9230769231</v>
      </c>
      <c r="Q458" s="17" t="str">
        <f t="shared" si="256"/>
        <v>1+73753.5277789009i</v>
      </c>
      <c r="R458" s="17">
        <f t="shared" si="264"/>
        <v>73753.527785680242</v>
      </c>
      <c r="S458" s="17">
        <f t="shared" si="265"/>
        <v>1.570782768121433</v>
      </c>
      <c r="T458" s="17" t="str">
        <f t="shared" si="257"/>
        <v>1+4.73479437592944E-06i</v>
      </c>
      <c r="U458" s="17">
        <f t="shared" si="266"/>
        <v>1.0000000000112093</v>
      </c>
      <c r="V458" s="17">
        <f t="shared" si="267"/>
        <v>4.7347943758940581E-6</v>
      </c>
      <c r="W458" s="31" t="str">
        <f t="shared" si="258"/>
        <v>1-2.5567889630019i</v>
      </c>
      <c r="X458" s="17">
        <f t="shared" si="268"/>
        <v>2.7453906463977638</v>
      </c>
      <c r="Y458" s="17">
        <f t="shared" si="269"/>
        <v>-1.1979723168048761</v>
      </c>
      <c r="Z458" s="31" t="str">
        <f t="shared" si="259"/>
        <v>-24.2382937792079+156.024480757845i</v>
      </c>
      <c r="AA458" s="17">
        <f t="shared" si="270"/>
        <v>157.8959577730929</v>
      </c>
      <c r="AB458" s="17">
        <f t="shared" si="271"/>
        <v>1.7249137132615695</v>
      </c>
      <c r="AC458" s="66" t="str">
        <f t="shared" si="272"/>
        <v>-0.00261918705909668+0.0117832273253142i</v>
      </c>
      <c r="AD458" s="64">
        <f t="shared" si="273"/>
        <v>-38.365267756192154</v>
      </c>
      <c r="AE458" s="61">
        <f t="shared" si="274"/>
        <v>102.53201461794424</v>
      </c>
      <c r="AF458" s="31" t="str">
        <f t="shared" si="260"/>
        <v>-1.33333333333333E-06</v>
      </c>
      <c r="AG458" s="31" t="str">
        <f t="shared" si="261"/>
        <v>1.57984305676845i</v>
      </c>
      <c r="AH458" s="31">
        <f t="shared" si="275"/>
        <v>1.57984305676845</v>
      </c>
      <c r="AI458" s="31">
        <f t="shared" si="276"/>
        <v>1.5707963267948966</v>
      </c>
      <c r="AJ458" s="31" t="str">
        <f t="shared" si="262"/>
        <v>1+5.10846945654724i</v>
      </c>
      <c r="AK458" s="31">
        <f t="shared" si="277"/>
        <v>5.2054260333306113</v>
      </c>
      <c r="AL458" s="31">
        <f t="shared" si="278"/>
        <v>1.3774874007139517</v>
      </c>
      <c r="AM458" s="31" t="str">
        <f t="shared" si="263"/>
        <v>1+5113.5779260038i</v>
      </c>
      <c r="AN458" s="31">
        <f t="shared" si="279"/>
        <v>5113.5780237826939</v>
      </c>
      <c r="AO458" s="31">
        <f t="shared" si="280"/>
        <v>1.5706007690070378</v>
      </c>
      <c r="AP458" s="58" t="str">
        <f t="shared" si="281"/>
        <v>-0.00015911203576972+0.000813662940587294i</v>
      </c>
      <c r="AQ458" s="49">
        <f t="shared" si="282"/>
        <v>-61.628132041914874</v>
      </c>
      <c r="AR458" s="61">
        <f t="shared" si="283"/>
        <v>101.06458097074938</v>
      </c>
      <c r="AS458" s="58" t="str">
        <f t="shared" si="284"/>
        <v>-9.17083121008913E-06-4.00598873212093E-06i</v>
      </c>
      <c r="AT458" s="64">
        <f t="shared" si="285"/>
        <v>-99.993399798107021</v>
      </c>
      <c r="AU458" s="61">
        <f t="shared" si="286"/>
        <v>-156.40340441130638</v>
      </c>
    </row>
    <row r="459" spans="14:47" x14ac:dyDescent="0.3">
      <c r="N459" s="10">
        <v>41</v>
      </c>
      <c r="O459" s="50">
        <f t="shared" si="287"/>
        <v>257039.57827688678</v>
      </c>
      <c r="P459" s="48" t="str">
        <f t="shared" si="255"/>
        <v>51201.9230769231</v>
      </c>
      <c r="Q459" s="17" t="str">
        <f t="shared" si="256"/>
        <v>1+75471.4681321331i</v>
      </c>
      <c r="R459" s="17">
        <f t="shared" si="264"/>
        <v>75471.468138758122</v>
      </c>
      <c r="S459" s="17">
        <f t="shared" si="265"/>
        <v>1.5707830767545212</v>
      </c>
      <c r="T459" s="17" t="str">
        <f t="shared" si="257"/>
        <v>1+4.84508190477891E-06i</v>
      </c>
      <c r="U459" s="17">
        <f t="shared" si="266"/>
        <v>1.0000000000117373</v>
      </c>
      <c r="V459" s="17">
        <f t="shared" si="267"/>
        <v>4.845081904740998E-6</v>
      </c>
      <c r="W459" s="31" t="str">
        <f t="shared" si="258"/>
        <v>1-2.61634422858061i</v>
      </c>
      <c r="X459" s="17">
        <f t="shared" si="268"/>
        <v>2.8009386145410375</v>
      </c>
      <c r="Y459" s="17">
        <f t="shared" si="269"/>
        <v>-1.205717233785444</v>
      </c>
      <c r="Z459" s="31" t="str">
        <f t="shared" si="259"/>
        <v>-25.4277379203039+159.658757783746i</v>
      </c>
      <c r="AA459" s="17">
        <f t="shared" si="270"/>
        <v>161.67092748169824</v>
      </c>
      <c r="AB459" s="17">
        <f t="shared" si="271"/>
        <v>1.7287329343666655</v>
      </c>
      <c r="AC459" s="66" t="str">
        <f t="shared" si="272"/>
        <v>-0.00241752776884781+0.0115024068291558i</v>
      </c>
      <c r="AD459" s="64">
        <f t="shared" si="273"/>
        <v>-38.596497288620967</v>
      </c>
      <c r="AE459" s="61">
        <f t="shared" si="274"/>
        <v>101.86942694756587</v>
      </c>
      <c r="AF459" s="31" t="str">
        <f t="shared" si="260"/>
        <v>-1.33333333333333E-06</v>
      </c>
      <c r="AG459" s="31" t="str">
        <f t="shared" si="261"/>
        <v>1.61664232889457i</v>
      </c>
      <c r="AH459" s="31">
        <f t="shared" si="275"/>
        <v>1.6166423288945699</v>
      </c>
      <c r="AI459" s="31">
        <f t="shared" si="276"/>
        <v>1.5707963267948966</v>
      </c>
      <c r="AJ459" s="31" t="str">
        <f t="shared" si="262"/>
        <v>1+5.22746099616505i</v>
      </c>
      <c r="AK459" s="31">
        <f t="shared" si="277"/>
        <v>5.3222503197826851</v>
      </c>
      <c r="AL459" s="31">
        <f t="shared" si="278"/>
        <v>1.3817824271634334</v>
      </c>
      <c r="AM459" s="31" t="str">
        <f t="shared" si="263"/>
        <v>1+5232.68845716122i</v>
      </c>
      <c r="AN459" s="31">
        <f t="shared" si="279"/>
        <v>5232.688552714395</v>
      </c>
      <c r="AO459" s="31">
        <f t="shared" si="280"/>
        <v>1.5706052204456438</v>
      </c>
      <c r="AP459" s="58" t="str">
        <f t="shared" si="281"/>
        <v>-0.000152203625816844+0.000796463272116586i</v>
      </c>
      <c r="AQ459" s="49">
        <f t="shared" si="282"/>
        <v>-61.820912389400405</v>
      </c>
      <c r="AR459" s="61">
        <f t="shared" si="283"/>
        <v>100.8187491309419</v>
      </c>
      <c r="AS459" s="58" t="str">
        <f t="shared" si="284"/>
        <v>-8.79328808843405E-06-3.67618010222718E-06i</v>
      </c>
      <c r="AT459" s="64">
        <f t="shared" si="285"/>
        <v>-100.41740967802139</v>
      </c>
      <c r="AU459" s="61">
        <f t="shared" si="286"/>
        <v>-157.31182392149219</v>
      </c>
    </row>
    <row r="460" spans="14:47" x14ac:dyDescent="0.3">
      <c r="N460" s="10">
        <v>42</v>
      </c>
      <c r="O460" s="50">
        <f t="shared" si="287"/>
        <v>263026.79918953858</v>
      </c>
      <c r="P460" s="48" t="str">
        <f t="shared" si="255"/>
        <v>51201.9230769231</v>
      </c>
      <c r="Q460" s="17" t="str">
        <f t="shared" si="256"/>
        <v>1+77229.4244567519i</v>
      </c>
      <c r="R460" s="17">
        <f t="shared" si="264"/>
        <v>77229.424463226125</v>
      </c>
      <c r="S460" s="17">
        <f t="shared" si="265"/>
        <v>1.5707833783622627</v>
      </c>
      <c r="T460" s="17" t="str">
        <f t="shared" si="257"/>
        <v>1+4.95793836018655E-06i</v>
      </c>
      <c r="U460" s="17">
        <f t="shared" si="266"/>
        <v>1.0000000000122906</v>
      </c>
      <c r="V460" s="17">
        <f t="shared" si="267"/>
        <v>4.9579383601459266E-6</v>
      </c>
      <c r="W460" s="31" t="str">
        <f t="shared" si="258"/>
        <v>1-2.67728671450073i</v>
      </c>
      <c r="X460" s="17">
        <f t="shared" si="268"/>
        <v>2.8579475417932558</v>
      </c>
      <c r="Y460" s="17">
        <f t="shared" si="269"/>
        <v>-1.2133304211320832</v>
      </c>
      <c r="Z460" s="31" t="str">
        <f t="shared" si="259"/>
        <v>-26.6732388367575+163.377687996357i</v>
      </c>
      <c r="AA460" s="17">
        <f t="shared" si="270"/>
        <v>165.54072189367085</v>
      </c>
      <c r="AB460" s="17">
        <f t="shared" si="271"/>
        <v>1.7326297671100594</v>
      </c>
      <c r="AC460" s="66" t="str">
        <f t="shared" si="272"/>
        <v>-0.00222514995957697+0.0112276046181998i</v>
      </c>
      <c r="AD460" s="64">
        <f t="shared" si="273"/>
        <v>-38.826942346478106</v>
      </c>
      <c r="AE460" s="61">
        <f t="shared" si="274"/>
        <v>101.20994055964405</v>
      </c>
      <c r="AF460" s="31" t="str">
        <f t="shared" si="260"/>
        <v>-1.33333333333333E-06</v>
      </c>
      <c r="AG460" s="31" t="str">
        <f t="shared" si="261"/>
        <v>1.65429876618225i</v>
      </c>
      <c r="AH460" s="31">
        <f t="shared" si="275"/>
        <v>1.6542987661822499</v>
      </c>
      <c r="AI460" s="31">
        <f t="shared" si="276"/>
        <v>1.5707963267948966</v>
      </c>
      <c r="AJ460" s="31" t="str">
        <f t="shared" si="262"/>
        <v>1+5.34922420479666i</v>
      </c>
      <c r="AK460" s="31">
        <f t="shared" si="277"/>
        <v>5.4418930155950749</v>
      </c>
      <c r="AL460" s="31">
        <f t="shared" si="278"/>
        <v>1.3859865177651491</v>
      </c>
      <c r="AM460" s="31" t="str">
        <f t="shared" si="263"/>
        <v>1+5354.57342900146i</v>
      </c>
      <c r="AN460" s="31">
        <f t="shared" si="279"/>
        <v>5354.5735223795791</v>
      </c>
      <c r="AO460" s="31">
        <f t="shared" si="280"/>
        <v>1.5706095705571432</v>
      </c>
      <c r="AP460" s="58" t="str">
        <f t="shared" si="281"/>
        <v>-0.00014558465202396+0.000779570925428959i</v>
      </c>
      <c r="AQ460" s="49">
        <f t="shared" si="282"/>
        <v>-62.014006452904773</v>
      </c>
      <c r="AR460" s="61">
        <f t="shared" si="283"/>
        <v>100.57812172580233</v>
      </c>
      <c r="AS460" s="58" t="str">
        <f t="shared" si="284"/>
        <v>-8.42876643999433E-06-3.36922912460885E-06i</v>
      </c>
      <c r="AT460" s="64">
        <f t="shared" si="285"/>
        <v>-100.84094879938289</v>
      </c>
      <c r="AU460" s="61">
        <f t="shared" si="286"/>
        <v>-158.21193771455361</v>
      </c>
    </row>
    <row r="461" spans="14:47" x14ac:dyDescent="0.3">
      <c r="N461" s="10">
        <v>43</v>
      </c>
      <c r="O461" s="50">
        <f t="shared" si="287"/>
        <v>269153.48039269145</v>
      </c>
      <c r="P461" s="48" t="str">
        <f t="shared" si="255"/>
        <v>51201.9230769231</v>
      </c>
      <c r="Q461" s="17" t="str">
        <f t="shared" si="256"/>
        <v>1+79028.3288444703i</v>
      </c>
      <c r="R461" s="17">
        <f t="shared" si="264"/>
        <v>79028.328850797159</v>
      </c>
      <c r="S461" s="17">
        <f t="shared" si="265"/>
        <v>1.5707836731045735</v>
      </c>
      <c r="T461" s="17" t="str">
        <f t="shared" si="257"/>
        <v>1+5.07342358013884E-06i</v>
      </c>
      <c r="U461" s="17">
        <f t="shared" si="266"/>
        <v>1.0000000000128697</v>
      </c>
      <c r="V461" s="17">
        <f t="shared" si="267"/>
        <v>5.0734235800953107E-6</v>
      </c>
      <c r="W461" s="31" t="str">
        <f t="shared" si="258"/>
        <v>1-2.73964873327497i</v>
      </c>
      <c r="X461" s="17">
        <f t="shared" si="268"/>
        <v>2.9164490706568404</v>
      </c>
      <c r="Y461" s="17">
        <f t="shared" si="269"/>
        <v>-1.2208123843325325</v>
      </c>
      <c r="Z461" s="31" t="str">
        <f t="shared" si="259"/>
        <v>-27.9774384029997+167.183243221704i</v>
      </c>
      <c r="AA461" s="17">
        <f t="shared" si="270"/>
        <v>169.50803483528762</v>
      </c>
      <c r="AB461" s="17">
        <f t="shared" si="271"/>
        <v>1.7366058541408911</v>
      </c>
      <c r="AC461" s="66" t="str">
        <f t="shared" si="272"/>
        <v>-0.00204164485411908+0.0109586850462114i</v>
      </c>
      <c r="AD461" s="64">
        <f t="shared" si="273"/>
        <v>-39.056648353637009</v>
      </c>
      <c r="AE461" s="61">
        <f t="shared" si="274"/>
        <v>100.55343236926802</v>
      </c>
      <c r="AF461" s="31" t="str">
        <f t="shared" si="260"/>
        <v>-1.33333333333333E-06</v>
      </c>
      <c r="AG461" s="31" t="str">
        <f t="shared" si="261"/>
        <v>1.69283233457299i</v>
      </c>
      <c r="AH461" s="31">
        <f t="shared" si="275"/>
        <v>1.6928323345729901</v>
      </c>
      <c r="AI461" s="31">
        <f t="shared" si="276"/>
        <v>1.5707963267948966</v>
      </c>
      <c r="AJ461" s="31" t="str">
        <f t="shared" si="262"/>
        <v>1+5.47382364290702i</v>
      </c>
      <c r="AK461" s="31">
        <f t="shared" si="277"/>
        <v>5.5644177838878957</v>
      </c>
      <c r="AL461" s="31">
        <f t="shared" si="278"/>
        <v>1.3901013068571697</v>
      </c>
      <c r="AM461" s="31" t="str">
        <f t="shared" si="263"/>
        <v>1+5479.29746654994i</v>
      </c>
      <c r="AN461" s="31">
        <f t="shared" si="279"/>
        <v>5479.2975578025134</v>
      </c>
      <c r="AO461" s="31">
        <f t="shared" si="280"/>
        <v>1.570613821648023</v>
      </c>
      <c r="AP461" s="58" t="str">
        <f t="shared" si="281"/>
        <v>-0.000139243885018521+0.000762984104553243i</v>
      </c>
      <c r="AQ461" s="49">
        <f t="shared" si="282"/>
        <v>-62.207401067662531</v>
      </c>
      <c r="AR461" s="61">
        <f t="shared" si="283"/>
        <v>100.34260524680877</v>
      </c>
      <c r="AS461" s="58" t="str">
        <f t="shared" si="284"/>
        <v>-8.07701593574901E-06-3.08367245136463E-06i</v>
      </c>
      <c r="AT461" s="64">
        <f t="shared" si="285"/>
        <v>-101.26404942129953</v>
      </c>
      <c r="AU461" s="61">
        <f t="shared" si="286"/>
        <v>-159.10396238392318</v>
      </c>
    </row>
    <row r="462" spans="14:47" x14ac:dyDescent="0.3">
      <c r="N462" s="10">
        <v>44</v>
      </c>
      <c r="O462" s="50">
        <f t="shared" si="287"/>
        <v>275422.87033381703</v>
      </c>
      <c r="P462" s="48" t="str">
        <f t="shared" si="255"/>
        <v>51201.9230769231</v>
      </c>
      <c r="Q462" s="17" t="str">
        <f t="shared" si="256"/>
        <v>1+80869.1350982056i</v>
      </c>
      <c r="R462" s="17">
        <f t="shared" si="264"/>
        <v>80869.135104388435</v>
      </c>
      <c r="S462" s="17">
        <f t="shared" si="265"/>
        <v>1.5707839611377306</v>
      </c>
      <c r="T462" s="17" t="str">
        <f t="shared" si="257"/>
        <v>1+5.19159879642801E-06i</v>
      </c>
      <c r="U462" s="17">
        <f t="shared" si="266"/>
        <v>1.0000000000134763</v>
      </c>
      <c r="V462" s="17">
        <f t="shared" si="267"/>
        <v>5.1915987963813671E-6</v>
      </c>
      <c r="W462" s="31" t="str">
        <f t="shared" si="258"/>
        <v>1-2.80346335007112i</v>
      </c>
      <c r="X462" s="17">
        <f t="shared" si="268"/>
        <v>2.9764755593137306</v>
      </c>
      <c r="Y462" s="17">
        <f t="shared" si="269"/>
        <v>-1.2281637387273321</v>
      </c>
      <c r="Z462" s="31" t="str">
        <f t="shared" si="259"/>
        <v>-29.3431030011676+171.077441215539i</v>
      </c>
      <c r="AA462" s="17">
        <f t="shared" si="270"/>
        <v>173.5756566647332</v>
      </c>
      <c r="AB462" s="17">
        <f t="shared" si="271"/>
        <v>1.7406628515949705</v>
      </c>
      <c r="AC462" s="66" t="str">
        <f t="shared" si="272"/>
        <v>-0.00186662241319577+0.0106955152242877i</v>
      </c>
      <c r="AD462" s="64">
        <f t="shared" si="273"/>
        <v>-39.285660433755353</v>
      </c>
      <c r="AE462" s="61">
        <f t="shared" si="274"/>
        <v>99.899772224983991</v>
      </c>
      <c r="AF462" s="31" t="str">
        <f t="shared" si="260"/>
        <v>-1.33333333333333E-06</v>
      </c>
      <c r="AG462" s="31" t="str">
        <f t="shared" si="261"/>
        <v>1.73226346507481i</v>
      </c>
      <c r="AH462" s="31">
        <f t="shared" si="275"/>
        <v>1.7322634650748101</v>
      </c>
      <c r="AI462" s="31">
        <f t="shared" si="276"/>
        <v>1.5707963267948966</v>
      </c>
      <c r="AJ462" s="31" t="str">
        <f t="shared" si="262"/>
        <v>1+5.60132537476748i</v>
      </c>
      <c r="AK462" s="31">
        <f t="shared" si="277"/>
        <v>5.6898898015703301</v>
      </c>
      <c r="AL462" s="31">
        <f t="shared" si="278"/>
        <v>1.3941284185260998</v>
      </c>
      <c r="AM462" s="31" t="str">
        <f t="shared" si="263"/>
        <v>1+5606.92670014225i</v>
      </c>
      <c r="AN462" s="31">
        <f t="shared" si="279"/>
        <v>5606.926789317662</v>
      </c>
      <c r="AO462" s="31">
        <f t="shared" si="280"/>
        <v>1.5706179759722665</v>
      </c>
      <c r="AP462" s="58" t="str">
        <f t="shared" si="281"/>
        <v>-0.000133170454273838+0.000746700750549436i</v>
      </c>
      <c r="AQ462" s="49">
        <f t="shared" si="282"/>
        <v>-62.401083581486347</v>
      </c>
      <c r="AR462" s="61">
        <f t="shared" si="283"/>
        <v>100.11210676979705</v>
      </c>
      <c r="AS462" s="58" t="str">
        <f t="shared" si="284"/>
        <v>-7.73777029076554E-06-2.81813497803682E-06i</v>
      </c>
      <c r="AT462" s="64">
        <f t="shared" si="285"/>
        <v>-101.6867440152417</v>
      </c>
      <c r="AU462" s="61">
        <f t="shared" si="286"/>
        <v>-159.98812100521897</v>
      </c>
    </row>
    <row r="463" spans="14:47" x14ac:dyDescent="0.3">
      <c r="N463" s="10">
        <v>45</v>
      </c>
      <c r="O463" s="50">
        <f t="shared" si="287"/>
        <v>281838.29312644573</v>
      </c>
      <c r="P463" s="48" t="str">
        <f t="shared" si="255"/>
        <v>51201.9230769231</v>
      </c>
      <c r="Q463" s="17" t="str">
        <f t="shared" si="256"/>
        <v>1+82752.8192377993i</v>
      </c>
      <c r="R463" s="17">
        <f t="shared" si="264"/>
        <v>82752.819243841383</v>
      </c>
      <c r="S463" s="17">
        <f t="shared" si="265"/>
        <v>1.5707842426144523</v>
      </c>
      <c r="T463" s="17" t="str">
        <f t="shared" si="257"/>
        <v>1+5.31252666711798E-06i</v>
      </c>
      <c r="U463" s="17">
        <f t="shared" si="266"/>
        <v>1.0000000000141114</v>
      </c>
      <c r="V463" s="17">
        <f t="shared" si="267"/>
        <v>5.3125266670680013E-6</v>
      </c>
      <c r="W463" s="31" t="str">
        <f t="shared" si="258"/>
        <v>1-2.86876440024371i</v>
      </c>
      <c r="X463" s="17">
        <f t="shared" si="268"/>
        <v>3.038060102122019</v>
      </c>
      <c r="Y463" s="17">
        <f t="shared" si="269"/>
        <v>-1.235385202855964</v>
      </c>
      <c r="Z463" s="31" t="str">
        <f t="shared" si="259"/>
        <v>-30.7731293889715+175.062346733184i</v>
      </c>
      <c r="AA463" s="17">
        <f t="shared" si="270"/>
        <v>177.74647882903312</v>
      </c>
      <c r="AB463" s="17">
        <f t="shared" si="271"/>
        <v>1.744802428135116</v>
      </c>
      <c r="AC463" s="66" t="str">
        <f t="shared" si="272"/>
        <v>-0.00169971050234382+0.0104379649937098i</v>
      </c>
      <c r="AD463" s="64">
        <f t="shared" si="273"/>
        <v>-39.514023406623295</v>
      </c>
      <c r="AE463" s="61">
        <f t="shared" si="274"/>
        <v>99.248823345014827</v>
      </c>
      <c r="AF463" s="31" t="str">
        <f t="shared" si="260"/>
        <v>-1.33333333333333E-06</v>
      </c>
      <c r="AG463" s="31" t="str">
        <f t="shared" si="261"/>
        <v>1.77261306459503i</v>
      </c>
      <c r="AH463" s="31">
        <f t="shared" si="275"/>
        <v>1.77261306459503</v>
      </c>
      <c r="AI463" s="31">
        <f t="shared" si="276"/>
        <v>1.5707963267948966</v>
      </c>
      <c r="AJ463" s="31" t="str">
        <f t="shared" si="262"/>
        <v>1+5.73179700348393i</v>
      </c>
      <c r="AK463" s="31">
        <f t="shared" si="277"/>
        <v>5.818375794768448</v>
      </c>
      <c r="AL463" s="31">
        <f t="shared" si="278"/>
        <v>1.3980694652604824</v>
      </c>
      <c r="AM463" s="31" t="str">
        <f t="shared" si="263"/>
        <v>1+5737.52880048742i</v>
      </c>
      <c r="AN463" s="31">
        <f t="shared" si="279"/>
        <v>5737.5288876329514</v>
      </c>
      <c r="AO463" s="31">
        <f t="shared" si="280"/>
        <v>1.5706220357325513</v>
      </c>
      <c r="AP463" s="58" t="str">
        <f t="shared" si="281"/>
        <v>-0.000127353843440725+0.000730718563427455i</v>
      </c>
      <c r="AQ463" s="49">
        <f t="shared" si="282"/>
        <v>-62.59504183822601</v>
      </c>
      <c r="AR463" s="61">
        <f t="shared" si="283"/>
        <v>99.886534032183221</v>
      </c>
      <c r="AS463" s="58" t="str">
        <f t="shared" si="284"/>
        <v>-7.41075012009964E-06-2.57132497616392E-06i</v>
      </c>
      <c r="AT463" s="64">
        <f t="shared" si="285"/>
        <v>-102.10906524484932</v>
      </c>
      <c r="AU463" s="61">
        <f t="shared" si="286"/>
        <v>-160.86464262280194</v>
      </c>
    </row>
    <row r="464" spans="14:47" x14ac:dyDescent="0.3">
      <c r="N464" s="10">
        <v>46</v>
      </c>
      <c r="O464" s="50">
        <f t="shared" si="287"/>
        <v>288403.1503126609</v>
      </c>
      <c r="P464" s="48" t="str">
        <f t="shared" si="255"/>
        <v>51201.9230769231</v>
      </c>
      <c r="Q464" s="17" t="str">
        <f t="shared" si="256"/>
        <v>1+84680.3800175161i</v>
      </c>
      <c r="R464" s="17">
        <f t="shared" si="264"/>
        <v>84680.380023420657</v>
      </c>
      <c r="S464" s="17">
        <f t="shared" si="265"/>
        <v>1.5707845176839816</v>
      </c>
      <c r="T464" s="17" t="str">
        <f t="shared" si="257"/>
        <v>1+5.43627130976647E-06i</v>
      </c>
      <c r="U464" s="17">
        <f t="shared" si="266"/>
        <v>1.0000000000147766</v>
      </c>
      <c r="V464" s="17">
        <f t="shared" si="267"/>
        <v>5.4362713097129171E-6</v>
      </c>
      <c r="W464" s="31" t="str">
        <f t="shared" si="258"/>
        <v>1-2.93558650727389i</v>
      </c>
      <c r="X464" s="17">
        <f t="shared" si="268"/>
        <v>3.1012365504244457</v>
      </c>
      <c r="Y464" s="17">
        <f t="shared" si="269"/>
        <v>-1.2424775919210302</v>
      </c>
      <c r="Z464" s="31" t="str">
        <f t="shared" si="259"/>
        <v>-32.2705508441071+179.140072624291i</v>
      </c>
      <c r="AA464" s="17">
        <f t="shared" si="270"/>
        <v>182.02349867975386</v>
      </c>
      <c r="AB464" s="17">
        <f t="shared" si="271"/>
        <v>1.7490262638897949</v>
      </c>
      <c r="AC464" s="66" t="str">
        <f t="shared" si="272"/>
        <v>-0.00154055409622043+0.0101859068983927i</v>
      </c>
      <c r="AD464" s="64">
        <f t="shared" si="273"/>
        <v>-39.741781788328424</v>
      </c>
      <c r="AE464" s="61">
        <f t="shared" si="274"/>
        <v>98.600442752544851</v>
      </c>
      <c r="AF464" s="31" t="str">
        <f t="shared" si="260"/>
        <v>-1.33333333333333E-06</v>
      </c>
      <c r="AG464" s="31" t="str">
        <f t="shared" si="261"/>
        <v>1.81390252702541i</v>
      </c>
      <c r="AH464" s="31">
        <f t="shared" si="275"/>
        <v>1.8139025270254101</v>
      </c>
      <c r="AI464" s="31">
        <f t="shared" si="276"/>
        <v>1.5707963267948966</v>
      </c>
      <c r="AJ464" s="31" t="str">
        <f t="shared" si="262"/>
        <v>1+5.86530770684093i</v>
      </c>
      <c r="AK464" s="31">
        <f t="shared" si="277"/>
        <v>5.9499440750252113</v>
      </c>
      <c r="AL464" s="31">
        <f t="shared" si="278"/>
        <v>1.4019260467182406</v>
      </c>
      <c r="AM464" s="31" t="str">
        <f t="shared" si="263"/>
        <v>1+5871.17301454778i</v>
      </c>
      <c r="AN464" s="31">
        <f t="shared" si="279"/>
        <v>5871.1730997096383</v>
      </c>
      <c r="AO464" s="31">
        <f t="shared" si="280"/>
        <v>1.5706260030814152</v>
      </c>
      <c r="AP464" s="58" t="str">
        <f t="shared" si="281"/>
        <v>-0.000121783885048033+0.00071503502292723i</v>
      </c>
      <c r="AQ464" s="49">
        <f t="shared" si="282"/>
        <v>-62.789264161459201</v>
      </c>
      <c r="AR464" s="61">
        <f t="shared" si="283"/>
        <v>99.665795503651012</v>
      </c>
      <c r="AS464" s="58" t="str">
        <f t="shared" si="284"/>
        <v>-7.09566550966247E-06-2.34202944833544E-06i</v>
      </c>
      <c r="AT464" s="64">
        <f t="shared" si="285"/>
        <v>-102.53104594978763</v>
      </c>
      <c r="AU464" s="61">
        <f t="shared" si="286"/>
        <v>-161.73376174380411</v>
      </c>
    </row>
    <row r="465" spans="14:47" x14ac:dyDescent="0.3">
      <c r="N465" s="10">
        <v>47</v>
      </c>
      <c r="O465" s="50">
        <f t="shared" si="287"/>
        <v>295120.92266663886</v>
      </c>
      <c r="P465" s="48" t="str">
        <f t="shared" si="255"/>
        <v>51201.9230769231</v>
      </c>
      <c r="Q465" s="17" t="str">
        <f t="shared" si="256"/>
        <v>1+86652.8394555953i</v>
      </c>
      <c r="R465" s="17">
        <f t="shared" si="264"/>
        <v>86652.839461365453</v>
      </c>
      <c r="S465" s="17">
        <f t="shared" si="265"/>
        <v>1.570784786492164</v>
      </c>
      <c r="T465" s="17" t="str">
        <f t="shared" si="257"/>
        <v>1+5.56289833542094E-06i</v>
      </c>
      <c r="U465" s="17">
        <f t="shared" si="266"/>
        <v>1.000000000015473</v>
      </c>
      <c r="V465" s="17">
        <f t="shared" si="267"/>
        <v>5.5628983353635568E-6</v>
      </c>
      <c r="W465" s="31" t="str">
        <f t="shared" si="258"/>
        <v>1-3.0039651011273i</v>
      </c>
      <c r="X465" s="17">
        <f t="shared" si="268"/>
        <v>3.1660395336746423</v>
      </c>
      <c r="Y465" s="17">
        <f t="shared" si="269"/>
        <v>-1.2494418113898584</v>
      </c>
      <c r="Z465" s="31" t="str">
        <f t="shared" si="259"/>
        <v>-33.8385435982434+183.312780953102i</v>
      </c>
      <c r="AA465" s="17">
        <f t="shared" si="270"/>
        <v>186.40982456300466</v>
      </c>
      <c r="AB465" s="17">
        <f t="shared" si="271"/>
        <v>1.7533360492842736</v>
      </c>
      <c r="AC465" s="66" t="str">
        <f t="shared" si="272"/>
        <v>-0.00138881451856302+0.0099392161570842i</v>
      </c>
      <c r="AD465" s="64">
        <f t="shared" si="273"/>
        <v>-39.968979795006781</v>
      </c>
      <c r="AE465" s="61">
        <f t="shared" si="274"/>
        <v>97.954481709287265</v>
      </c>
      <c r="AF465" s="31" t="str">
        <f t="shared" si="260"/>
        <v>-1.33333333333333E-06</v>
      </c>
      <c r="AG465" s="31" t="str">
        <f t="shared" si="261"/>
        <v>1.85615374458545i</v>
      </c>
      <c r="AH465" s="31">
        <f t="shared" si="275"/>
        <v>1.8561537445854499</v>
      </c>
      <c r="AI465" s="31">
        <f t="shared" si="276"/>
        <v>1.5707963267948966</v>
      </c>
      <c r="AJ465" s="31" t="str">
        <f t="shared" si="262"/>
        <v>1+6.00192827398062i</v>
      </c>
      <c r="AK465" s="31">
        <f t="shared" si="277"/>
        <v>6.0846645762940774</v>
      </c>
      <c r="AL465" s="31">
        <f t="shared" si="278"/>
        <v>1.4056997486021463</v>
      </c>
      <c r="AM465" s="31" t="str">
        <f t="shared" si="263"/>
        <v>1+6007.9302022546i</v>
      </c>
      <c r="AN465" s="31">
        <f t="shared" si="279"/>
        <v>6007.9302854779362</v>
      </c>
      <c r="AO465" s="31">
        <f t="shared" si="280"/>
        <v>1.5706298801223986</v>
      </c>
      <c r="AP465" s="58" t="str">
        <f t="shared" si="281"/>
        <v>-0.000116450754654783+0.000699647408189452i</v>
      </c>
      <c r="AQ465" s="49">
        <f t="shared" si="282"/>
        <v>-62.983739338441282</v>
      </c>
      <c r="AR465" s="61">
        <f t="shared" si="283"/>
        <v>99.449800450648056</v>
      </c>
      <c r="AS465" s="58" t="str">
        <f t="shared" si="284"/>
        <v>-0.0000067922183249765-2.12910970053797E-06i</v>
      </c>
      <c r="AT465" s="64">
        <f t="shared" si="285"/>
        <v>-102.95271913344807</v>
      </c>
      <c r="AU465" s="61">
        <f t="shared" si="286"/>
        <v>-162.59571784006465</v>
      </c>
    </row>
    <row r="466" spans="14:47" x14ac:dyDescent="0.3">
      <c r="N466" s="10">
        <v>48</v>
      </c>
      <c r="O466" s="50">
        <f t="shared" si="287"/>
        <v>301995.17204020242</v>
      </c>
      <c r="P466" s="48" t="str">
        <f t="shared" si="255"/>
        <v>51201.9230769231</v>
      </c>
      <c r="Q466" s="17" t="str">
        <f t="shared" si="256"/>
        <v>1+88671.2433761399i</v>
      </c>
      <c r="R466" s="17">
        <f t="shared" si="264"/>
        <v>88671.24338177871</v>
      </c>
      <c r="S466" s="17">
        <f t="shared" si="265"/>
        <v>1.5707850491815252</v>
      </c>
      <c r="T466" s="17" t="str">
        <f t="shared" si="257"/>
        <v>1+5.69247488340652E-06i</v>
      </c>
      <c r="U466" s="17">
        <f t="shared" si="266"/>
        <v>1.0000000000162022</v>
      </c>
      <c r="V466" s="17">
        <f t="shared" si="267"/>
        <v>5.6924748833450327E-6</v>
      </c>
      <c r="W466" s="31" t="str">
        <f t="shared" si="258"/>
        <v>1-3.07393643703952i</v>
      </c>
      <c r="X466" s="17">
        <f t="shared" si="268"/>
        <v>3.2325044808877244</v>
      </c>
      <c r="Y466" s="17">
        <f t="shared" si="269"/>
        <v>-1.2562788507503093</v>
      </c>
      <c r="Z466" s="31" t="str">
        <f t="shared" si="259"/>
        <v>-35.4804335742366+187.582684144806i</v>
      </c>
      <c r="AA466" s="17">
        <f t="shared" si="270"/>
        <v>190.90868120016401</v>
      </c>
      <c r="AB466" s="17">
        <f t="shared" si="271"/>
        <v>1.7577334837583412</v>
      </c>
      <c r="AC466" s="66" t="str">
        <f t="shared" si="272"/>
        <v>-0.00124416871615469+0.00969777063544633i</v>
      </c>
      <c r="AD466" s="64">
        <f t="shared" si="273"/>
        <v>-40.195661349948892</v>
      </c>
      <c r="AE466" s="61">
        <f t="shared" si="274"/>
        <v>97.310786146716836</v>
      </c>
      <c r="AF466" s="31" t="str">
        <f t="shared" si="260"/>
        <v>-1.33333333333333E-06</v>
      </c>
      <c r="AG466" s="31" t="str">
        <f t="shared" si="261"/>
        <v>1.89938911942997i</v>
      </c>
      <c r="AH466" s="31">
        <f t="shared" si="275"/>
        <v>1.8993891194299699</v>
      </c>
      <c r="AI466" s="31">
        <f t="shared" si="276"/>
        <v>1.5707963267948966</v>
      </c>
      <c r="AJ466" s="31" t="str">
        <f t="shared" si="262"/>
        <v>1+6.14173114293609i</v>
      </c>
      <c r="AK466" s="31">
        <f t="shared" si="277"/>
        <v>6.222608892748366</v>
      </c>
      <c r="AL466" s="31">
        <f t="shared" si="278"/>
        <v>1.4093921416374826</v>
      </c>
      <c r="AM466" s="31" t="str">
        <f t="shared" si="263"/>
        <v>1+6147.87287407903i</v>
      </c>
      <c r="AN466" s="31">
        <f t="shared" si="279"/>
        <v>6147.8729554079728</v>
      </c>
      <c r="AO466" s="31">
        <f t="shared" si="280"/>
        <v>1.5706336689111597</v>
      </c>
      <c r="AP466" s="58" t="str">
        <f t="shared" si="281"/>
        <v>-0.000111344964530313+0.000684552816348794i</v>
      </c>
      <c r="AQ466" s="49">
        <f t="shared" si="282"/>
        <v>-63.178456604337434</v>
      </c>
      <c r="AR466" s="61">
        <f t="shared" si="283"/>
        <v>99.238458995025255</v>
      </c>
      <c r="AS466" s="58" t="str">
        <f t="shared" si="284"/>
        <v>-6.50010427922945E-06-1.93149712608364E-06i</v>
      </c>
      <c r="AT466" s="64">
        <f t="shared" si="285"/>
        <v>-103.37411795428633</v>
      </c>
      <c r="AU466" s="61">
        <f t="shared" si="286"/>
        <v>-163.45075485825788</v>
      </c>
    </row>
    <row r="467" spans="14:47" x14ac:dyDescent="0.3">
      <c r="N467" s="10">
        <v>49</v>
      </c>
      <c r="O467" s="50">
        <f t="shared" si="287"/>
        <v>309029.54325135931</v>
      </c>
      <c r="P467" s="48" t="str">
        <f t="shared" ref="P467:P530" si="288">COMPLEX(Adc,0)</f>
        <v>51201.9230769231</v>
      </c>
      <c r="Q467" s="17" t="str">
        <f t="shared" ref="Q467:Q530" si="289">IMSUM(COMPLEX(1,0),IMDIV(COMPLEX(0,2*PI()*O467),COMPLEX(wp_lf,0)))</f>
        <v>1+90736.6619636251i</v>
      </c>
      <c r="R467" s="17">
        <f t="shared" si="264"/>
        <v>90736.661969135544</v>
      </c>
      <c r="S467" s="17">
        <f t="shared" si="265"/>
        <v>1.5707853058913466</v>
      </c>
      <c r="T467" s="17" t="str">
        <f t="shared" ref="T467:T530" si="290">IMSUM(COMPLEX(1,0),IMDIV(COMPLEX(0,2*PI()*O467),COMPLEX(wz_esr,0)))</f>
        <v>1+5.82506965692409E-06i</v>
      </c>
      <c r="U467" s="17">
        <f t="shared" si="266"/>
        <v>1.0000000000169658</v>
      </c>
      <c r="V467" s="17">
        <f t="shared" si="267"/>
        <v>5.8250696568582057E-6</v>
      </c>
      <c r="W467" s="31" t="str">
        <f t="shared" ref="W467:W530" si="291">IMSUB(COMPLEX(1,0),IMDIV(COMPLEX(0,2*PI()*O467),COMPLEX(wz_rhp,0)))</f>
        <v>1-3.145537614739i</v>
      </c>
      <c r="X467" s="17">
        <f t="shared" si="268"/>
        <v>3.3006676424229568</v>
      </c>
      <c r="Y467" s="17">
        <f t="shared" si="269"/>
        <v>-1.2629897774351551</v>
      </c>
      <c r="Z467" s="31" t="str">
        <f t="shared" ref="Z467:Z530" si="292">IMSUM(COMPLEX(1,0),IMDIV(COMPLEX(0,2*PI()*O467),COMPLEX(Q*(wsl/2),0)),IMDIV(IMPOWER(COMPLEX(0,2*PI()*O467),2),IMPOWER(COMPLEX(wsl/2,0),2)))</f>
        <v>-37.1997034408576+191.952046158594i</v>
      </c>
      <c r="AA467" s="17">
        <f t="shared" si="270"/>
        <v>195.52341537667232</v>
      </c>
      <c r="AB467" s="17">
        <f t="shared" si="271"/>
        <v>1.7622202743644957</v>
      </c>
      <c r="AC467" s="66" t="str">
        <f t="shared" si="272"/>
        <v>-0.00110630856521549+0.00946145081814488i</v>
      </c>
      <c r="AD467" s="64">
        <f t="shared" si="273"/>
        <v>-40.421870093823756</v>
      </c>
      <c r="AE467" s="61">
        <f t="shared" si="274"/>
        <v>96.669197094493356</v>
      </c>
      <c r="AF467" s="31" t="str">
        <f t="shared" ref="AF467:AF530" si="293">COMPLEX(Adc_ea,0)</f>
        <v>-1.33333333333333E-06</v>
      </c>
      <c r="AG467" s="31" t="str">
        <f t="shared" ref="AG467:AG530" si="294">COMPLEX(0,2*PI()*O467*wp0_ea)</f>
        <v>1.943631575527i</v>
      </c>
      <c r="AH467" s="31">
        <f t="shared" si="275"/>
        <v>1.9436315755269999</v>
      </c>
      <c r="AI467" s="31">
        <f t="shared" si="276"/>
        <v>1.5707963267948966</v>
      </c>
      <c r="AJ467" s="31" t="str">
        <f t="shared" ref="AJ467:AJ530" si="295">IMSUM(COMPLEX(1,0),IMDIV(COMPLEX(0,2*PI()*O467),COMPLEX(wp1_ea,0)))</f>
        <v>1+6.28479043903896i</v>
      </c>
      <c r="AK467" s="31">
        <f t="shared" si="277"/>
        <v>6.3638503174285557</v>
      </c>
      <c r="AL467" s="31">
        <f t="shared" si="278"/>
        <v>1.4130047806462285</v>
      </c>
      <c r="AM467" s="31" t="str">
        <f t="shared" ref="AM467:AM530" si="296">IMSUM(COMPLEX(1,0),IMDIV(COMPLEX(0,2*PI()*O467),COMPLEX(wz_ea,0)))</f>
        <v>1+6291.07522947801i</v>
      </c>
      <c r="AN467" s="31">
        <f t="shared" si="279"/>
        <v>6291.0753089556792</v>
      </c>
      <c r="AO467" s="31">
        <f t="shared" si="280"/>
        <v>1.570637371456564</v>
      </c>
      <c r="AP467" s="58" t="str">
        <f t="shared" si="281"/>
        <v>-0.000106457356932863+0.00066974818008333i</v>
      </c>
      <c r="AQ467" s="49">
        <f t="shared" si="282"/>
        <v>-63.373405626757211</v>
      </c>
      <c r="AR467" s="61">
        <f t="shared" si="283"/>
        <v>99.031682167144893</v>
      </c>
      <c r="AS467" s="58" t="str">
        <f t="shared" si="284"/>
        <v>-6.21901478059544E-06-1.74818919501365E-06i</v>
      </c>
      <c r="AT467" s="64">
        <f t="shared" si="285"/>
        <v>-103.79527572058097</v>
      </c>
      <c r="AU467" s="61">
        <f t="shared" si="286"/>
        <v>-164.29912073836175</v>
      </c>
    </row>
    <row r="468" spans="14:47" x14ac:dyDescent="0.3">
      <c r="N468" s="10">
        <v>50</v>
      </c>
      <c r="O468" s="50">
        <f t="shared" si="287"/>
        <v>316227.7660168382</v>
      </c>
      <c r="P468" s="48" t="str">
        <f t="shared" si="288"/>
        <v>51201.9230769231</v>
      </c>
      <c r="Q468" s="17" t="str">
        <f t="shared" si="289"/>
        <v>1+92850.1903303251i</v>
      </c>
      <c r="R468" s="17">
        <f t="shared" ref="R468:R531" si="297">IMABS(Q468)</f>
        <v>92850.190335710111</v>
      </c>
      <c r="S468" s="17">
        <f t="shared" ref="S468:S531" si="298">IMARGUMENT(Q468)</f>
        <v>1.5707855567577389</v>
      </c>
      <c r="T468" s="17" t="str">
        <f t="shared" si="290"/>
        <v>1+5.96075295947767E-06i</v>
      </c>
      <c r="U468" s="17">
        <f t="shared" ref="U468:U531" si="299">IMABS(T468)</f>
        <v>1.0000000000177653</v>
      </c>
      <c r="V468" s="17">
        <f t="shared" ref="V468:V531" si="300">IMARGUMENT(T468)</f>
        <v>5.9607529594070738E-6</v>
      </c>
      <c r="W468" s="31" t="str">
        <f t="shared" si="291"/>
        <v>1-3.21880659811794i</v>
      </c>
      <c r="X468" s="17">
        <f t="shared" ref="X468:X531" si="301">IMABS(W468)</f>
        <v>3.3705661121075177</v>
      </c>
      <c r="Y468" s="17">
        <f t="shared" ref="Y468:Y531" si="302">IMARGUMENT(W468)</f>
        <v>-1.2695757309271287</v>
      </c>
      <c r="Z468" s="31" t="str">
        <f t="shared" si="292"/>
        <v>-39+196.423183688041i</v>
      </c>
      <c r="AA468" s="17">
        <f t="shared" ref="AA468:AA531" si="303">IMABS(Z468)</f>
        <v>200.25750195721983</v>
      </c>
      <c r="AB468" s="17">
        <f t="shared" ref="AB468:AB531" si="304">IMARGUMENT(Z468)</f>
        <v>1.7667981342403669</v>
      </c>
      <c r="AC468" s="66" t="str">
        <f t="shared" ref="AC468:AC531" si="305">(IMDIV(IMPRODUCT(P468,T468,W468),IMPRODUCT(Q468,Z468)))</f>
        <v>-0.000974940208705519+0.00923013978106346i</v>
      </c>
      <c r="AD468" s="64">
        <f t="shared" ref="AD468:AD531" si="306">20*LOG(IMABS(AC468))</f>
        <v>-40.647649397779716</v>
      </c>
      <c r="AE468" s="61">
        <f t="shared" ref="AE468:AE531" si="307">(180/PI())*IMARGUMENT(AC468)</f>
        <v>96.02955110573923</v>
      </c>
      <c r="AF468" s="31" t="str">
        <f t="shared" si="293"/>
        <v>-1.33333333333333E-06</v>
      </c>
      <c r="AG468" s="31" t="str">
        <f t="shared" si="294"/>
        <v>1.98890457081238i</v>
      </c>
      <c r="AH468" s="31">
        <f t="shared" ref="AH468:AH531" si="308">IMABS(AG468)</f>
        <v>1.98890457081238</v>
      </c>
      <c r="AI468" s="31">
        <f t="shared" ref="AI468:AI531" si="309">IMARGUMENT(AG468)</f>
        <v>1.5707963267948966</v>
      </c>
      <c r="AJ468" s="31" t="str">
        <f t="shared" si="295"/>
        <v>1+6.43118201422164i</v>
      </c>
      <c r="AK468" s="31">
        <f t="shared" ref="AK468:AK531" si="310">IMABS(AJ468)</f>
        <v>6.508463881750278</v>
      </c>
      <c r="AL468" s="31">
        <f t="shared" ref="AL468:AL531" si="311">IMARGUMENT(AJ468)</f>
        <v>1.4165392037122873</v>
      </c>
      <c r="AM468" s="31" t="str">
        <f t="shared" si="296"/>
        <v>1+6437.61319623587i</v>
      </c>
      <c r="AN468" s="31">
        <f t="shared" ref="AN468:AN531" si="312">IMABS(AM468)</f>
        <v>6437.6132739044078</v>
      </c>
      <c r="AO468" s="31">
        <f t="shared" ref="AO468:AO531" si="313">IMARGUMENT(AM468)</f>
        <v>1.5706409897217495</v>
      </c>
      <c r="AP468" s="58" t="str">
        <f t="shared" ref="AP468:AP531" si="314">IMPRODUCT(AF468,IMDIV(AM468,IMPRODUCT(AG468,AJ468)))</f>
        <v>-0.000101779097051248+0.000655230284155324i</v>
      </c>
      <c r="AQ468" s="49">
        <f t="shared" ref="AQ468:AQ531" si="315">20*LOG(IMABS(AP468))</f>
        <v>-63.568576490609701</v>
      </c>
      <c r="AR468" s="61">
        <f t="shared" ref="AR468:AR531" si="316">(180/PI())*IMARGUMENT(AP468)</f>
        <v>98.829381953770323</v>
      </c>
      <c r="AS468" s="58" t="str">
        <f t="shared" ref="AS468:AS531" si="317">IMPRODUCT(AC468,AP468)</f>
        <v>-5.94863857741857E-06-1.57824564255801E-06i</v>
      </c>
      <c r="AT468" s="64">
        <f t="shared" ref="AT468:AT531" si="318">20*LOG(IMABS(AS468))</f>
        <v>-104.21622588838942</v>
      </c>
      <c r="AU468" s="61">
        <f t="shared" ref="AU468:AU531" si="319">(180/PI())*IMARGUMENT(AS468)</f>
        <v>-165.14106694049048</v>
      </c>
    </row>
    <row r="469" spans="14:47" x14ac:dyDescent="0.3">
      <c r="N469" s="10">
        <v>51</v>
      </c>
      <c r="O469" s="50">
        <f t="shared" si="287"/>
        <v>323593.65692962846</v>
      </c>
      <c r="P469" s="48" t="str">
        <f t="shared" si="288"/>
        <v>51201.9230769231</v>
      </c>
      <c r="Q469" s="17" t="str">
        <f t="shared" si="289"/>
        <v>1+95012.9490969559i</v>
      </c>
      <c r="R469" s="17">
        <f t="shared" si="297"/>
        <v>95012.949102218336</v>
      </c>
      <c r="S469" s="17">
        <f t="shared" si="298"/>
        <v>1.5707858019137151</v>
      </c>
      <c r="T469" s="17" t="str">
        <f t="shared" si="290"/>
        <v>1+6.09959673215026E-06i</v>
      </c>
      <c r="U469" s="17">
        <f t="shared" si="299"/>
        <v>1.0000000000186025</v>
      </c>
      <c r="V469" s="17">
        <f t="shared" si="300"/>
        <v>6.0995967320746147E-6</v>
      </c>
      <c r="W469" s="31" t="str">
        <f t="shared" si="291"/>
        <v>1-3.29378223536113i</v>
      </c>
      <c r="X469" s="17">
        <f t="shared" si="301"/>
        <v>3.4422378497106445</v>
      </c>
      <c r="Y469" s="17">
        <f t="shared" si="302"/>
        <v>-1.2760379170545464</v>
      </c>
      <c r="Z469" s="31" t="str">
        <f t="shared" si="292"/>
        <v>-40.885141922036+200.998467389448i</v>
      </c>
      <c r="AA469" s="17">
        <f t="shared" si="303"/>
        <v>205.11455024666586</v>
      </c>
      <c r="AB469" s="17">
        <f t="shared" si="304"/>
        <v>1.7714687809490171</v>
      </c>
      <c r="AC469" s="66" t="str">
        <f t="shared" si="305"/>
        <v>-0.00084978342308883+0.00900372316374393i</v>
      </c>
      <c r="AD469" s="64">
        <f t="shared" si="306"/>
        <v>-40.873042379183609</v>
      </c>
      <c r="AE469" s="61">
        <f t="shared" si="307"/>
        <v>95.391680678967305</v>
      </c>
      <c r="AF469" s="31" t="str">
        <f t="shared" si="293"/>
        <v>-1.33333333333333E-06</v>
      </c>
      <c r="AG469" s="31" t="str">
        <f t="shared" si="294"/>
        <v>2.03523210962747i</v>
      </c>
      <c r="AH469" s="31">
        <f t="shared" si="308"/>
        <v>2.0352321096274699</v>
      </c>
      <c r="AI469" s="31">
        <f t="shared" si="309"/>
        <v>1.5707963267948966</v>
      </c>
      <c r="AJ469" s="31" t="str">
        <f t="shared" si="295"/>
        <v>1+6.58098348723503i</v>
      </c>
      <c r="AK469" s="31">
        <f t="shared" si="310"/>
        <v>6.6565263958959955</v>
      </c>
      <c r="AL469" s="31">
        <f t="shared" si="311"/>
        <v>1.4199969314324652</v>
      </c>
      <c r="AM469" s="31" t="str">
        <f t="shared" si="296"/>
        <v>1+6587.56447072227i</v>
      </c>
      <c r="AN469" s="31">
        <f t="shared" si="312"/>
        <v>6587.5645466228552</v>
      </c>
      <c r="AO469" s="31">
        <f t="shared" si="313"/>
        <v>1.570644525625168</v>
      </c>
      <c r="AP469" s="58" t="str">
        <f t="shared" si="314"/>
        <v>-0.0000973016656688962+0.000640995780979802i</v>
      </c>
      <c r="AQ469" s="49">
        <f t="shared" si="315"/>
        <v>-63.763959683291908</v>
      </c>
      <c r="AR469" s="61">
        <f t="shared" si="316"/>
        <v>98.631471341041404</v>
      </c>
      <c r="AS469" s="58" t="str">
        <f t="shared" si="317"/>
        <v>-5.68866321854561E-06-1.42078485000042E-06i</v>
      </c>
      <c r="AT469" s="64">
        <f t="shared" si="318"/>
        <v>-104.63700206247553</v>
      </c>
      <c r="AU469" s="61">
        <f t="shared" si="319"/>
        <v>-165.97684797999131</v>
      </c>
    </row>
    <row r="470" spans="14:47" x14ac:dyDescent="0.3">
      <c r="N470" s="10">
        <v>52</v>
      </c>
      <c r="O470" s="50">
        <f t="shared" si="287"/>
        <v>331131.12148259126</v>
      </c>
      <c r="P470" s="48" t="str">
        <f t="shared" si="288"/>
        <v>51201.9230769231</v>
      </c>
      <c r="Q470" s="17" t="str">
        <f t="shared" si="289"/>
        <v>1+97226.0849868433i</v>
      </c>
      <c r="R470" s="17">
        <f t="shared" si="297"/>
        <v>97226.084991985947</v>
      </c>
      <c r="S470" s="17">
        <f t="shared" si="298"/>
        <v>1.5707860414892598</v>
      </c>
      <c r="T470" s="17" t="str">
        <f t="shared" si="290"/>
        <v>1+6.24167459174797E-06i</v>
      </c>
      <c r="U470" s="17">
        <f t="shared" si="299"/>
        <v>1.0000000000194791</v>
      </c>
      <c r="V470" s="17">
        <f t="shared" si="300"/>
        <v>6.2416745916669145E-6</v>
      </c>
      <c r="W470" s="31" t="str">
        <f t="shared" si="291"/>
        <v>1-3.3705042795439i</v>
      </c>
      <c r="X470" s="17">
        <f t="shared" si="301"/>
        <v>3.5157217037791457</v>
      </c>
      <c r="Y470" s="17">
        <f t="shared" si="302"/>
        <v>-1.2823776024854787</v>
      </c>
      <c r="Z470" s="31" t="str">
        <f t="shared" si="292"/>
        <v>-42.8591278457277+205.680323138794i</v>
      </c>
      <c r="AA470" s="17">
        <f t="shared" si="303"/>
        <v>210.09831071709058</v>
      </c>
      <c r="AB470" s="17">
        <f t="shared" si="304"/>
        <v>1.7762339346806755</v>
      </c>
      <c r="AC470" s="66" t="str">
        <f t="shared" si="305"/>
        <v>-0.000730571013166983+0.00878208914214899i</v>
      </c>
      <c r="AD470" s="64">
        <f t="shared" si="306"/>
        <v>-41.098091919755518</v>
      </c>
      <c r="AE470" s="61">
        <f t="shared" si="307"/>
        <v>94.75541467657338</v>
      </c>
      <c r="AF470" s="31" t="str">
        <f t="shared" si="293"/>
        <v>-1.33333333333333E-06</v>
      </c>
      <c r="AG470" s="31" t="str">
        <f t="shared" si="294"/>
        <v>2.08263875544657i</v>
      </c>
      <c r="AH470" s="31">
        <f t="shared" si="308"/>
        <v>2.08263875544657</v>
      </c>
      <c r="AI470" s="31">
        <f t="shared" si="309"/>
        <v>1.5707963267948966</v>
      </c>
      <c r="AJ470" s="31" t="str">
        <f t="shared" si="295"/>
        <v>1+6.73427428480298i</v>
      </c>
      <c r="AK470" s="31">
        <f t="shared" si="310"/>
        <v>6.8081164901137443</v>
      </c>
      <c r="AL470" s="31">
        <f t="shared" si="311"/>
        <v>1.4233794662481061</v>
      </c>
      <c r="AM470" s="31" t="str">
        <f t="shared" si="296"/>
        <v>1+6741.0085590878i</v>
      </c>
      <c r="AN470" s="31">
        <f t="shared" si="312"/>
        <v>6741.008633260677</v>
      </c>
      <c r="AO470" s="31">
        <f t="shared" si="313"/>
        <v>1.5706479810416019</v>
      </c>
      <c r="AP470" s="58" t="str">
        <f t="shared" si="314"/>
        <v>-0.0000930168516043319+0.000627041205257876i</v>
      </c>
      <c r="AQ470" s="49">
        <f t="shared" si="315"/>
        <v>-63.959546080223511</v>
      </c>
      <c r="AR470" s="61">
        <f t="shared" si="316"/>
        <v>98.437864352827219</v>
      </c>
      <c r="AS470" s="58" t="str">
        <f t="shared" si="317"/>
        <v>-5.43877634485703E-06-1.27498041113398E-06i</v>
      </c>
      <c r="AT470" s="64">
        <f t="shared" si="318"/>
        <v>-105.05763799997902</v>
      </c>
      <c r="AU470" s="61">
        <f t="shared" si="319"/>
        <v>-166.80672097059937</v>
      </c>
    </row>
    <row r="471" spans="14:47" x14ac:dyDescent="0.3">
      <c r="N471" s="10">
        <v>53</v>
      </c>
      <c r="O471" s="50">
        <f t="shared" si="287"/>
        <v>338844.15613920329</v>
      </c>
      <c r="P471" s="48" t="str">
        <f t="shared" si="288"/>
        <v>51201.9230769231</v>
      </c>
      <c r="Q471" s="17" t="str">
        <f t="shared" si="289"/>
        <v>1+99490.7714339298i</v>
      </c>
      <c r="R471" s="17">
        <f t="shared" si="297"/>
        <v>99490.771438955388</v>
      </c>
      <c r="S471" s="17">
        <f t="shared" si="298"/>
        <v>1.5707862756113993</v>
      </c>
      <c r="T471" s="17" t="str">
        <f t="shared" si="290"/>
        <v>1+6.38706186983254E-06i</v>
      </c>
      <c r="U471" s="17">
        <f t="shared" si="299"/>
        <v>1.0000000000203972</v>
      </c>
      <c r="V471" s="17">
        <f t="shared" si="300"/>
        <v>6.3870618697456879E-6</v>
      </c>
      <c r="W471" s="31" t="str">
        <f t="shared" si="291"/>
        <v>1-3.44901340970957i</v>
      </c>
      <c r="X471" s="17">
        <f t="shared" si="301"/>
        <v>3.5910574348451227</v>
      </c>
      <c r="Y471" s="17">
        <f t="shared" si="302"/>
        <v>-1.2885961094265226</v>
      </c>
      <c r="Z471" s="31" t="str">
        <f t="shared" si="292"/>
        <v>-44.9261448598757+210.471233317969i</v>
      </c>
      <c r="AA471" s="17">
        <f t="shared" si="303"/>
        <v>215.21268212249362</v>
      </c>
      <c r="AB471" s="17">
        <f t="shared" si="304"/>
        <v>1.7810953163094039</v>
      </c>
      <c r="AC471" s="66" t="str">
        <f t="shared" si="305"/>
        <v>-0.000617048233647779+0.00856512840182927i</v>
      </c>
      <c r="AD471" s="64">
        <f t="shared" si="306"/>
        <v>-41.322840685859617</v>
      </c>
      <c r="AE471" s="61">
        <f t="shared" si="307"/>
        <v>94.12057873991715</v>
      </c>
      <c r="AF471" s="31" t="str">
        <f t="shared" si="293"/>
        <v>-1.33333333333333E-06</v>
      </c>
      <c r="AG471" s="31" t="str">
        <f t="shared" si="294"/>
        <v>2.13114964390079i</v>
      </c>
      <c r="AH471" s="31">
        <f t="shared" si="308"/>
        <v>2.1311496439007902</v>
      </c>
      <c r="AI471" s="31">
        <f t="shared" si="309"/>
        <v>1.5707963267948966</v>
      </c>
      <c r="AJ471" s="31" t="str">
        <f t="shared" si="295"/>
        <v>1+6.89113568373539i</v>
      </c>
      <c r="AK471" s="31">
        <f t="shared" si="310"/>
        <v>6.9633146569468796</v>
      </c>
      <c r="AL471" s="31">
        <f t="shared" si="311"/>
        <v>1.4266882918524904</v>
      </c>
      <c r="AM471" s="31" t="str">
        <f t="shared" si="296"/>
        <v>1+6898.02681941913i</v>
      </c>
      <c r="AN471" s="31">
        <f t="shared" si="312"/>
        <v>6898.0268919036271</v>
      </c>
      <c r="AO471" s="31">
        <f t="shared" si="313"/>
        <v>1.5706513578031585</v>
      </c>
      <c r="AP471" s="58" t="str">
        <f t="shared" si="314"/>
        <v>-0.0000889167439773722+0.000613362987712321i</v>
      </c>
      <c r="AQ471" s="49">
        <f t="shared" si="315"/>
        <v>-64.155326930736308</v>
      </c>
      <c r="AR471" s="61">
        <f t="shared" si="316"/>
        <v>98.248476084736808</v>
      </c>
      <c r="AS471" s="58" t="str">
        <f t="shared" si="317"/>
        <v>-5.19866682687271E-06-1.14005787739158E-06i</v>
      </c>
      <c r="AT471" s="64">
        <f t="shared" si="318"/>
        <v>-105.47816761659593</v>
      </c>
      <c r="AU471" s="61">
        <f t="shared" si="319"/>
        <v>-167.63094517534608</v>
      </c>
    </row>
    <row r="472" spans="14:47" x14ac:dyDescent="0.3">
      <c r="N472" s="10">
        <v>54</v>
      </c>
      <c r="O472" s="50">
        <f t="shared" si="287"/>
        <v>346736.85045253241</v>
      </c>
      <c r="P472" s="48" t="str">
        <f t="shared" si="288"/>
        <v>51201.9230769231</v>
      </c>
      <c r="Q472" s="17" t="str">
        <f t="shared" si="289"/>
        <v>1+101808.209204947i</v>
      </c>
      <c r="R472" s="17">
        <f t="shared" si="297"/>
        <v>101808.20920985818</v>
      </c>
      <c r="S472" s="17">
        <f t="shared" si="298"/>
        <v>1.5707865044042684</v>
      </c>
      <c r="T472" s="17" t="str">
        <f t="shared" si="290"/>
        <v>1+6.53583565266325E-06i</v>
      </c>
      <c r="U472" s="17">
        <f t="shared" si="299"/>
        <v>1.0000000000213585</v>
      </c>
      <c r="V472" s="17">
        <f t="shared" si="300"/>
        <v>6.5358356525701856E-6</v>
      </c>
      <c r="W472" s="31" t="str">
        <f t="shared" si="291"/>
        <v>1-3.52935125243815i</v>
      </c>
      <c r="X472" s="17">
        <f t="shared" si="301"/>
        <v>3.6682857390185322</v>
      </c>
      <c r="Y472" s="17">
        <f t="shared" si="302"/>
        <v>-1.2946948105306166</v>
      </c>
      <c r="Z472" s="31" t="str">
        <f t="shared" si="292"/>
        <v>-47.090577384697+215.373738130965i</v>
      </c>
      <c r="AA472" s="17">
        <f t="shared" si="303"/>
        <v>220.46171902380155</v>
      </c>
      <c r="AB472" s="17">
        <f t="shared" si="304"/>
        <v>1.7860546452981654</v>
      </c>
      <c r="AC472" s="66" t="str">
        <f t="shared" si="305"/>
        <v>-0.000508972236168725+0.00835273411157102i</v>
      </c>
      <c r="AD472" s="64">
        <f t="shared" si="306"/>
        <v>-41.547331150709581</v>
      </c>
      <c r="AE472" s="61">
        <f t="shared" si="307"/>
        <v>93.486995701111923</v>
      </c>
      <c r="AF472" s="31" t="str">
        <f t="shared" si="293"/>
        <v>-1.33333333333333E-06</v>
      </c>
      <c r="AG472" s="31" t="str">
        <f t="shared" si="294"/>
        <v>2.1807904961053i</v>
      </c>
      <c r="AH472" s="31">
        <f t="shared" si="308"/>
        <v>2.1807904961053</v>
      </c>
      <c r="AI472" s="31">
        <f t="shared" si="309"/>
        <v>1.5707963267948966</v>
      </c>
      <c r="AJ472" s="31" t="str">
        <f t="shared" si="295"/>
        <v>1+7.05165085402227i</v>
      </c>
      <c r="AK472" s="31">
        <f t="shared" si="310"/>
        <v>7.1222032944190108</v>
      </c>
      <c r="AL472" s="31">
        <f t="shared" si="311"/>
        <v>1.4299248726692984</v>
      </c>
      <c r="AM472" s="31" t="str">
        <f t="shared" si="296"/>
        <v>1+7058.7025048763i</v>
      </c>
      <c r="AN472" s="31">
        <f t="shared" si="312"/>
        <v>7058.7025757108477</v>
      </c>
      <c r="AO472" s="31">
        <f t="shared" si="313"/>
        <v>1.5706546577002409</v>
      </c>
      <c r="AP472" s="58" t="str">
        <f t="shared" si="314"/>
        <v>-0.0000849937243457329+0.000599957467963035i</v>
      </c>
      <c r="AQ472" s="49">
        <f t="shared" si="315"/>
        <v>-64.351293844325227</v>
      </c>
      <c r="AR472" s="61">
        <f t="shared" si="316"/>
        <v>98.063222734056339</v>
      </c>
      <c r="AS472" s="58" t="str">
        <f t="shared" si="317"/>
        <v>-4.96802576220606E-06-1.01529167468734E-06i</v>
      </c>
      <c r="AT472" s="64">
        <f t="shared" si="318"/>
        <v>-105.89862499503481</v>
      </c>
      <c r="AU472" s="61">
        <f t="shared" si="319"/>
        <v>-168.44978156483171</v>
      </c>
    </row>
    <row r="473" spans="14:47" x14ac:dyDescent="0.3">
      <c r="N473" s="10">
        <v>55</v>
      </c>
      <c r="O473" s="50">
        <f t="shared" si="287"/>
        <v>354813.38923357555</v>
      </c>
      <c r="P473" s="48" t="str">
        <f t="shared" si="288"/>
        <v>51201.9230769231</v>
      </c>
      <c r="Q473" s="17" t="str">
        <f t="shared" si="289"/>
        <v>1+104179.627036074i</v>
      </c>
      <c r="R473" s="17">
        <f t="shared" si="297"/>
        <v>104179.6270408734</v>
      </c>
      <c r="S473" s="17">
        <f t="shared" si="298"/>
        <v>1.5707867279891761</v>
      </c>
      <c r="T473" s="17" t="str">
        <f t="shared" si="290"/>
        <v>1+6.68807482206898E-06i</v>
      </c>
      <c r="U473" s="17">
        <f t="shared" si="299"/>
        <v>1.0000000000223652</v>
      </c>
      <c r="V473" s="17">
        <f t="shared" si="300"/>
        <v>6.6880748219692594E-6</v>
      </c>
      <c r="W473" s="31" t="str">
        <f t="shared" si="291"/>
        <v>1-3.61156040391724i</v>
      </c>
      <c r="X473" s="17">
        <f t="shared" si="301"/>
        <v>3.7474482719769275</v>
      </c>
      <c r="Y473" s="17">
        <f t="shared" si="302"/>
        <v>-1.3006751240167134</v>
      </c>
      <c r="Z473" s="31" t="str">
        <f t="shared" si="292"/>
        <v>-49.3570164717666+220.390436950726i</v>
      </c>
      <c r="AA473" s="17">
        <f t="shared" si="303"/>
        <v>225.8496397480549</v>
      </c>
      <c r="AB473" s="17">
        <f t="shared" si="304"/>
        <v>1.791113637445749</v>
      </c>
      <c r="AC473" s="66" t="str">
        <f t="shared" si="305"/>
        <v>-0.000406111540547025+0.0081448018975874i</v>
      </c>
      <c r="AD473" s="64">
        <f t="shared" si="306"/>
        <v>-41.771605618250518</v>
      </c>
      <c r="AE473" s="61">
        <f t="shared" si="307"/>
        <v>92.854485991737448</v>
      </c>
      <c r="AF473" s="31" t="str">
        <f t="shared" si="293"/>
        <v>-1.33333333333333E-06</v>
      </c>
      <c r="AG473" s="31" t="str">
        <f t="shared" si="294"/>
        <v>2.23158763229702i</v>
      </c>
      <c r="AH473" s="31">
        <f t="shared" si="308"/>
        <v>2.2315876322970198</v>
      </c>
      <c r="AI473" s="31">
        <f t="shared" si="309"/>
        <v>1.5707963267948966</v>
      </c>
      <c r="AJ473" s="31" t="str">
        <f t="shared" si="295"/>
        <v>1+7.21590490293155i</v>
      </c>
      <c r="AK473" s="31">
        <f t="shared" si="310"/>
        <v>7.2848667501987689</v>
      </c>
      <c r="AL473" s="31">
        <f t="shared" si="311"/>
        <v>1.4330906533976495</v>
      </c>
      <c r="AM473" s="31" t="str">
        <f t="shared" si="296"/>
        <v>1+7223.12080783449i</v>
      </c>
      <c r="AN473" s="31">
        <f t="shared" si="312"/>
        <v>7223.1208770566454</v>
      </c>
      <c r="AO473" s="31">
        <f t="shared" si="313"/>
        <v>1.5706578824824982</v>
      </c>
      <c r="AP473" s="58" t="str">
        <f t="shared" si="314"/>
        <v>-0.0000812404587524698+0.000586820906579787i</v>
      </c>
      <c r="AQ473" s="49">
        <f t="shared" si="315"/>
        <v>-64.547438777267018</v>
      </c>
      <c r="AR473" s="61">
        <f t="shared" si="316"/>
        <v>97.882021625871147</v>
      </c>
      <c r="AS473" s="58" t="str">
        <f t="shared" si="317"/>
        <v>-0.0000047465473455963-9.00002185004306E-07i</v>
      </c>
      <c r="AT473" s="64">
        <f t="shared" si="318"/>
        <v>-106.31904439551752</v>
      </c>
      <c r="AU473" s="61">
        <f t="shared" si="319"/>
        <v>-169.26349238239141</v>
      </c>
    </row>
    <row r="474" spans="14:47" x14ac:dyDescent="0.3">
      <c r="N474" s="10">
        <v>56</v>
      </c>
      <c r="O474" s="50">
        <f t="shared" si="287"/>
        <v>363078.05477010203</v>
      </c>
      <c r="P474" s="48" t="str">
        <f t="shared" si="288"/>
        <v>51201.9230769231</v>
      </c>
      <c r="Q474" s="17" t="str">
        <f t="shared" si="289"/>
        <v>1+106606.282284438i</v>
      </c>
      <c r="R474" s="17">
        <f t="shared" si="297"/>
        <v>106606.28228912814</v>
      </c>
      <c r="S474" s="17">
        <f t="shared" si="298"/>
        <v>1.5707869464846698</v>
      </c>
      <c r="T474" s="17" t="str">
        <f t="shared" si="290"/>
        <v>1+6.84386009727256E-06i</v>
      </c>
      <c r="U474" s="17">
        <f t="shared" si="299"/>
        <v>1.000000000023419</v>
      </c>
      <c r="V474" s="17">
        <f t="shared" si="300"/>
        <v>6.8438600971657087E-6</v>
      </c>
      <c r="W474" s="31" t="str">
        <f t="shared" si="291"/>
        <v>1-3.69568445252718i</v>
      </c>
      <c r="X474" s="17">
        <f t="shared" si="301"/>
        <v>3.8285876733661359</v>
      </c>
      <c r="Y474" s="17">
        <f t="shared" si="302"/>
        <v>-1.3065385090027832</v>
      </c>
      <c r="Z474" s="31" t="str">
        <f t="shared" si="292"/>
        <v>-51.7302695422566+225.523989697372i</v>
      </c>
      <c r="AA474" s="17">
        <f t="shared" si="303"/>
        <v>231.3808348068934</v>
      </c>
      <c r="AB474" s="17">
        <f t="shared" si="304"/>
        <v>1.7962740024691037</v>
      </c>
      <c r="AC474" s="66" t="str">
        <f t="shared" si="305"/>
        <v>-0.000308245529075962+0.0079412298183084i</v>
      </c>
      <c r="AD474" s="64">
        <f t="shared" si="306"/>
        <v>-41.995706248479657</v>
      </c>
      <c r="AE474" s="61">
        <f t="shared" si="307"/>
        <v>92.222868048759238</v>
      </c>
      <c r="AF474" s="31" t="str">
        <f t="shared" si="293"/>
        <v>-1.33333333333333E-06</v>
      </c>
      <c r="AG474" s="31" t="str">
        <f t="shared" si="294"/>
        <v>2.28356798578994i</v>
      </c>
      <c r="AH474" s="31">
        <f t="shared" si="308"/>
        <v>2.28356798578994</v>
      </c>
      <c r="AI474" s="31">
        <f t="shared" si="309"/>
        <v>1.5707963267948966</v>
      </c>
      <c r="AJ474" s="31" t="str">
        <f t="shared" si="295"/>
        <v>1+7.38398492013421i</v>
      </c>
      <c r="AK474" s="31">
        <f t="shared" si="310"/>
        <v>7.4513913667696583</v>
      </c>
      <c r="AL474" s="31">
        <f t="shared" si="311"/>
        <v>1.4361870586194192</v>
      </c>
      <c r="AM474" s="31" t="str">
        <f t="shared" si="296"/>
        <v>1+7391.36890505435i</v>
      </c>
      <c r="AN474" s="31">
        <f t="shared" si="312"/>
        <v>7391.3689727008186</v>
      </c>
      <c r="AO474" s="31">
        <f t="shared" si="313"/>
        <v>1.5706610338597524</v>
      </c>
      <c r="AP474" s="58" t="str">
        <f t="shared" si="314"/>
        <v>-0.0000776498897207019+0.000573949496349536i</v>
      </c>
      <c r="AQ474" s="49">
        <f t="shared" si="315"/>
        <v>-64.743754019608645</v>
      </c>
      <c r="AR474" s="61">
        <f t="shared" si="316"/>
        <v>97.704791235617805</v>
      </c>
      <c r="AS474" s="58" t="str">
        <f t="shared" si="317"/>
        <v>-4.53392962327438E-06-7.93552985803542E-07i</v>
      </c>
      <c r="AT474" s="64">
        <f t="shared" si="318"/>
        <v>-106.73946026808829</v>
      </c>
      <c r="AU474" s="61">
        <f t="shared" si="319"/>
        <v>-170.07234071562294</v>
      </c>
    </row>
    <row r="475" spans="14:47" x14ac:dyDescent="0.3">
      <c r="N475" s="10">
        <v>57</v>
      </c>
      <c r="O475" s="50">
        <f t="shared" si="287"/>
        <v>371535.2290971732</v>
      </c>
      <c r="P475" s="48" t="str">
        <f t="shared" si="288"/>
        <v>51201.9230769231</v>
      </c>
      <c r="Q475" s="17" t="str">
        <f t="shared" si="289"/>
        <v>1+109089.461594769i</v>
      </c>
      <c r="R475" s="17">
        <f t="shared" si="297"/>
        <v>109089.46159935241</v>
      </c>
      <c r="S475" s="17">
        <f t="shared" si="298"/>
        <v>1.5707871600065988</v>
      </c>
      <c r="T475" s="17" t="str">
        <f t="shared" si="290"/>
        <v>1+7.00327407768889E-06i</v>
      </c>
      <c r="U475" s="17">
        <f t="shared" si="299"/>
        <v>1.0000000000245231</v>
      </c>
      <c r="V475" s="17">
        <f t="shared" si="300"/>
        <v>7.0032740775743961E-6</v>
      </c>
      <c r="W475" s="31" t="str">
        <f t="shared" si="291"/>
        <v>1-3.78176800195199i</v>
      </c>
      <c r="X475" s="17">
        <f t="shared" si="301"/>
        <v>3.9117475916255069</v>
      </c>
      <c r="Y475" s="17">
        <f t="shared" si="302"/>
        <v>-1.3122864610523068</v>
      </c>
      <c r="Z475" s="31" t="str">
        <f t="shared" si="292"/>
        <v>-54.2153705841157+230.777118248518i</v>
      </c>
      <c r="AA475" s="17">
        <f t="shared" si="303"/>
        <v>237.05987580074247</v>
      </c>
      <c r="AB475" s="17">
        <f t="shared" si="304"/>
        <v>1.8015374414146579</v>
      </c>
      <c r="AC475" s="66" t="str">
        <f t="shared" si="305"/>
        <v>-0.000215163962736023+0.00774191833981538i</v>
      </c>
      <c r="AD475" s="64">
        <f t="shared" si="306"/>
        <v>-42.219675083967857</v>
      </c>
      <c r="AE475" s="61">
        <f t="shared" si="307"/>
        <v>91.591958718015846</v>
      </c>
      <c r="AF475" s="31" t="str">
        <f t="shared" si="293"/>
        <v>-1.33333333333333E-06</v>
      </c>
      <c r="AG475" s="31" t="str">
        <f t="shared" si="294"/>
        <v>2.33675911725552i</v>
      </c>
      <c r="AH475" s="31">
        <f t="shared" si="308"/>
        <v>2.3367591172555202</v>
      </c>
      <c r="AI475" s="31">
        <f t="shared" si="309"/>
        <v>1.5707963267948966</v>
      </c>
      <c r="AJ475" s="31" t="str">
        <f t="shared" si="295"/>
        <v>1+7.5559800238801i</v>
      </c>
      <c r="AK475" s="31">
        <f t="shared" si="310"/>
        <v>7.6218655276300371</v>
      </c>
      <c r="AL475" s="31">
        <f t="shared" si="311"/>
        <v>1.4392154924647296</v>
      </c>
      <c r="AM475" s="31" t="str">
        <f t="shared" si="296"/>
        <v>1+7563.53600390399i</v>
      </c>
      <c r="AN475" s="31">
        <f t="shared" si="312"/>
        <v>7563.5360700106348</v>
      </c>
      <c r="AO475" s="31">
        <f t="shared" si="313"/>
        <v>1.5706641135029049</v>
      </c>
      <c r="AP475" s="58" t="str">
        <f t="shared" si="314"/>
        <v>-0.0000742152282283407+0.000561339372794943i</v>
      </c>
      <c r="AQ475" s="49">
        <f t="shared" si="315"/>
        <v>-64.940232182527794</v>
      </c>
      <c r="AR475" s="61">
        <f t="shared" si="316"/>
        <v>97.531451208302002</v>
      </c>
      <c r="AS475" s="58" t="str">
        <f t="shared" si="317"/>
        <v>-4.32987514250066E-06-6.95348240404889E-07i</v>
      </c>
      <c r="AT475" s="64">
        <f t="shared" si="318"/>
        <v>-107.15990726649565</v>
      </c>
      <c r="AU475" s="61">
        <f t="shared" si="319"/>
        <v>-170.87659007368214</v>
      </c>
    </row>
    <row r="476" spans="14:47" x14ac:dyDescent="0.3">
      <c r="N476" s="10">
        <v>58</v>
      </c>
      <c r="O476" s="50">
        <f t="shared" si="287"/>
        <v>380189.39632056188</v>
      </c>
      <c r="P476" s="48" t="str">
        <f t="shared" si="288"/>
        <v>51201.9230769231</v>
      </c>
      <c r="Q476" s="17" t="str">
        <f t="shared" si="289"/>
        <v>1+111630.481581608i</v>
      </c>
      <c r="R476" s="17">
        <f t="shared" si="297"/>
        <v>111630.48158608704</v>
      </c>
      <c r="S476" s="17">
        <f t="shared" si="298"/>
        <v>1.5707873686681753</v>
      </c>
      <c r="T476" s="17" t="str">
        <f t="shared" si="290"/>
        <v>1+0.0000071664012867205i</v>
      </c>
      <c r="U476" s="17">
        <f t="shared" si="299"/>
        <v>1.0000000000256786</v>
      </c>
      <c r="V476" s="17">
        <f t="shared" si="300"/>
        <v>7.1664012865978176E-6</v>
      </c>
      <c r="W476" s="31" t="str">
        <f t="shared" si="291"/>
        <v>1-3.86985669482906i</v>
      </c>
      <c r="X476" s="17">
        <f t="shared" si="301"/>
        <v>3.9969727092530034</v>
      </c>
      <c r="Y476" s="17">
        <f t="shared" si="302"/>
        <v>-1.3179205079333653</v>
      </c>
      <c r="Z476" s="31" t="str">
        <f t="shared" si="292"/>
        <v>-56.8175908298374+236.152607882455i</v>
      </c>
      <c r="AA476" s="17">
        <f t="shared" si="303"/>
        <v>242.89152483648201</v>
      </c>
      <c r="AB476" s="17">
        <f t="shared" si="304"/>
        <v>1.8069056438924636</v>
      </c>
      <c r="AC476" s="66" t="str">
        <f t="shared" si="305"/>
        <v>-0.000126666518231469+0.00754677031195305i</v>
      </c>
      <c r="AD476" s="64">
        <f t="shared" si="306"/>
        <v>-42.443554077349162</v>
      </c>
      <c r="AE476" s="61">
        <f t="shared" si="307"/>
        <v>90.961573655675267</v>
      </c>
      <c r="AF476" s="31" t="str">
        <f t="shared" si="293"/>
        <v>-1.33333333333333E-06</v>
      </c>
      <c r="AG476" s="31" t="str">
        <f t="shared" si="294"/>
        <v>2.39118922933574i</v>
      </c>
      <c r="AH476" s="31">
        <f t="shared" si="308"/>
        <v>2.39118922933574</v>
      </c>
      <c r="AI476" s="31">
        <f t="shared" si="309"/>
        <v>1.5707963267948966</v>
      </c>
      <c r="AJ476" s="31" t="str">
        <f t="shared" si="295"/>
        <v>1+7.73198140824987i</v>
      </c>
      <c r="AK476" s="31">
        <f t="shared" si="310"/>
        <v>7.7963797045501586</v>
      </c>
      <c r="AL476" s="31">
        <f t="shared" si="311"/>
        <v>1.4421773383317313</v>
      </c>
      <c r="AM476" s="31" t="str">
        <f t="shared" si="296"/>
        <v>1+7739.71338965813i</v>
      </c>
      <c r="AN476" s="31">
        <f t="shared" si="312"/>
        <v>7739.7134542600052</v>
      </c>
      <c r="AO476" s="31">
        <f t="shared" si="313"/>
        <v>1.5706671230448235</v>
      </c>
      <c r="AP476" s="58" t="str">
        <f t="shared" si="314"/>
        <v>-0.0000709299456920762+0.000548986623980129i</v>
      </c>
      <c r="AQ476" s="49">
        <f t="shared" si="315"/>
        <v>-65.136866186065731</v>
      </c>
      <c r="AR476" s="61">
        <f t="shared" si="316"/>
        <v>97.361922374604717</v>
      </c>
      <c r="AS476" s="58" t="str">
        <f t="shared" si="317"/>
        <v>-4.13409150625341E-06-6.04830232592614E-07i</v>
      </c>
      <c r="AT476" s="64">
        <f t="shared" si="318"/>
        <v>-107.58042026341491</v>
      </c>
      <c r="AU476" s="61">
        <f t="shared" si="319"/>
        <v>-171.67650396972002</v>
      </c>
    </row>
    <row r="477" spans="14:47" x14ac:dyDescent="0.3">
      <c r="N477" s="10">
        <v>59</v>
      </c>
      <c r="O477" s="50">
        <f t="shared" si="287"/>
        <v>389045.14499428123</v>
      </c>
      <c r="P477" s="48" t="str">
        <f t="shared" si="288"/>
        <v>51201.9230769231</v>
      </c>
      <c r="Q477" s="17" t="str">
        <f t="shared" si="289"/>
        <v>1+114230.689527385i</v>
      </c>
      <c r="R477" s="17">
        <f t="shared" si="297"/>
        <v>114230.68953176211</v>
      </c>
      <c r="S477" s="17">
        <f t="shared" si="298"/>
        <v>1.5707875725800344</v>
      </c>
      <c r="T477" s="17" t="str">
        <f t="shared" si="290"/>
        <v>1+7.33332821657287E-06i</v>
      </c>
      <c r="U477" s="17">
        <f t="shared" si="299"/>
        <v>1.0000000000268887</v>
      </c>
      <c r="V477" s="17">
        <f t="shared" si="300"/>
        <v>7.3333282164414139E-6</v>
      </c>
      <c r="W477" s="31" t="str">
        <f t="shared" si="291"/>
        <v>1-3.95999723694934i</v>
      </c>
      <c r="X477" s="17">
        <f t="shared" si="301"/>
        <v>4.0843087685245356</v>
      </c>
      <c r="Y477" s="17">
        <f t="shared" si="302"/>
        <v>-1.3234422055883335</v>
      </c>
      <c r="Z477" s="31" t="str">
        <f t="shared" si="292"/>
        <v>-59.5424499374486+241.653308754941i</v>
      </c>
      <c r="AA477" s="17">
        <f t="shared" si="303"/>
        <v>248.88074448772534</v>
      </c>
      <c r="AB477" s="17">
        <f t="shared" si="304"/>
        <v>1.8123802851270994</v>
      </c>
      <c r="AC477" s="66" t="str">
        <f t="shared" si="305"/>
        <v>-0.0000425623448085694+0.00735569094514548i</v>
      </c>
      <c r="AD477" s="64">
        <f t="shared" si="306"/>
        <v>-42.667385119542374</v>
      </c>
      <c r="AE477" s="61">
        <f t="shared" si="307"/>
        <v>90.331527728125025</v>
      </c>
      <c r="AF477" s="31" t="str">
        <f t="shared" si="293"/>
        <v>-1.33333333333333E-06</v>
      </c>
      <c r="AG477" s="31" t="str">
        <f t="shared" si="294"/>
        <v>2.44688718159648i</v>
      </c>
      <c r="AH477" s="31">
        <f t="shared" si="308"/>
        <v>2.4468871815964799</v>
      </c>
      <c r="AI477" s="31">
        <f t="shared" si="309"/>
        <v>1.5707963267948966</v>
      </c>
      <c r="AJ477" s="31" t="str">
        <f t="shared" si="295"/>
        <v>1+7.91208239150717i</v>
      </c>
      <c r="AK477" s="31">
        <f t="shared" si="310"/>
        <v>7.975026505911929</v>
      </c>
      <c r="AL477" s="31">
        <f t="shared" si="311"/>
        <v>1.4450739586569388</v>
      </c>
      <c r="AM477" s="31" t="str">
        <f t="shared" si="296"/>
        <v>1+7919.99447389869i</v>
      </c>
      <c r="AN477" s="31">
        <f t="shared" si="312"/>
        <v>7919.9945370300456</v>
      </c>
      <c r="AO477" s="31">
        <f t="shared" si="313"/>
        <v>1.5706700640812064</v>
      </c>
      <c r="AP477" s="58" t="str">
        <f t="shared" si="314"/>
        <v>-0.0000677877659867004+0.000536887299639005i</v>
      </c>
      <c r="AQ477" s="49">
        <f t="shared" si="315"/>
        <v>-65.333649247230866</v>
      </c>
      <c r="AR477" s="61">
        <f t="shared" si="316"/>
        <v>97.196126764090678</v>
      </c>
      <c r="AS477" s="58" t="str">
        <f t="shared" si="317"/>
        <v>-3.94629184224851E-06-5.2147703883059E-07i</v>
      </c>
      <c r="AT477" s="64">
        <f t="shared" si="318"/>
        <v>-108.00103436677324</v>
      </c>
      <c r="AU477" s="61">
        <f t="shared" si="319"/>
        <v>-172.47234550778427</v>
      </c>
    </row>
    <row r="478" spans="14:47" x14ac:dyDescent="0.3">
      <c r="N478" s="10">
        <v>60</v>
      </c>
      <c r="O478" s="50">
        <f t="shared" si="287"/>
        <v>398107.17055349716</v>
      </c>
      <c r="P478" s="48" t="str">
        <f t="shared" si="288"/>
        <v>51201.9230769231</v>
      </c>
      <c r="Q478" s="17" t="str">
        <f t="shared" si="289"/>
        <v>1+116891.464096771i</v>
      </c>
      <c r="R478" s="17">
        <f t="shared" si="297"/>
        <v>116891.46410104846</v>
      </c>
      <c r="S478" s="17">
        <f t="shared" si="298"/>
        <v>1.5707877718502932</v>
      </c>
      <c r="T478" s="17" t="str">
        <f t="shared" si="290"/>
        <v>1+7.50414337411372E-06i</v>
      </c>
      <c r="U478" s="17">
        <f t="shared" si="299"/>
        <v>1.0000000000281561</v>
      </c>
      <c r="V478" s="17">
        <f t="shared" si="300"/>
        <v>7.5041433739728618E-6</v>
      </c>
      <c r="W478" s="31" t="str">
        <f t="shared" si="291"/>
        <v>1-4.0522374220214i</v>
      </c>
      <c r="X478" s="17">
        <f t="shared" si="301"/>
        <v>4.1738025976836326</v>
      </c>
      <c r="Y478" s="17">
        <f t="shared" si="302"/>
        <v>-1.3288531343113981</v>
      </c>
      <c r="Z478" s="31" t="str">
        <f t="shared" si="292"/>
        <v>-62.3957276984446+247.282137410388i</v>
      </c>
      <c r="AA478" s="17">
        <f t="shared" si="303"/>
        <v>255.0327083283014</v>
      </c>
      <c r="AB478" s="17">
        <f t="shared" si="304"/>
        <v>1.8179630228196484</v>
      </c>
      <c r="AC478" s="66" t="str">
        <f t="shared" si="305"/>
        <v>0.0000373303601497512+0.00716858778792954i</v>
      </c>
      <c r="AD478" s="64">
        <f t="shared" si="306"/>
        <v>-42.891210068472418</v>
      </c>
      <c r="AE478" s="61">
        <f t="shared" si="307"/>
        <v>89.701635410778522</v>
      </c>
      <c r="AF478" s="31" t="str">
        <f t="shared" si="293"/>
        <v>-1.33333333333333E-06</v>
      </c>
      <c r="AG478" s="31" t="str">
        <f t="shared" si="294"/>
        <v>2.50388250582928i</v>
      </c>
      <c r="AH478" s="31">
        <f t="shared" si="308"/>
        <v>2.5038825058292802</v>
      </c>
      <c r="AI478" s="31">
        <f t="shared" si="309"/>
        <v>1.5707963267948966</v>
      </c>
      <c r="AJ478" s="31" t="str">
        <f t="shared" si="295"/>
        <v>1+8.09637846557722i</v>
      </c>
      <c r="AK478" s="31">
        <f t="shared" si="310"/>
        <v>8.1579007261588181</v>
      </c>
      <c r="AL478" s="31">
        <f t="shared" si="311"/>
        <v>1.4479066947326118</v>
      </c>
      <c r="AM478" s="31" t="str">
        <f t="shared" si="296"/>
        <v>1+8104.47484404281i</v>
      </c>
      <c r="AN478" s="31">
        <f t="shared" si="312"/>
        <v>8104.4749057371228</v>
      </c>
      <c r="AO478" s="31">
        <f t="shared" si="313"/>
        <v>1.5706729381714302</v>
      </c>
      <c r="AP478" s="58" t="str">
        <f t="shared" si="314"/>
        <v>-0.0000647826575228374+0.000525037419660495i</v>
      </c>
      <c r="AQ478" s="49">
        <f t="shared" si="315"/>
        <v>-65.530574868471817</v>
      </c>
      <c r="AR478" s="61">
        <f t="shared" si="316"/>
        <v>97.033987615719923</v>
      </c>
      <c r="AS478" s="58" t="str">
        <f t="shared" si="317"/>
        <v>-3.76619519472105E-06-4.44800331619812E-07i</v>
      </c>
      <c r="AT478" s="64">
        <f t="shared" si="318"/>
        <v>-108.42178493694422</v>
      </c>
      <c r="AU478" s="61">
        <f t="shared" si="319"/>
        <v>-173.26437697350156</v>
      </c>
    </row>
    <row r="479" spans="14:47" x14ac:dyDescent="0.3">
      <c r="N479" s="10">
        <v>61</v>
      </c>
      <c r="O479" s="50">
        <f t="shared" si="287"/>
        <v>407380.27780411334</v>
      </c>
      <c r="P479" s="48" t="str">
        <f t="shared" si="288"/>
        <v>51201.9230769231</v>
      </c>
      <c r="Q479" s="17" t="str">
        <f t="shared" si="289"/>
        <v>1+119614.216067664i</v>
      </c>
      <c r="R479" s="17">
        <f t="shared" si="297"/>
        <v>119614.21607184413</v>
      </c>
      <c r="S479" s="17">
        <f t="shared" si="298"/>
        <v>1.5707879665846067</v>
      </c>
      <c r="T479" s="17" t="str">
        <f t="shared" si="290"/>
        <v>1+7.67893732780063E-06i</v>
      </c>
      <c r="U479" s="17">
        <f t="shared" si="299"/>
        <v>1.0000000000294831</v>
      </c>
      <c r="V479" s="17">
        <f t="shared" si="300"/>
        <v>7.6789373276496978E-6</v>
      </c>
      <c r="W479" s="31" t="str">
        <f t="shared" si="291"/>
        <v>1-4.14662615701233i</v>
      </c>
      <c r="X479" s="17">
        <f t="shared" si="301"/>
        <v>4.2655021376174274</v>
      </c>
      <c r="Y479" s="17">
        <f t="shared" si="302"/>
        <v>-1.3341548951303102</v>
      </c>
      <c r="Z479" s="31" t="str">
        <f t="shared" si="292"/>
        <v>-65.3834762975025+253.042078328257i</v>
      </c>
      <c r="AA479" s="17">
        <f t="shared" si="303"/>
        <v>261.35281207101986</v>
      </c>
      <c r="AB479" s="17">
        <f t="shared" si="304"/>
        <v>1.8236554938153602</v>
      </c>
      <c r="AC479" s="66" t="str">
        <f t="shared" si="305"/>
        <v>0.000113184757717343+0.00698537070520951i</v>
      </c>
      <c r="AD479" s="64">
        <f t="shared" si="306"/>
        <v>-43.11507077805927</v>
      </c>
      <c r="AE479" s="61">
        <f t="shared" si="307"/>
        <v>89.071711186313621</v>
      </c>
      <c r="AF479" s="31" t="str">
        <f t="shared" si="293"/>
        <v>-1.33333333333333E-06</v>
      </c>
      <c r="AG479" s="31" t="str">
        <f t="shared" si="294"/>
        <v>2.56220542170948i</v>
      </c>
      <c r="AH479" s="31">
        <f t="shared" si="308"/>
        <v>2.5622054217094798</v>
      </c>
      <c r="AI479" s="31">
        <f t="shared" si="309"/>
        <v>1.5707963267948966</v>
      </c>
      <c r="AJ479" s="31" t="str">
        <f t="shared" si="295"/>
        <v>1+8.28496734667798i</v>
      </c>
      <c r="AK479" s="31">
        <f t="shared" si="310"/>
        <v>8.3450993963835085</v>
      </c>
      <c r="AL479" s="31">
        <f t="shared" si="311"/>
        <v>1.4506768665678289</v>
      </c>
      <c r="AM479" s="31" t="str">
        <f t="shared" si="296"/>
        <v>1+8293.25231402467i</v>
      </c>
      <c r="AN479" s="31">
        <f t="shared" si="312"/>
        <v>8293.2523743146467</v>
      </c>
      <c r="AO479" s="31">
        <f t="shared" si="313"/>
        <v>1.5706757468393751</v>
      </c>
      <c r="AP479" s="58" t="str">
        <f t="shared" si="314"/>
        <v>-0.0000619088254034584+0.000513432981964192i</v>
      </c>
      <c r="AQ479" s="49">
        <f t="shared" si="315"/>
        <v>-65.727636826515749</v>
      </c>
      <c r="AR479" s="61">
        <f t="shared" si="316"/>
        <v>96.875429385855284</v>
      </c>
      <c r="AS479" s="58" t="str">
        <f t="shared" si="317"/>
        <v>-3.59352684670489E-06-3.74343307699539E-07i</v>
      </c>
      <c r="AT479" s="64">
        <f t="shared" si="318"/>
        <v>-108.842707604575</v>
      </c>
      <c r="AU479" s="61">
        <f t="shared" si="319"/>
        <v>-174.05285942783109</v>
      </c>
    </row>
    <row r="480" spans="14:47" x14ac:dyDescent="0.3">
      <c r="N480" s="10">
        <v>62</v>
      </c>
      <c r="O480" s="50">
        <f t="shared" si="287"/>
        <v>416869.38347033598</v>
      </c>
      <c r="P480" s="48" t="str">
        <f t="shared" si="288"/>
        <v>51201.9230769231</v>
      </c>
      <c r="Q480" s="17" t="str">
        <f t="shared" si="289"/>
        <v>1+122400.389079196i</v>
      </c>
      <c r="R480" s="17">
        <f t="shared" si="297"/>
        <v>122400.38908328096</v>
      </c>
      <c r="S480" s="17">
        <f t="shared" si="298"/>
        <v>1.5707881568862263</v>
      </c>
      <c r="T480" s="17" t="str">
        <f t="shared" si="290"/>
        <v>1+0.0000078578027557015i</v>
      </c>
      <c r="U480" s="17">
        <f t="shared" si="299"/>
        <v>1.0000000000308726</v>
      </c>
      <c r="V480" s="17">
        <f t="shared" si="300"/>
        <v>7.8578027555397721E-6</v>
      </c>
      <c r="W480" s="31" t="str">
        <f t="shared" si="291"/>
        <v>1-4.2432134880788i</v>
      </c>
      <c r="X480" s="17">
        <f t="shared" si="301"/>
        <v>4.3594564690353161</v>
      </c>
      <c r="Y480" s="17">
        <f t="shared" si="302"/>
        <v>-1.3393491063881287</v>
      </c>
      <c r="Z480" s="31" t="str">
        <f t="shared" si="292"/>
        <v>-68.5120331499755+258.936185505464i</v>
      </c>
      <c r="AA480" s="17">
        <f t="shared" si="303"/>
        <v>267.84668534529862</v>
      </c>
      <c r="AB480" s="17">
        <f t="shared" si="304"/>
        <v>1.8294593105720829</v>
      </c>
      <c r="AC480" s="66" t="str">
        <f t="shared" si="305"/>
        <v>0.000185165757133755+0.00680595185722596i</v>
      </c>
      <c r="AD480" s="64">
        <f t="shared" si="306"/>
        <v>-43.33900912724161</v>
      </c>
      <c r="AE480" s="61">
        <f t="shared" si="307"/>
        <v>88.441569942868242</v>
      </c>
      <c r="AF480" s="31" t="str">
        <f t="shared" si="293"/>
        <v>-1.33333333333333E-06</v>
      </c>
      <c r="AG480" s="31" t="str">
        <f t="shared" si="294"/>
        <v>2.62188685281906i</v>
      </c>
      <c r="AH480" s="31">
        <f t="shared" si="308"/>
        <v>2.6218868528190602</v>
      </c>
      <c r="AI480" s="31">
        <f t="shared" si="309"/>
        <v>1.5707963267948966</v>
      </c>
      <c r="AJ480" s="31" t="str">
        <f t="shared" si="295"/>
        <v>1+8.47794902713047i</v>
      </c>
      <c r="AK480" s="31">
        <f t="shared" si="310"/>
        <v>8.5367218360810178</v>
      </c>
      <c r="AL480" s="31">
        <f t="shared" si="311"/>
        <v>1.4533857727900845</v>
      </c>
      <c r="AM480" s="31" t="str">
        <f t="shared" si="296"/>
        <v>1+8486.42697615761i</v>
      </c>
      <c r="AN480" s="31">
        <f t="shared" si="312"/>
        <v>8486.4270350752213</v>
      </c>
      <c r="AO480" s="31">
        <f t="shared" si="313"/>
        <v>1.5706784915742342</v>
      </c>
      <c r="AP480" s="58" t="str">
        <f t="shared" si="314"/>
        <v>-0.0000591607036770047+0.000502069969798817i</v>
      </c>
      <c r="AQ480" s="49">
        <f t="shared" si="315"/>
        <v>-65.924829161568596</v>
      </c>
      <c r="AR480" s="61">
        <f t="shared" si="316"/>
        <v>96.720377753946622</v>
      </c>
      <c r="AS480" s="58" t="str">
        <f t="shared" si="317"/>
        <v>-3.42801857989856E-06-3.09678734973385E-07i</v>
      </c>
      <c r="AT480" s="64">
        <f t="shared" si="318"/>
        <v>-109.26383828881021</v>
      </c>
      <c r="AU480" s="61">
        <f t="shared" si="319"/>
        <v>-174.83805230318515</v>
      </c>
    </row>
    <row r="481" spans="14:47" x14ac:dyDescent="0.3">
      <c r="N481" s="10">
        <v>63</v>
      </c>
      <c r="O481" s="50">
        <f t="shared" si="287"/>
        <v>426579.51880159322</v>
      </c>
      <c r="P481" s="48" t="str">
        <f t="shared" si="288"/>
        <v>51201.9230769231</v>
      </c>
      <c r="Q481" s="17" t="str">
        <f t="shared" si="289"/>
        <v>1+125251.460397179i</v>
      </c>
      <c r="R481" s="17">
        <f t="shared" si="297"/>
        <v>125251.46040117097</v>
      </c>
      <c r="S481" s="17">
        <f t="shared" si="298"/>
        <v>1.5707883428560523</v>
      </c>
      <c r="T481" s="17" t="str">
        <f t="shared" si="290"/>
        <v>1+8.04083449463374E-06i</v>
      </c>
      <c r="U481" s="17">
        <f t="shared" si="299"/>
        <v>1.0000000000323275</v>
      </c>
      <c r="V481" s="17">
        <f t="shared" si="300"/>
        <v>8.0408344944604472E-6</v>
      </c>
      <c r="W481" s="31" t="str">
        <f t="shared" si="291"/>
        <v>1-4.34205062710221i</v>
      </c>
      <c r="X481" s="17">
        <f t="shared" si="301"/>
        <v>4.455715840167402</v>
      </c>
      <c r="Y481" s="17">
        <f t="shared" si="302"/>
        <v>-1.344437400520172</v>
      </c>
      <c r="Z481" s="31" t="str">
        <f t="shared" si="292"/>
        <v>-71.7880343443998+264.96758407565i</v>
      </c>
      <c r="AA481" s="17">
        <f t="shared" si="303"/>
        <v>274.52020414883742</v>
      </c>
      <c r="AB481" s="17">
        <f t="shared" si="304"/>
        <v>1.8353760574250573</v>
      </c>
      <c r="AC481" s="66" t="str">
        <f t="shared" si="305"/>
        <v>0.00025343038951962+0.00663024567921884i</v>
      </c>
      <c r="AD481" s="64">
        <f t="shared" si="306"/>
        <v>-43.563067048805031</v>
      </c>
      <c r="AE481" s="61">
        <f t="shared" si="307"/>
        <v>87.811027372718229</v>
      </c>
      <c r="AF481" s="31" t="str">
        <f t="shared" si="293"/>
        <v>-1.33333333333333E-06</v>
      </c>
      <c r="AG481" s="31" t="str">
        <f t="shared" si="294"/>
        <v>2.68295844304279i</v>
      </c>
      <c r="AH481" s="31">
        <f t="shared" si="308"/>
        <v>2.6829584430427902</v>
      </c>
      <c r="AI481" s="31">
        <f t="shared" si="309"/>
        <v>1.5707963267948966</v>
      </c>
      <c r="AJ481" s="31" t="str">
        <f t="shared" si="295"/>
        <v>1+8.67542582837604i</v>
      </c>
      <c r="AK481" s="31">
        <f t="shared" si="310"/>
        <v>8.7328697060962774</v>
      </c>
      <c r="AL481" s="31">
        <f t="shared" si="311"/>
        <v>1.4560346905844137</v>
      </c>
      <c r="AM481" s="31" t="str">
        <f t="shared" si="296"/>
        <v>1+8684.10125420443i</v>
      </c>
      <c r="AN481" s="31">
        <f t="shared" si="312"/>
        <v>8684.1013117809107</v>
      </c>
      <c r="AO481" s="31">
        <f t="shared" si="313"/>
        <v>1.5706811738313018</v>
      </c>
      <c r="AP481" s="58" t="str">
        <f t="shared" si="314"/>
        <v>-0.0000565329477026445+0.000490944358494841i</v>
      </c>
      <c r="AQ481" s="49">
        <f t="shared" si="315"/>
        <v>-66.122146166872184</v>
      </c>
      <c r="AR481" s="61">
        <f t="shared" si="316"/>
        <v>96.568759626063979</v>
      </c>
      <c r="AS481" s="58" t="str">
        <f t="shared" si="317"/>
        <v>-3.26940887860426E-06-2.50407112233156E-07i</v>
      </c>
      <c r="AT481" s="64">
        <f t="shared" si="318"/>
        <v>-109.68521321567721</v>
      </c>
      <c r="AU481" s="61">
        <f t="shared" si="319"/>
        <v>-175.62021300121779</v>
      </c>
    </row>
    <row r="482" spans="14:47" x14ac:dyDescent="0.3">
      <c r="N482" s="10">
        <v>64</v>
      </c>
      <c r="O482" s="50">
        <f t="shared" si="287"/>
        <v>436515.83224016649</v>
      </c>
      <c r="P482" s="48" t="str">
        <f t="shared" si="288"/>
        <v>51201.9230769231</v>
      </c>
      <c r="Q482" s="17" t="str">
        <f t="shared" si="289"/>
        <v>1+128168.941697364i</v>
      </c>
      <c r="R482" s="17">
        <f t="shared" si="297"/>
        <v>128168.94170126511</v>
      </c>
      <c r="S482" s="17">
        <f t="shared" si="298"/>
        <v>1.570788524592688</v>
      </c>
      <c r="T482" s="17" t="str">
        <f t="shared" si="290"/>
        <v>1+8.22812959044805E-06i</v>
      </c>
      <c r="U482" s="17">
        <f t="shared" si="299"/>
        <v>1.0000000000338511</v>
      </c>
      <c r="V482" s="17">
        <f t="shared" si="300"/>
        <v>8.2281295902623642E-6</v>
      </c>
      <c r="W482" s="31" t="str">
        <f t="shared" si="291"/>
        <v>1-4.44318997884194i</v>
      </c>
      <c r="X482" s="17">
        <f t="shared" si="301"/>
        <v>4.554331694999985</v>
      </c>
      <c r="Y482" s="17">
        <f t="shared" si="302"/>
        <v>-1.3494214210209168</v>
      </c>
      <c r="Z482" s="31" t="str">
        <f t="shared" si="292"/>
        <v>-75.21842871853+271.139471966174i</v>
      </c>
      <c r="AA482" s="17">
        <f t="shared" si="303"/>
        <v>281.37950401011841</v>
      </c>
      <c r="AB482" s="17">
        <f t="shared" si="304"/>
        <v>1.8414072866443092</v>
      </c>
      <c r="AC482" s="66" t="str">
        <f t="shared" si="305"/>
        <v>0.000318128166454188+0.00645816886175598i</v>
      </c>
      <c r="AD482" s="64">
        <f t="shared" si="306"/>
        <v>-43.787286557780291</v>
      </c>
      <c r="AE482" s="61">
        <f t="shared" si="307"/>
        <v>87.179900371956052</v>
      </c>
      <c r="AF482" s="31" t="str">
        <f t="shared" si="293"/>
        <v>-1.33333333333333E-06</v>
      </c>
      <c r="AG482" s="31" t="str">
        <f t="shared" si="294"/>
        <v>2.74545257334617i</v>
      </c>
      <c r="AH482" s="31">
        <f t="shared" si="308"/>
        <v>2.7454525733461699</v>
      </c>
      <c r="AI482" s="31">
        <f t="shared" si="309"/>
        <v>1.5707963267948966</v>
      </c>
      <c r="AJ482" s="31" t="str">
        <f t="shared" si="295"/>
        <v>1+8.87750245522864i</v>
      </c>
      <c r="AK482" s="31">
        <f t="shared" si="310"/>
        <v>8.93364706279527</v>
      </c>
      <c r="AL482" s="31">
        <f t="shared" si="311"/>
        <v>1.4586248756672107</v>
      </c>
      <c r="AM482" s="31" t="str">
        <f t="shared" si="296"/>
        <v>1+8886.37995768388i</v>
      </c>
      <c r="AN482" s="31">
        <f t="shared" si="312"/>
        <v>8886.3800139497598</v>
      </c>
      <c r="AO482" s="31">
        <f t="shared" si="313"/>
        <v>1.5706837950327459</v>
      </c>
      <c r="AP482" s="58" t="str">
        <f t="shared" si="314"/>
        <v>-0.0000540204266410669+0.000480052121701549i</v>
      </c>
      <c r="AQ482" s="49">
        <f t="shared" si="315"/>
        <v>-66.319582378612395</v>
      </c>
      <c r="AR482" s="61">
        <f t="shared" si="316"/>
        <v>96.420503136441994</v>
      </c>
      <c r="AS482" s="58" t="str">
        <f t="shared" si="317"/>
        <v>-3.11744308367123E-06-1.96154935952755E-07i</v>
      </c>
      <c r="AT482" s="64">
        <f t="shared" si="318"/>
        <v>-110.10686893639269</v>
      </c>
      <c r="AU482" s="61">
        <f t="shared" si="319"/>
        <v>-176.39959649160195</v>
      </c>
    </row>
    <row r="483" spans="14:47" x14ac:dyDescent="0.3">
      <c r="N483" s="10">
        <v>65</v>
      </c>
      <c r="O483" s="50">
        <f t="shared" si="287"/>
        <v>446683.59215096442</v>
      </c>
      <c r="P483" s="48" t="str">
        <f t="shared" si="288"/>
        <v>51201.9230769231</v>
      </c>
      <c r="Q483" s="17" t="str">
        <f t="shared" si="289"/>
        <v>1+131154.379866953i</v>
      </c>
      <c r="R483" s="17">
        <f t="shared" si="297"/>
        <v>131154.37987076532</v>
      </c>
      <c r="S483" s="17">
        <f t="shared" si="298"/>
        <v>1.5707887021924929</v>
      </c>
      <c r="T483" s="17" t="str">
        <f t="shared" si="290"/>
        <v>1+8.41978734948343E-06i</v>
      </c>
      <c r="U483" s="17">
        <f t="shared" si="299"/>
        <v>1.0000000000354463</v>
      </c>
      <c r="V483" s="17">
        <f t="shared" si="300"/>
        <v>8.4197873492844625E-6</v>
      </c>
      <c r="W483" s="31" t="str">
        <f t="shared" si="291"/>
        <v>1-4.54668516872105i</v>
      </c>
      <c r="X483" s="17">
        <f t="shared" si="301"/>
        <v>4.6553567020656921</v>
      </c>
      <c r="Y483" s="17">
        <f t="shared" si="302"/>
        <v>-1.3543028195951985</v>
      </c>
      <c r="Z483" s="31" t="str">
        <f t="shared" si="292"/>
        <v>-78.8104925987559+277.455121593691i</v>
      </c>
      <c r="AA483" s="17">
        <f t="shared" si="303"/>
        <v>288.4309939001501</v>
      </c>
      <c r="AB483" s="17">
        <f t="shared" si="304"/>
        <v>1.8475545142815968</v>
      </c>
      <c r="AC483" s="66" t="str">
        <f t="shared" si="305"/>
        <v>0.000379401424236529+0.00628964033168309i</v>
      </c>
      <c r="AD483" s="64">
        <f t="shared" si="306"/>
        <v>-44.011709779180265</v>
      </c>
      <c r="AE483" s="61">
        <f t="shared" si="307"/>
        <v>86.548007441667295</v>
      </c>
      <c r="AF483" s="31" t="str">
        <f t="shared" si="293"/>
        <v>-1.33333333333333E-06</v>
      </c>
      <c r="AG483" s="31" t="str">
        <f t="shared" si="294"/>
        <v>2.8094023789443i</v>
      </c>
      <c r="AH483" s="31">
        <f t="shared" si="308"/>
        <v>2.8094023789442999</v>
      </c>
      <c r="AI483" s="31">
        <f t="shared" si="309"/>
        <v>1.5707963267948966</v>
      </c>
      <c r="AJ483" s="31" t="str">
        <f t="shared" si="295"/>
        <v>1+9.08428605139069i</v>
      </c>
      <c r="AK483" s="31">
        <f t="shared" si="310"/>
        <v>9.1391604134893836</v>
      </c>
      <c r="AL483" s="31">
        <f t="shared" si="311"/>
        <v>1.4611575622920598</v>
      </c>
      <c r="AM483" s="31" t="str">
        <f t="shared" si="296"/>
        <v>1+9093.37033744209i</v>
      </c>
      <c r="AN483" s="31">
        <f t="shared" si="312"/>
        <v>9093.3703924272013</v>
      </c>
      <c r="AO483" s="31">
        <f t="shared" si="313"/>
        <v>1.5706863565683624</v>
      </c>
      <c r="AP483" s="58" t="str">
        <f t="shared" si="314"/>
        <v>-0.0000516182160822708+0.000469389237137603i</v>
      </c>
      <c r="AQ483" s="49">
        <f t="shared" si="315"/>
        <v>-66.517132566172791</v>
      </c>
      <c r="AR483" s="61">
        <f t="shared" si="316"/>
        <v>96.27553764718877</v>
      </c>
      <c r="AS483" s="58" t="str">
        <f t="shared" si="317"/>
        <v>-2.97187350185679E-06-1.46573068629279E-07i</v>
      </c>
      <c r="AT483" s="64">
        <f t="shared" si="318"/>
        <v>-110.52884234535306</v>
      </c>
      <c r="AU483" s="61">
        <f t="shared" si="319"/>
        <v>-177.17645491114394</v>
      </c>
    </row>
    <row r="484" spans="14:47" x14ac:dyDescent="0.3">
      <c r="N484" s="10">
        <v>66</v>
      </c>
      <c r="O484" s="50">
        <f t="shared" ref="O484:O518" si="320">10^(5+(N484/100))</f>
        <v>457088.18961487547</v>
      </c>
      <c r="P484" s="48" t="str">
        <f t="shared" si="288"/>
        <v>51201.9230769231</v>
      </c>
      <c r="Q484" s="17" t="str">
        <f t="shared" si="289"/>
        <v>1+134209.357824781i</v>
      </c>
      <c r="R484" s="17">
        <f t="shared" si="297"/>
        <v>134209.35782850653</v>
      </c>
      <c r="S484" s="17">
        <f t="shared" si="298"/>
        <v>1.5707888757496329</v>
      </c>
      <c r="T484" s="17" t="str">
        <f t="shared" si="290"/>
        <v>1+8.61590939122051E-06i</v>
      </c>
      <c r="U484" s="17">
        <f t="shared" si="299"/>
        <v>1.000000000037117</v>
      </c>
      <c r="V484" s="17">
        <f t="shared" si="300"/>
        <v>8.6159093910073114E-6</v>
      </c>
      <c r="W484" s="31" t="str">
        <f t="shared" si="291"/>
        <v>1-4.65259107125907i</v>
      </c>
      <c r="X484" s="17">
        <f t="shared" si="301"/>
        <v>4.7588447838062145</v>
      </c>
      <c r="Y484" s="17">
        <f t="shared" si="302"/>
        <v>-1.3590832534877657</v>
      </c>
      <c r="Z484" s="31" t="str">
        <f t="shared" si="292"/>
        <v>-82.5718452341618+283.917881599227i</v>
      </c>
      <c r="AA484" s="17">
        <f t="shared" si="303"/>
        <v>295.68137093358968</v>
      </c>
      <c r="AB484" s="17">
        <f t="shared" si="304"/>
        <v>1.8538192158046931</v>
      </c>
      <c r="AC484" s="66" t="str">
        <f t="shared" si="305"/>
        <v>0.000437385654618477+0.00612458123363994i</v>
      </c>
      <c r="AD484" s="64">
        <f t="shared" si="306"/>
        <v>-44.23637897484199</v>
      </c>
      <c r="AE484" s="61">
        <f t="shared" si="307"/>
        <v>85.915169091072855</v>
      </c>
      <c r="AF484" s="31" t="str">
        <f t="shared" si="293"/>
        <v>-1.33333333333333E-06</v>
      </c>
      <c r="AG484" s="31" t="str">
        <f t="shared" si="294"/>
        <v>2.87484176687058i</v>
      </c>
      <c r="AH484" s="31">
        <f t="shared" si="308"/>
        <v>2.8748417668705799</v>
      </c>
      <c r="AI484" s="31">
        <f t="shared" si="309"/>
        <v>1.5707963267948966</v>
      </c>
      <c r="AJ484" s="31" t="str">
        <f t="shared" si="295"/>
        <v>1+9.29588625626187i</v>
      </c>
      <c r="AK484" s="31">
        <f t="shared" si="310"/>
        <v>9.3495187731432647</v>
      </c>
      <c r="AL484" s="31">
        <f t="shared" si="311"/>
        <v>1.4636339632850603</v>
      </c>
      <c r="AM484" s="31" t="str">
        <f t="shared" si="296"/>
        <v>1+9305.18214251814i</v>
      </c>
      <c r="AN484" s="31">
        <f t="shared" si="312"/>
        <v>9305.1821962516406</v>
      </c>
      <c r="AO484" s="31">
        <f t="shared" si="313"/>
        <v>1.5706888597963109</v>
      </c>
      <c r="AP484" s="58" t="str">
        <f t="shared" si="314"/>
        <v>-0.0000493215908200491+0.0004589516918831i</v>
      </c>
      <c r="AQ484" s="49">
        <f t="shared" si="315"/>
        <v>-66.714791722726915</v>
      </c>
      <c r="AR484" s="61">
        <f t="shared" si="316"/>
        <v>96.133793746304477</v>
      </c>
      <c r="AS484" s="58" t="str">
        <f t="shared" si="317"/>
        <v>-2.83245947554219E-06-1.01335203357193E-07i</v>
      </c>
      <c r="AT484" s="64">
        <f t="shared" si="318"/>
        <v>-110.95117069756888</v>
      </c>
      <c r="AU484" s="61">
        <f t="shared" si="319"/>
        <v>-177.95103716262267</v>
      </c>
    </row>
    <row r="485" spans="14:47" x14ac:dyDescent="0.3">
      <c r="N485" s="10">
        <v>67</v>
      </c>
      <c r="O485" s="50">
        <f t="shared" si="320"/>
        <v>467735.14128719864</v>
      </c>
      <c r="P485" s="48" t="str">
        <f t="shared" si="288"/>
        <v>51201.9230769231</v>
      </c>
      <c r="Q485" s="17" t="str">
        <f t="shared" si="289"/>
        <v>1+137335.495360598i</v>
      </c>
      <c r="R485" s="17">
        <f t="shared" si="297"/>
        <v>137335.49536423871</v>
      </c>
      <c r="S485" s="17">
        <f t="shared" si="298"/>
        <v>1.5707890453561297</v>
      </c>
      <c r="T485" s="17" t="str">
        <f t="shared" si="290"/>
        <v>1+8.81659970216188E-06i</v>
      </c>
      <c r="U485" s="17">
        <f t="shared" si="299"/>
        <v>1.0000000000388662</v>
      </c>
      <c r="V485" s="17">
        <f t="shared" si="300"/>
        <v>8.8165997019334355E-6</v>
      </c>
      <c r="W485" s="31" t="str">
        <f t="shared" si="291"/>
        <v>1-4.76096383916741i</v>
      </c>
      <c r="X485" s="17">
        <f t="shared" si="301"/>
        <v>4.8648511465264468</v>
      </c>
      <c r="Y485" s="17">
        <f t="shared" si="302"/>
        <v>-1.3637643829850297</v>
      </c>
      <c r="Z485" s="31" t="str">
        <f t="shared" si="292"/>
        <v>-86.5104649579821+290.531178623686i</v>
      </c>
      <c r="AA485" s="17">
        <f t="shared" si="303"/>
        <v>303.13763590111074</v>
      </c>
      <c r="AB485" s="17">
        <f t="shared" si="304"/>
        <v>1.8602028215178006</v>
      </c>
      <c r="AC485" s="66" t="str">
        <f t="shared" si="305"/>
        <v>0.000492209822765012+0.00596291491207502i</v>
      </c>
      <c r="AD485" s="64">
        <f t="shared" si="306"/>
        <v>-44.461336569138169</v>
      </c>
      <c r="AE485" s="61">
        <f t="shared" si="307"/>
        <v>85.281208243060192</v>
      </c>
      <c r="AF485" s="31" t="str">
        <f t="shared" si="293"/>
        <v>-1.33333333333333E-06</v>
      </c>
      <c r="AG485" s="31" t="str">
        <f t="shared" si="294"/>
        <v>2.94180543395468i</v>
      </c>
      <c r="AH485" s="31">
        <f t="shared" si="308"/>
        <v>2.9418054339546802</v>
      </c>
      <c r="AI485" s="31">
        <f t="shared" si="309"/>
        <v>1.5707963267948966</v>
      </c>
      <c r="AJ485" s="31" t="str">
        <f t="shared" si="295"/>
        <v>1+9.51241526307173i</v>
      </c>
      <c r="AK485" s="31">
        <f t="shared" si="310"/>
        <v>9.5648337223978981</v>
      </c>
      <c r="AL485" s="31">
        <f t="shared" si="311"/>
        <v>1.46605527010727</v>
      </c>
      <c r="AM485" s="31" t="str">
        <f t="shared" si="296"/>
        <v>1+9521.92767833482i</v>
      </c>
      <c r="AN485" s="31">
        <f t="shared" si="312"/>
        <v>9521.9277308451965</v>
      </c>
      <c r="AO485" s="31">
        <f t="shared" si="313"/>
        <v>1.5706913060438361</v>
      </c>
      <c r="AP485" s="58" t="str">
        <f t="shared" si="314"/>
        <v>-0.0000471260177812435+0.000448735487239931i</v>
      </c>
      <c r="AQ485" s="49">
        <f t="shared" si="315"/>
        <v>-66.912555056161651</v>
      </c>
      <c r="AR485" s="61">
        <f t="shared" si="316"/>
        <v>95.995203244144435</v>
      </c>
      <c r="AS485" s="58" t="str">
        <f t="shared" si="317"/>
        <v>-2.69896741729996E-06-6.01364195317517E-08i</v>
      </c>
      <c r="AT485" s="64">
        <f t="shared" si="318"/>
        <v>-111.37389162529983</v>
      </c>
      <c r="AU485" s="61">
        <f t="shared" si="319"/>
        <v>-178.72358851279537</v>
      </c>
    </row>
    <row r="486" spans="14:47" x14ac:dyDescent="0.3">
      <c r="N486" s="10">
        <v>68</v>
      </c>
      <c r="O486" s="50">
        <f t="shared" si="320"/>
        <v>478630.09232263872</v>
      </c>
      <c r="P486" s="48" t="str">
        <f t="shared" si="288"/>
        <v>51201.9230769231</v>
      </c>
      <c r="Q486" s="17" t="str">
        <f t="shared" si="289"/>
        <v>1+140534.449993906i</v>
      </c>
      <c r="R486" s="17">
        <f t="shared" si="297"/>
        <v>140534.44999746385</v>
      </c>
      <c r="S486" s="17">
        <f t="shared" si="298"/>
        <v>1.5707892111019115</v>
      </c>
      <c r="T486" s="17" t="str">
        <f t="shared" si="290"/>
        <v>1+9.02196469096684E-06i</v>
      </c>
      <c r="U486" s="17">
        <f t="shared" si="299"/>
        <v>1.0000000000406979</v>
      </c>
      <c r="V486" s="17">
        <f t="shared" si="300"/>
        <v>9.0219646907220556E-6</v>
      </c>
      <c r="W486" s="31" t="str">
        <f t="shared" si="291"/>
        <v>1-4.87186093312209i</v>
      </c>
      <c r="X486" s="17">
        <f t="shared" si="301"/>
        <v>4.973432310958021</v>
      </c>
      <c r="Y486" s="17">
        <f t="shared" si="302"/>
        <v>-1.3683478690826203</v>
      </c>
      <c r="Z486" s="31" t="str">
        <f t="shared" si="292"/>
        <v>-90.634706110711+297.298519124686i</v>
      </c>
      <c r="AA486" s="17">
        <f t="shared" si="303"/>
        <v>310.80710967657456</v>
      </c>
      <c r="AB486" s="17">
        <f t="shared" si="304"/>
        <v>1.8667067117679157</v>
      </c>
      <c r="AC486" s="66" t="str">
        <f t="shared" si="305"/>
        <v>0.000543996673165284+0.00580456689367648i</v>
      </c>
      <c r="AD486" s="64">
        <f t="shared" si="306"/>
        <v>-44.686625173322625</v>
      </c>
      <c r="AE486" s="61">
        <f t="shared" si="307"/>
        <v>84.645950642476734</v>
      </c>
      <c r="AF486" s="31" t="str">
        <f t="shared" si="293"/>
        <v>-1.33333333333333E-06</v>
      </c>
      <c r="AG486" s="31" t="str">
        <f t="shared" si="294"/>
        <v>3.01032888521927i</v>
      </c>
      <c r="AH486" s="31">
        <f t="shared" si="308"/>
        <v>3.0103288852192698</v>
      </c>
      <c r="AI486" s="31">
        <f t="shared" si="309"/>
        <v>1.5707963267948966</v>
      </c>
      <c r="AJ486" s="31" t="str">
        <f t="shared" si="295"/>
        <v>1+9.7339878783658i</v>
      </c>
      <c r="AK486" s="31">
        <f t="shared" si="310"/>
        <v>9.7852194669395285</v>
      </c>
      <c r="AL486" s="31">
        <f t="shared" si="311"/>
        <v>1.4684226529420237</v>
      </c>
      <c r="AM486" s="31" t="str">
        <f t="shared" si="296"/>
        <v>1+9743.72186624418i</v>
      </c>
      <c r="AN486" s="31">
        <f t="shared" si="312"/>
        <v>9743.7219175592727</v>
      </c>
      <c r="AO486" s="31">
        <f t="shared" si="313"/>
        <v>1.5706936966079705</v>
      </c>
      <c r="AP486" s="58" t="str">
        <f t="shared" si="314"/>
        <v>-0.0000450271491164055+0.000438736643186048i</v>
      </c>
      <c r="AQ486" s="49">
        <f t="shared" si="315"/>
        <v>-67.110417980325749</v>
      </c>
      <c r="AR486" s="61">
        <f t="shared" si="316"/>
        <v>95.859699168456899</v>
      </c>
      <c r="AS486" s="58" t="str">
        <f t="shared" si="317"/>
        <v>-2.57117081340193E-06-2.26918247888071E-08i</v>
      </c>
      <c r="AT486" s="64">
        <f t="shared" si="318"/>
        <v>-111.79704315364836</v>
      </c>
      <c r="AU486" s="61">
        <f t="shared" si="319"/>
        <v>-179.49435018906638</v>
      </c>
    </row>
    <row r="487" spans="14:47" x14ac:dyDescent="0.3">
      <c r="N487" s="10">
        <v>69</v>
      </c>
      <c r="O487" s="50">
        <f t="shared" si="320"/>
        <v>489778.81936844654</v>
      </c>
      <c r="P487" s="48" t="str">
        <f t="shared" si="288"/>
        <v>51201.9230769231</v>
      </c>
      <c r="Q487" s="17" t="str">
        <f t="shared" si="289"/>
        <v>1+143807.917852795i</v>
      </c>
      <c r="R487" s="17">
        <f t="shared" si="297"/>
        <v>143807.91785627187</v>
      </c>
      <c r="S487" s="17">
        <f t="shared" si="298"/>
        <v>1.5707893730748588</v>
      </c>
      <c r="T487" s="17" t="str">
        <f t="shared" si="290"/>
        <v>1+9.23211324487078E-06i</v>
      </c>
      <c r="U487" s="17">
        <f t="shared" si="299"/>
        <v>1.0000000000426159</v>
      </c>
      <c r="V487" s="17">
        <f t="shared" si="300"/>
        <v>9.2321132446084901E-6</v>
      </c>
      <c r="W487" s="31" t="str">
        <f t="shared" si="291"/>
        <v>1-4.98534115223022i</v>
      </c>
      <c r="X487" s="17">
        <f t="shared" si="301"/>
        <v>5.0846461434518861</v>
      </c>
      <c r="Y487" s="17">
        <f t="shared" si="302"/>
        <v>-1.3728353713123114</v>
      </c>
      <c r="Z487" s="31" t="str">
        <f t="shared" si="292"/>
        <v>-94.95331676078+304.223491235737i</v>
      </c>
      <c r="AA487" s="17">
        <f t="shared" si="303"/>
        <v>318.69745054445224</v>
      </c>
      <c r="AB487" s="17">
        <f t="shared" si="304"/>
        <v>1.8733322119382221</v>
      </c>
      <c r="AC487" s="66" t="str">
        <f t="shared" si="305"/>
        <v>0.000592863024185333+0.00564946487012405i</v>
      </c>
      <c r="AD487" s="64">
        <f t="shared" si="306"/>
        <v>-44.912287608272308</v>
      </c>
      <c r="AE487" s="61">
        <f t="shared" si="307"/>
        <v>84.009225267497129</v>
      </c>
      <c r="AF487" s="31" t="str">
        <f t="shared" si="293"/>
        <v>-1.33333333333333E-06</v>
      </c>
      <c r="AG487" s="31" t="str">
        <f t="shared" si="294"/>
        <v>3.08044845270521i</v>
      </c>
      <c r="AH487" s="31">
        <f t="shared" si="308"/>
        <v>3.0804484527052098</v>
      </c>
      <c r="AI487" s="31">
        <f t="shared" si="309"/>
        <v>1.5707963267948966</v>
      </c>
      <c r="AJ487" s="31" t="str">
        <f t="shared" si="295"/>
        <v>1+9.96072158287754i</v>
      </c>
      <c r="AK487" s="31">
        <f t="shared" si="310"/>
        <v>10.010792898247493</v>
      </c>
      <c r="AL487" s="31">
        <f t="shared" si="311"/>
        <v>1.4707372608050282</v>
      </c>
      <c r="AM487" s="31" t="str">
        <f t="shared" si="296"/>
        <v>1+9970.68230446043i</v>
      </c>
      <c r="AN487" s="31">
        <f t="shared" si="312"/>
        <v>9970.6823546074484</v>
      </c>
      <c r="AO487" s="31">
        <f t="shared" si="313"/>
        <v>1.5706960327562229</v>
      </c>
      <c r="AP487" s="58" t="str">
        <f t="shared" si="314"/>
        <v>-0.0000430208154571572+0.00042895120244821i</v>
      </c>
      <c r="AQ487" s="49">
        <f t="shared" si="315"/>
        <v>-67.308376106594224</v>
      </c>
      <c r="AR487" s="61">
        <f t="shared" si="316"/>
        <v>95.727215758114113</v>
      </c>
      <c r="AS487" s="58" t="str">
        <f t="shared" si="317"/>
        <v>-2.44885019998348E-06+1.12647215020815E-08i</v>
      </c>
      <c r="AT487" s="64">
        <f t="shared" si="318"/>
        <v>-112.22066371486655</v>
      </c>
      <c r="AU487" s="61">
        <f t="shared" si="319"/>
        <v>179.73644102561124</v>
      </c>
    </row>
    <row r="488" spans="14:47" x14ac:dyDescent="0.3">
      <c r="N488" s="10">
        <v>70</v>
      </c>
      <c r="O488" s="50">
        <f t="shared" si="320"/>
        <v>501187.23362727347</v>
      </c>
      <c r="P488" s="48" t="str">
        <f t="shared" si="288"/>
        <v>51201.9230769231</v>
      </c>
      <c r="Q488" s="17" t="str">
        <f t="shared" si="289"/>
        <v>1+147157.634573251i</v>
      </c>
      <c r="R488" s="17">
        <f t="shared" si="297"/>
        <v>147157.63457664874</v>
      </c>
      <c r="S488" s="17">
        <f t="shared" si="298"/>
        <v>1.5707895313608515</v>
      </c>
      <c r="T488" s="17" t="str">
        <f t="shared" si="290"/>
        <v>1+9.44715678741862E-06i</v>
      </c>
      <c r="U488" s="17">
        <f t="shared" si="299"/>
        <v>1.0000000000446243</v>
      </c>
      <c r="V488" s="17">
        <f t="shared" si="300"/>
        <v>9.4471567871375717E-6</v>
      </c>
      <c r="W488" s="31" t="str">
        <f t="shared" si="291"/>
        <v>1-5.10146466520605i</v>
      </c>
      <c r="X488" s="17">
        <f t="shared" si="301"/>
        <v>5.1985518878189421</v>
      </c>
      <c r="Y488" s="17">
        <f t="shared" si="302"/>
        <v>-1.3772285457217666</v>
      </c>
      <c r="Z488" s="31" t="str">
        <f t="shared" si="292"/>
        <v>-99.475457260384+311.309766668716i</v>
      </c>
      <c r="AA488" s="17">
        <f t="shared" si="303"/>
        <v>326.81667249467688</v>
      </c>
      <c r="AB488" s="17">
        <f t="shared" si="304"/>
        <v>1.8800805872309503</v>
      </c>
      <c r="AC488" s="66" t="str">
        <f t="shared" si="305"/>
        <v>0.000638920051922566+0.00549753868105258i</v>
      </c>
      <c r="AD488" s="64">
        <f t="shared" si="306"/>
        <v>-45.138366925386919</v>
      </c>
      <c r="AE488" s="61">
        <f t="shared" si="307"/>
        <v>83.370864744294792</v>
      </c>
      <c r="AF488" s="31" t="str">
        <f t="shared" si="293"/>
        <v>-1.33333333333333E-06</v>
      </c>
      <c r="AG488" s="31" t="str">
        <f t="shared" si="294"/>
        <v>3.15220131473534i</v>
      </c>
      <c r="AH488" s="31">
        <f t="shared" si="308"/>
        <v>3.1522013147353398</v>
      </c>
      <c r="AI488" s="31">
        <f t="shared" si="309"/>
        <v>1.5707963267948966</v>
      </c>
      <c r="AJ488" s="31" t="str">
        <f t="shared" si="295"/>
        <v>1+10.1927365938183i</v>
      </c>
      <c r="AK488" s="31">
        <f t="shared" si="310"/>
        <v>10.241673655753862</v>
      </c>
      <c r="AL488" s="31">
        <f t="shared" si="311"/>
        <v>1.4730002216752598</v>
      </c>
      <c r="AM488" s="31" t="str">
        <f t="shared" si="296"/>
        <v>1+10202.9293304121i</v>
      </c>
      <c r="AN488" s="31">
        <f t="shared" si="312"/>
        <v>10202.929379417634</v>
      </c>
      <c r="AO488" s="31">
        <f t="shared" si="313"/>
        <v>1.5706983157272498</v>
      </c>
      <c r="AP488" s="58" t="str">
        <f t="shared" si="314"/>
        <v>-0.0000411030193443686+0.000419375234216528i</v>
      </c>
      <c r="AQ488" s="49">
        <f t="shared" si="315"/>
        <v>-67.506425235742213</v>
      </c>
      <c r="AR488" s="61">
        <f t="shared" si="316"/>
        <v>95.597688455651195</v>
      </c>
      <c r="AS488" s="58" t="str">
        <f t="shared" si="317"/>
        <v>-2.33179311523453E-06+4.19818076669435E-08i</v>
      </c>
      <c r="AT488" s="64">
        <f t="shared" si="318"/>
        <v>-112.64479216112912</v>
      </c>
      <c r="AU488" s="61">
        <f t="shared" si="319"/>
        <v>178.968553199946</v>
      </c>
    </row>
    <row r="489" spans="14:47" x14ac:dyDescent="0.3">
      <c r="N489" s="10">
        <v>71</v>
      </c>
      <c r="O489" s="50">
        <f t="shared" si="320"/>
        <v>512861.38399136515</v>
      </c>
      <c r="P489" s="48" t="str">
        <f t="shared" si="288"/>
        <v>51201.9230769231</v>
      </c>
      <c r="Q489" s="17" t="str">
        <f t="shared" si="289"/>
        <v>1+150585.37621942i</v>
      </c>
      <c r="R489" s="17">
        <f t="shared" si="297"/>
        <v>150585.37622274039</v>
      </c>
      <c r="S489" s="17">
        <f t="shared" si="298"/>
        <v>1.5707896860438151</v>
      </c>
      <c r="T489" s="17" t="str">
        <f t="shared" si="290"/>
        <v>1+0.000009667209337543i</v>
      </c>
      <c r="U489" s="17">
        <f t="shared" si="299"/>
        <v>1.0000000000467275</v>
      </c>
      <c r="V489" s="17">
        <f t="shared" si="300"/>
        <v>9.6672093372418506E-6</v>
      </c>
      <c r="W489" s="31" t="str">
        <f t="shared" si="291"/>
        <v>1-5.22029304227321i</v>
      </c>
      <c r="X489" s="17">
        <f t="shared" si="301"/>
        <v>5.3152101978384714</v>
      </c>
      <c r="Y489" s="17">
        <f t="shared" si="302"/>
        <v>-1.3815290430005558</v>
      </c>
      <c r="Z489" s="31" t="str">
        <f t="shared" si="292"/>
        <v>-104.210719675815+318.561102660653i</v>
      </c>
      <c r="AA489" s="17">
        <f t="shared" si="303"/>
        <v>335.1731645339799</v>
      </c>
      <c r="AB489" s="17">
        <f t="shared" si="304"/>
        <v>1.8869530372436258</v>
      </c>
      <c r="AC489" s="66" t="str">
        <f t="shared" si="305"/>
        <v>0.000682273563988961+0.00534872029710321i</v>
      </c>
      <c r="AD489" s="64">
        <f t="shared" si="306"/>
        <v>-45.364906425406623</v>
      </c>
      <c r="AE489" s="61">
        <f t="shared" si="307"/>
        <v>82.730705765173127</v>
      </c>
      <c r="AF489" s="31" t="str">
        <f t="shared" si="293"/>
        <v>-1.33333333333333E-06</v>
      </c>
      <c r="AG489" s="31" t="str">
        <f t="shared" si="294"/>
        <v>3.22562551562685i</v>
      </c>
      <c r="AH489" s="31">
        <f t="shared" si="308"/>
        <v>3.2256255156268501</v>
      </c>
      <c r="AI489" s="31">
        <f t="shared" si="309"/>
        <v>1.5707963267948966</v>
      </c>
      <c r="AJ489" s="31" t="str">
        <f t="shared" si="295"/>
        <v>1+10.4301559286178i</v>
      </c>
      <c r="AK489" s="31">
        <f t="shared" si="310"/>
        <v>10.477984190448135</v>
      </c>
      <c r="AL489" s="31">
        <f t="shared" si="311"/>
        <v>1.4752126426448042</v>
      </c>
      <c r="AM489" s="31" t="str">
        <f t="shared" si="296"/>
        <v>1+10440.5860845464i</v>
      </c>
      <c r="AN489" s="31">
        <f t="shared" si="312"/>
        <v>10440.58613243643</v>
      </c>
      <c r="AO489" s="31">
        <f t="shared" si="313"/>
        <v>1.5707005467315127</v>
      </c>
      <c r="AP489" s="58" t="str">
        <f t="shared" si="314"/>
        <v>-0.0000392699288301884+0.000410004837523154i</v>
      </c>
      <c r="AQ489" s="49">
        <f t="shared" si="315"/>
        <v>-67.70456135011878</v>
      </c>
      <c r="AR489" s="61">
        <f t="shared" si="316"/>
        <v>95.471053898718395</v>
      </c>
      <c r="AS489" s="58" t="str">
        <f t="shared" si="317"/>
        <v>-2.21979403067116E-06+6.969159634981E-08i</v>
      </c>
      <c r="AT489" s="64">
        <f t="shared" si="318"/>
        <v>-113.06946777552541</v>
      </c>
      <c r="AU489" s="61">
        <f t="shared" si="319"/>
        <v>178.20175966389152</v>
      </c>
    </row>
    <row r="490" spans="14:47" x14ac:dyDescent="0.3">
      <c r="N490" s="10">
        <v>72</v>
      </c>
      <c r="O490" s="50">
        <f t="shared" si="320"/>
        <v>524807.46024977288</v>
      </c>
      <c r="P490" s="48" t="str">
        <f t="shared" si="288"/>
        <v>51201.9230769231</v>
      </c>
      <c r="Q490" s="17" t="str">
        <f t="shared" si="289"/>
        <v>1+154092.960225293i</v>
      </c>
      <c r="R490" s="17">
        <f t="shared" si="297"/>
        <v>154092.96022853779</v>
      </c>
      <c r="S490" s="17">
        <f t="shared" si="298"/>
        <v>1.5707898372057647</v>
      </c>
      <c r="T490" s="17" t="str">
        <f t="shared" si="290"/>
        <v>1+9.89238757001884E-06i</v>
      </c>
      <c r="U490" s="17">
        <f t="shared" si="299"/>
        <v>1.0000000000489297</v>
      </c>
      <c r="V490" s="17">
        <f t="shared" si="300"/>
        <v>9.8923875696961523E-6</v>
      </c>
      <c r="W490" s="31" t="str">
        <f t="shared" si="291"/>
        <v>1-5.34188928781017i</v>
      </c>
      <c r="X490" s="17">
        <f t="shared" si="301"/>
        <v>5.4346831704544689</v>
      </c>
      <c r="Y490" s="17">
        <f t="shared" si="302"/>
        <v>-1.3857385067459087</v>
      </c>
      <c r="Z490" s="31" t="str">
        <f t="shared" si="292"/>
        <v>-109.169148133527+325.981343965876i</v>
      </c>
      <c r="AA490" s="17">
        <f t="shared" si="303"/>
        <v>343.77571106463984</v>
      </c>
      <c r="AB490" s="17">
        <f t="shared" si="304"/>
        <v>1.893950690344304</v>
      </c>
      <c r="AC490" s="66" t="str">
        <f t="shared" si="305"/>
        <v>0.000723024263818953+0.00520294380292437i</v>
      </c>
      <c r="AD490" s="64">
        <f t="shared" si="306"/>
        <v>-45.591949674907042</v>
      </c>
      <c r="AE490" s="61">
        <f t="shared" si="307"/>
        <v>82.088589510206305</v>
      </c>
      <c r="AF490" s="31" t="str">
        <f t="shared" si="293"/>
        <v>-1.33333333333333E-06</v>
      </c>
      <c r="AG490" s="31" t="str">
        <f t="shared" si="294"/>
        <v>3.30075998586295i</v>
      </c>
      <c r="AH490" s="31">
        <f t="shared" si="308"/>
        <v>3.3007599858629502</v>
      </c>
      <c r="AI490" s="31">
        <f t="shared" si="309"/>
        <v>1.5707963267948966</v>
      </c>
      <c r="AJ490" s="31" t="str">
        <f t="shared" si="295"/>
        <v>1+10.6731054701502i</v>
      </c>
      <c r="AK490" s="31">
        <f t="shared" si="310"/>
        <v>10.719849829962643</v>
      </c>
      <c r="AL490" s="31">
        <f t="shared" si="311"/>
        <v>1.4773756100859157</v>
      </c>
      <c r="AM490" s="31" t="str">
        <f t="shared" si="296"/>
        <v>1+10683.7785756203i</v>
      </c>
      <c r="AN490" s="31">
        <f t="shared" si="312"/>
        <v>10683.778622420221</v>
      </c>
      <c r="AO490" s="31">
        <f t="shared" si="313"/>
        <v>1.5707027269519196</v>
      </c>
      <c r="AP490" s="58" t="str">
        <f t="shared" si="314"/>
        <v>-0.0000375178712559924+0.00040083614430619i</v>
      </c>
      <c r="AQ490" s="49">
        <f t="shared" si="315"/>
        <v>-67.902780606114916</v>
      </c>
      <c r="AR490" s="61">
        <f t="shared" si="316"/>
        <v>95.347249910546211</v>
      </c>
      <c r="AS490" s="58" t="str">
        <f t="shared" si="317"/>
        <v>-2.11265426425091E-06+9.46108823987306E-08i</v>
      </c>
      <c r="AT490" s="64">
        <f t="shared" si="318"/>
        <v>-113.49473028102194</v>
      </c>
      <c r="AU490" s="61">
        <f t="shared" si="319"/>
        <v>177.43583942075253</v>
      </c>
    </row>
    <row r="491" spans="14:47" x14ac:dyDescent="0.3">
      <c r="N491" s="10">
        <v>73</v>
      </c>
      <c r="O491" s="50">
        <f t="shared" si="320"/>
        <v>537031.7963702539</v>
      </c>
      <c r="P491" s="48" t="str">
        <f t="shared" si="288"/>
        <v>51201.9230769231</v>
      </c>
      <c r="Q491" s="17" t="str">
        <f t="shared" si="289"/>
        <v>1+157682.24635834i</v>
      </c>
      <c r="R491" s="17">
        <f t="shared" si="297"/>
        <v>157682.24636151094</v>
      </c>
      <c r="S491" s="17">
        <f t="shared" si="298"/>
        <v>1.5707899849268481</v>
      </c>
      <c r="T491" s="17" t="str">
        <f t="shared" si="290"/>
        <v>1+0.0000101228108773255i</v>
      </c>
      <c r="U491" s="17">
        <f t="shared" si="299"/>
        <v>1.0000000000512357</v>
      </c>
      <c r="V491" s="17">
        <f t="shared" si="300"/>
        <v>1.0122810876979734E-5</v>
      </c>
      <c r="W491" s="31" t="str">
        <f t="shared" si="291"/>
        <v>1-5.46631787375578i</v>
      </c>
      <c r="X491" s="17">
        <f t="shared" si="301"/>
        <v>5.5570343796796777</v>
      </c>
      <c r="Y491" s="17">
        <f t="shared" si="302"/>
        <v>-1.3898585718617102</v>
      </c>
      <c r="Z491" s="31" t="str">
        <f t="shared" si="292"/>
        <v>-114.361260125065+333.574424894544i</v>
      </c>
      <c r="AA491" s="17">
        <f t="shared" si="303"/>
        <v>352.63351338339714</v>
      </c>
      <c r="AB491" s="17">
        <f t="shared" si="304"/>
        <v>1.90107459785313</v>
      </c>
      <c r="AC491" s="66" t="str">
        <f t="shared" si="305"/>
        <v>0.000761268006064206+0.0050601453799698i</v>
      </c>
      <c r="AD491" s="64">
        <f t="shared" si="306"/>
        <v>-45.819540520230682</v>
      </c>
      <c r="AE491" s="61">
        <f t="shared" si="307"/>
        <v>81.444362072342869</v>
      </c>
      <c r="AF491" s="31" t="str">
        <f t="shared" si="293"/>
        <v>-1.33333333333333E-06</v>
      </c>
      <c r="AG491" s="31" t="str">
        <f t="shared" si="294"/>
        <v>3.37764456273428i</v>
      </c>
      <c r="AH491" s="31">
        <f t="shared" si="308"/>
        <v>3.3776445627342802</v>
      </c>
      <c r="AI491" s="31">
        <f t="shared" si="309"/>
        <v>1.5707963267948966</v>
      </c>
      <c r="AJ491" s="31" t="str">
        <f t="shared" si="295"/>
        <v>1+10.9217140334781i</v>
      </c>
      <c r="AK491" s="31">
        <f t="shared" si="310"/>
        <v>10.967398845171651</v>
      </c>
      <c r="AL491" s="31">
        <f t="shared" si="311"/>
        <v>1.4794901898336452</v>
      </c>
      <c r="AM491" s="31" t="str">
        <f t="shared" si="296"/>
        <v>1+10932.6357475116i</v>
      </c>
      <c r="AN491" s="31">
        <f t="shared" si="312"/>
        <v>10932.635793246225</v>
      </c>
      <c r="AO491" s="31">
        <f t="shared" si="313"/>
        <v>1.5707048575444518</v>
      </c>
      <c r="AP491" s="58" t="str">
        <f t="shared" si="314"/>
        <v>-0.00003584332720748+0.000391865322179095i</v>
      </c>
      <c r="AQ491" s="49">
        <f t="shared" si="315"/>
        <v>-68.101079326914402</v>
      </c>
      <c r="AR491" s="61">
        <f t="shared" si="316"/>
        <v>95.226215489517429</v>
      </c>
      <c r="AS491" s="58" t="str">
        <f t="shared" si="317"/>
        <v>-2.01018187782887E-06+1.16942085889312E-07i</v>
      </c>
      <c r="AT491" s="64">
        <f t="shared" si="318"/>
        <v>-113.92061984714508</v>
      </c>
      <c r="AU491" s="61">
        <f t="shared" si="319"/>
        <v>176.67057756186028</v>
      </c>
    </row>
    <row r="492" spans="14:47" x14ac:dyDescent="0.3">
      <c r="N492" s="10">
        <v>74</v>
      </c>
      <c r="O492" s="50">
        <f t="shared" si="320"/>
        <v>549540.87385762564</v>
      </c>
      <c r="P492" s="48" t="str">
        <f t="shared" si="288"/>
        <v>51201.9230769231</v>
      </c>
      <c r="Q492" s="17" t="str">
        <f t="shared" si="289"/>
        <v>1+161355.137705576i</v>
      </c>
      <c r="R492" s="17">
        <f t="shared" si="297"/>
        <v>161355.13770867477</v>
      </c>
      <c r="S492" s="17">
        <f t="shared" si="298"/>
        <v>1.5707901292853892</v>
      </c>
      <c r="T492" s="17" t="str">
        <f t="shared" si="290"/>
        <v>1+0.0000103586014329506i</v>
      </c>
      <c r="U492" s="17">
        <f t="shared" si="299"/>
        <v>1.0000000000536504</v>
      </c>
      <c r="V492" s="17">
        <f t="shared" si="300"/>
        <v>1.0358601432580104E-5</v>
      </c>
      <c r="W492" s="31" t="str">
        <f t="shared" si="291"/>
        <v>1-5.59364477379331i</v>
      </c>
      <c r="X492" s="17">
        <f t="shared" si="301"/>
        <v>5.6823289112286712</v>
      </c>
      <c r="Y492" s="17">
        <f t="shared" si="302"/>
        <v>-1.3938908630843603</v>
      </c>
      <c r="Z492" s="31" t="str">
        <f t="shared" si="292"/>
        <v>-119.798068816081+341.344371398669i</v>
      </c>
      <c r="AA492" s="17">
        <f t="shared" si="303"/>
        <v>361.75621235524756</v>
      </c>
      <c r="AB492" s="17">
        <f t="shared" si="304"/>
        <v>1.9083257280396297</v>
      </c>
      <c r="AC492" s="66" t="str">
        <f t="shared" si="305"/>
        <v>0.000797096043605394+0.00492026328892765i</v>
      </c>
      <c r="AD492" s="64">
        <f t="shared" si="306"/>
        <v>-46.047723098612835</v>
      </c>
      <c r="AE492" s="61">
        <f t="shared" si="307"/>
        <v>80.797874885799573</v>
      </c>
      <c r="AF492" s="31" t="str">
        <f t="shared" si="293"/>
        <v>-1.33333333333333E-06</v>
      </c>
      <c r="AG492" s="31" t="str">
        <f t="shared" si="294"/>
        <v>3.45632001146118i</v>
      </c>
      <c r="AH492" s="31">
        <f t="shared" si="308"/>
        <v>3.4563200114611798</v>
      </c>
      <c r="AI492" s="31">
        <f t="shared" si="309"/>
        <v>1.5707963267948966</v>
      </c>
      <c r="AJ492" s="31" t="str">
        <f t="shared" si="295"/>
        <v>1+11.1761134341525i</v>
      </c>
      <c r="AK492" s="31">
        <f t="shared" si="310"/>
        <v>11.22076251834268</v>
      </c>
      <c r="AL492" s="31">
        <f t="shared" si="311"/>
        <v>1.4815574273825425</v>
      </c>
      <c r="AM492" s="31" t="str">
        <f t="shared" si="296"/>
        <v>1+11187.2895475866i</v>
      </c>
      <c r="AN492" s="31">
        <f t="shared" si="312"/>
        <v>11187.289592280178</v>
      </c>
      <c r="AO492" s="31">
        <f t="shared" si="313"/>
        <v>1.5707069396387778</v>
      </c>
      <c r="AP492" s="58" t="str">
        <f t="shared" si="314"/>
        <v>-0.0000342429246473435+0.00038308857692456i</v>
      </c>
      <c r="AQ492" s="49">
        <f t="shared" si="315"/>
        <v>-68.299453995522285</v>
      </c>
      <c r="AR492" s="61">
        <f t="shared" si="316"/>
        <v>95.107890797932086</v>
      </c>
      <c r="AS492" s="58" t="str">
        <f t="shared" si="317"/>
        <v>-1.91219156120732E-06+1.36874183969147E-07i</v>
      </c>
      <c r="AT492" s="64">
        <f t="shared" si="318"/>
        <v>-114.34717709413513</v>
      </c>
      <c r="AU492" s="61">
        <f t="shared" si="319"/>
        <v>175.90576568373166</v>
      </c>
    </row>
    <row r="493" spans="14:47" x14ac:dyDescent="0.3">
      <c r="N493" s="10">
        <v>75</v>
      </c>
      <c r="O493" s="50">
        <f t="shared" si="320"/>
        <v>562341.32519035018</v>
      </c>
      <c r="P493" s="48" t="str">
        <f t="shared" si="288"/>
        <v>51201.9230769231</v>
      </c>
      <c r="Q493" s="17" t="str">
        <f t="shared" si="289"/>
        <v>1+165113.581682613i</v>
      </c>
      <c r="R493" s="17">
        <f t="shared" si="297"/>
        <v>165113.58168564123</v>
      </c>
      <c r="S493" s="17">
        <f t="shared" si="298"/>
        <v>1.5707902703579288</v>
      </c>
      <c r="T493" s="17" t="str">
        <f t="shared" si="290"/>
        <v>1+0.0000105998842561677i</v>
      </c>
      <c r="U493" s="17">
        <f t="shared" si="299"/>
        <v>1.0000000000561786</v>
      </c>
      <c r="V493" s="17">
        <f t="shared" si="300"/>
        <v>1.0599884255770707E-5</v>
      </c>
      <c r="W493" s="31" t="str">
        <f t="shared" si="291"/>
        <v>1-5.72393749833057i</v>
      </c>
      <c r="X493" s="17">
        <f t="shared" si="301"/>
        <v>5.8106333979003368</v>
      </c>
      <c r="Y493" s="17">
        <f t="shared" si="302"/>
        <v>-1.3978369936291901</v>
      </c>
      <c r="Z493" s="31" t="str">
        <f t="shared" si="292"/>
        <v>-125.491106406736+349.295303206738i</v>
      </c>
      <c r="AA493" s="17">
        <f t="shared" si="303"/>
        <v>371.15391231869529</v>
      </c>
      <c r="AB493" s="17">
        <f t="shared" si="304"/>
        <v>1.9157049599471034</v>
      </c>
      <c r="AC493" s="66" t="str">
        <f t="shared" si="305"/>
        <v>0.000830595266675993+0.00478323785159849i</v>
      </c>
      <c r="AD493" s="64">
        <f t="shared" si="306"/>
        <v>-46.276541846264777</v>
      </c>
      <c r="AE493" s="61">
        <f t="shared" si="307"/>
        <v>80.148985157452913</v>
      </c>
      <c r="AF493" s="31" t="str">
        <f t="shared" si="293"/>
        <v>-1.33333333333333E-06</v>
      </c>
      <c r="AG493" s="31" t="str">
        <f t="shared" si="294"/>
        <v>3.53682804680796i</v>
      </c>
      <c r="AH493" s="31">
        <f t="shared" si="308"/>
        <v>3.53682804680796</v>
      </c>
      <c r="AI493" s="31">
        <f t="shared" si="309"/>
        <v>1.5707963267948966</v>
      </c>
      <c r="AJ493" s="31" t="str">
        <f t="shared" si="295"/>
        <v>1+11.436438558103i</v>
      </c>
      <c r="AK493" s="31">
        <f t="shared" si="310"/>
        <v>11.480075212874914</v>
      </c>
      <c r="AL493" s="31">
        <f t="shared" si="311"/>
        <v>1.4835783480959888</v>
      </c>
      <c r="AM493" s="31" t="str">
        <f t="shared" si="296"/>
        <v>1+11447.8749966611i</v>
      </c>
      <c r="AN493" s="31">
        <f t="shared" si="312"/>
        <v>11447.875040337327</v>
      </c>
      <c r="AO493" s="31">
        <f t="shared" si="313"/>
        <v>1.5707089743388514</v>
      </c>
      <c r="AP493" s="58" t="str">
        <f t="shared" si="314"/>
        <v>-0.0000327134332252883+0.000374502154731064i</v>
      </c>
      <c r="AQ493" s="49">
        <f t="shared" si="315"/>
        <v>-68.49790124806033</v>
      </c>
      <c r="AR493" s="61">
        <f t="shared" si="316"/>
        <v>94.99221715004785</v>
      </c>
      <c r="AS493" s="58" t="str">
        <f t="shared" si="317"/>
        <v>-1.81850450480847E-06+1.54583585020643E-07i</v>
      </c>
      <c r="AT493" s="64">
        <f t="shared" si="318"/>
        <v>-114.77444309432508</v>
      </c>
      <c r="AU493" s="61">
        <f t="shared" si="319"/>
        <v>175.14120230750078</v>
      </c>
    </row>
    <row r="494" spans="14:47" x14ac:dyDescent="0.3">
      <c r="N494" s="10">
        <v>76</v>
      </c>
      <c r="O494" s="50">
        <f t="shared" si="320"/>
        <v>575439.93733715697</v>
      </c>
      <c r="P494" s="48" t="str">
        <f t="shared" si="288"/>
        <v>51201.9230769231</v>
      </c>
      <c r="Q494" s="17" t="str">
        <f t="shared" si="289"/>
        <v>1+168959.571066193i</v>
      </c>
      <c r="R494" s="17">
        <f t="shared" si="297"/>
        <v>168959.5710691523</v>
      </c>
      <c r="S494" s="17">
        <f t="shared" si="298"/>
        <v>1.5707904082192654</v>
      </c>
      <c r="T494" s="17" t="str">
        <f t="shared" si="290"/>
        <v>1+0.0000108467872783235i</v>
      </c>
      <c r="U494" s="17">
        <f t="shared" si="299"/>
        <v>1.0000000000588263</v>
      </c>
      <c r="V494" s="17">
        <f t="shared" si="300"/>
        <v>1.0846787277898115E-5</v>
      </c>
      <c r="W494" s="31" t="str">
        <f t="shared" si="291"/>
        <v>1-5.85726513029469i</v>
      </c>
      <c r="X494" s="17">
        <f t="shared" si="301"/>
        <v>5.9420160557310906</v>
      </c>
      <c r="Y494" s="17">
        <f t="shared" si="302"/>
        <v>-1.4016985639512707</v>
      </c>
      <c r="Z494" s="31" t="str">
        <f t="shared" si="292"/>
        <v>-131.452448593037+357.431436008035i</v>
      </c>
      <c r="AA494" s="17">
        <f t="shared" si="303"/>
        <v>380.83720628093977</v>
      </c>
      <c r="AB494" s="17">
        <f t="shared" si="304"/>
        <v>1.9232130770578244</v>
      </c>
      <c r="AC494" s="66" t="str">
        <f t="shared" si="305"/>
        <v>0.000861848434558888+0.00464901143203016i</v>
      </c>
      <c r="AD494" s="64">
        <f t="shared" si="306"/>
        <v>-46.50604150317271</v>
      </c>
      <c r="AE494" s="61">
        <f t="shared" si="307"/>
        <v>79.497556300798863</v>
      </c>
      <c r="AF494" s="31" t="str">
        <f t="shared" si="293"/>
        <v>-1.33333333333333E-06</v>
      </c>
      <c r="AG494" s="31" t="str">
        <f t="shared" si="294"/>
        <v>3.61921135520061i</v>
      </c>
      <c r="AH494" s="31">
        <f t="shared" si="308"/>
        <v>3.6192113552006102</v>
      </c>
      <c r="AI494" s="31">
        <f t="shared" si="309"/>
        <v>1.5707963267948966</v>
      </c>
      <c r="AJ494" s="31" t="str">
        <f t="shared" si="295"/>
        <v>1+11.7028274331562i</v>
      </c>
      <c r="AK494" s="31">
        <f t="shared" si="310"/>
        <v>11.745474444663074</v>
      </c>
      <c r="AL494" s="31">
        <f t="shared" si="311"/>
        <v>1.4855539574268422</v>
      </c>
      <c r="AM494" s="31" t="str">
        <f t="shared" si="296"/>
        <v>1+11714.5302605894i</v>
      </c>
      <c r="AN494" s="31">
        <f t="shared" si="312"/>
        <v>11714.530303271435</v>
      </c>
      <c r="AO494" s="31">
        <f t="shared" si="313"/>
        <v>1.5707109627234976</v>
      </c>
      <c r="AP494" s="58" t="str">
        <f t="shared" si="314"/>
        <v>-0.0000312517587645547+0.000366102344189166i</v>
      </c>
      <c r="AQ494" s="49">
        <f t="shared" si="315"/>
        <v>-68.69641786732349</v>
      </c>
      <c r="AR494" s="61">
        <f t="shared" si="316"/>
        <v>94.879136999471541</v>
      </c>
      <c r="AS494" s="58" t="str">
        <f t="shared" si="317"/>
        <v>-1.72894826279692E-06+1.70234948460308E-07i</v>
      </c>
      <c r="AT494" s="64">
        <f t="shared" si="318"/>
        <v>-115.2024593704962</v>
      </c>
      <c r="AU494" s="61">
        <f t="shared" si="319"/>
        <v>174.37669330027043</v>
      </c>
    </row>
    <row r="495" spans="14:47" x14ac:dyDescent="0.3">
      <c r="N495" s="10">
        <v>77</v>
      </c>
      <c r="O495" s="50">
        <f t="shared" si="320"/>
        <v>588843.65535558888</v>
      </c>
      <c r="P495" s="48" t="str">
        <f t="shared" si="288"/>
        <v>51201.9230769231</v>
      </c>
      <c r="Q495" s="17" t="str">
        <f t="shared" si="289"/>
        <v>1+172895.145050798i</v>
      </c>
      <c r="R495" s="17">
        <f t="shared" si="297"/>
        <v>172895.14505368995</v>
      </c>
      <c r="S495" s="17">
        <f t="shared" si="298"/>
        <v>1.5707905429424946</v>
      </c>
      <c r="T495" s="17" t="str">
        <f t="shared" si="290"/>
        <v>1+0.0000110994414106685i</v>
      </c>
      <c r="U495" s="17">
        <f t="shared" si="299"/>
        <v>1.0000000000615987</v>
      </c>
      <c r="V495" s="17">
        <f t="shared" si="300"/>
        <v>1.1099441410212691E-5</v>
      </c>
      <c r="W495" s="31" t="str">
        <f t="shared" si="291"/>
        <v>1-5.99369836176098i</v>
      </c>
      <c r="X495" s="17">
        <f t="shared" si="301"/>
        <v>6.0765467209407875</v>
      </c>
      <c r="Y495" s="17">
        <f t="shared" si="302"/>
        <v>-1.4054771606146181</v>
      </c>
      <c r="Z495" s="31" t="str">
        <f t="shared" si="292"/>
        <v>-137.694740181013+365.757083687869i</v>
      </c>
      <c r="AA495" s="17">
        <f t="shared" si="303"/>
        <v>390.81720246346816</v>
      </c>
      <c r="AB495" s="17">
        <f t="shared" si="304"/>
        <v>1.9308507608151189</v>
      </c>
      <c r="AC495" s="66" t="str">
        <f t="shared" si="305"/>
        <v>0.000890934400280232+0.00451752841670039i</v>
      </c>
      <c r="AD495" s="64">
        <f t="shared" si="306"/>
        <v>-46.73626711438223</v>
      </c>
      <c r="AE495" s="61">
        <f t="shared" si="307"/>
        <v>78.843458371901292</v>
      </c>
      <c r="AF495" s="31" t="str">
        <f t="shared" si="293"/>
        <v>-1.33333333333333E-06</v>
      </c>
      <c r="AG495" s="31" t="str">
        <f t="shared" si="294"/>
        <v>3.70351361735971i</v>
      </c>
      <c r="AH495" s="31">
        <f t="shared" si="308"/>
        <v>3.7035136173597101</v>
      </c>
      <c r="AI495" s="31">
        <f t="shared" si="309"/>
        <v>1.5707963267948966</v>
      </c>
      <c r="AJ495" s="31" t="str">
        <f t="shared" si="295"/>
        <v>1+11.9754213022197i</v>
      </c>
      <c r="AK495" s="31">
        <f t="shared" si="310"/>
        <v>12.017100955124633</v>
      </c>
      <c r="AL495" s="31">
        <f t="shared" si="311"/>
        <v>1.4874852411481503</v>
      </c>
      <c r="AM495" s="31" t="str">
        <f t="shared" si="296"/>
        <v>1+11987.396723522i</v>
      </c>
      <c r="AN495" s="31">
        <f t="shared" si="312"/>
        <v>11987.396765232475</v>
      </c>
      <c r="AO495" s="31">
        <f t="shared" si="313"/>
        <v>1.570712905846984</v>
      </c>
      <c r="AP495" s="58" t="str">
        <f t="shared" si="314"/>
        <v>-0.0000298549379235807+0.000357885478063836i</v>
      </c>
      <c r="AQ495" s="49">
        <f t="shared" si="315"/>
        <v>-68.895000776587224</v>
      </c>
      <c r="AR495" s="61">
        <f t="shared" si="316"/>
        <v>94.768593925973121</v>
      </c>
      <c r="AS495" s="58" t="str">
        <f t="shared" si="317"/>
        <v>-1.64335660829213E-06+1.83981953319206E-07i</v>
      </c>
      <c r="AT495" s="64">
        <f t="shared" si="318"/>
        <v>-115.63126789096944</v>
      </c>
      <c r="AU495" s="61">
        <f t="shared" si="319"/>
        <v>173.61205229787441</v>
      </c>
    </row>
    <row r="496" spans="14:47" x14ac:dyDescent="0.3">
      <c r="N496" s="10">
        <v>78</v>
      </c>
      <c r="O496" s="50">
        <f t="shared" si="320"/>
        <v>602559.58607435878</v>
      </c>
      <c r="P496" s="48" t="str">
        <f t="shared" si="288"/>
        <v>51201.9230769231</v>
      </c>
      <c r="Q496" s="17" t="str">
        <f t="shared" si="289"/>
        <v>1+176922.390329846i</v>
      </c>
      <c r="R496" s="17">
        <f t="shared" si="297"/>
        <v>176922.3903326721</v>
      </c>
      <c r="S496" s="17">
        <f t="shared" si="298"/>
        <v>1.570790674599049</v>
      </c>
      <c r="T496" s="17" t="str">
        <f t="shared" si="290"/>
        <v>1+0.0000113579806137679i</v>
      </c>
      <c r="U496" s="17">
        <f t="shared" si="299"/>
        <v>1.0000000000645017</v>
      </c>
      <c r="V496" s="17">
        <f t="shared" si="300"/>
        <v>1.1357980613279493E-5</v>
      </c>
      <c r="W496" s="31" t="str">
        <f t="shared" si="291"/>
        <v>1-6.13330953143464i</v>
      </c>
      <c r="X496" s="17">
        <f t="shared" si="301"/>
        <v>6.2142968876926856</v>
      </c>
      <c r="Y496" s="17">
        <f t="shared" si="302"/>
        <v>-1.4091743552639207</v>
      </c>
      <c r="Z496" s="31" t="str">
        <f t="shared" si="292"/>
        <v>-144.231221908041+374.276660614842i</v>
      </c>
      <c r="AA496" s="17">
        <f t="shared" si="303"/>
        <v>401.10555226035478</v>
      </c>
      <c r="AB496" s="17">
        <f t="shared" si="304"/>
        <v>1.9386185840209058</v>
      </c>
      <c r="AC496" s="66" t="str">
        <f t="shared" si="305"/>
        <v>0.000917928328688013+0.00438873519353071i</v>
      </c>
      <c r="AD496" s="64">
        <f t="shared" si="306"/>
        <v>-46.967264027534355</v>
      </c>
      <c r="AE496" s="61">
        <f t="shared" si="307"/>
        <v>78.18656850660274</v>
      </c>
      <c r="AF496" s="31" t="str">
        <f t="shared" si="293"/>
        <v>-1.33333333333333E-06</v>
      </c>
      <c r="AG496" s="31" t="str">
        <f t="shared" si="294"/>
        <v>3.78977953146055i</v>
      </c>
      <c r="AH496" s="31">
        <f t="shared" si="308"/>
        <v>3.78977953146055</v>
      </c>
      <c r="AI496" s="31">
        <f t="shared" si="309"/>
        <v>1.5707963267948966</v>
      </c>
      <c r="AJ496" s="31" t="str">
        <f t="shared" si="295"/>
        <v>1+12.2543646981711i</v>
      </c>
      <c r="AK496" s="31">
        <f t="shared" si="310"/>
        <v>12.295098785930191</v>
      </c>
      <c r="AL496" s="31">
        <f t="shared" si="311"/>
        <v>1.4893731655927809</v>
      </c>
      <c r="AM496" s="31" t="str">
        <f t="shared" si="296"/>
        <v>1+12266.6190628693i</v>
      </c>
      <c r="AN496" s="31">
        <f t="shared" si="312"/>
        <v>12266.619103630326</v>
      </c>
      <c r="AO496" s="31">
        <f t="shared" si="313"/>
        <v>1.5707148047395805</v>
      </c>
      <c r="AP496" s="58" t="str">
        <f t="shared" si="314"/>
        <v>-0.0000285201330309669+0.000349847934858114i</v>
      </c>
      <c r="AQ496" s="49">
        <f t="shared" si="315"/>
        <v>-69.09364703365847</v>
      </c>
      <c r="AR496" s="61">
        <f t="shared" si="316"/>
        <v>94.660532621787738</v>
      </c>
      <c r="AS496" s="58" t="str">
        <f t="shared" si="317"/>
        <v>-1.56156938214292E-06+1.95968018582079E-07i</v>
      </c>
      <c r="AT496" s="64">
        <f t="shared" si="318"/>
        <v>-116.06091106119283</v>
      </c>
      <c r="AU496" s="61">
        <f t="shared" si="319"/>
        <v>172.84710112839051</v>
      </c>
    </row>
    <row r="497" spans="14:47" x14ac:dyDescent="0.3">
      <c r="N497" s="10">
        <v>79</v>
      </c>
      <c r="O497" s="50">
        <f t="shared" si="320"/>
        <v>616595.00186148309</v>
      </c>
      <c r="P497" s="48" t="str">
        <f t="shared" si="288"/>
        <v>51201.9230769231</v>
      </c>
      <c r="Q497" s="17" t="str">
        <f t="shared" si="289"/>
        <v>1+181043.442202091i</v>
      </c>
      <c r="R497" s="17">
        <f t="shared" si="297"/>
        <v>181043.44220485276</v>
      </c>
      <c r="S497" s="17">
        <f t="shared" si="298"/>
        <v>1.5707908032587341</v>
      </c>
      <c r="T497" s="17" t="str">
        <f t="shared" si="290"/>
        <v>1+0.0000116225419685293i</v>
      </c>
      <c r="U497" s="17">
        <f t="shared" si="299"/>
        <v>1.0000000000675417</v>
      </c>
      <c r="V497" s="17">
        <f t="shared" si="300"/>
        <v>1.1622541968005962E-5</v>
      </c>
      <c r="W497" s="31" t="str">
        <f t="shared" si="291"/>
        <v>1-6.27617266300583i</v>
      </c>
      <c r="X497" s="17">
        <f t="shared" si="301"/>
        <v>6.355339746690313</v>
      </c>
      <c r="Y497" s="17">
        <f t="shared" si="302"/>
        <v>-1.4127917036931308</v>
      </c>
      <c r="Z497" s="31" t="str">
        <f t="shared" si="292"/>
        <v>-151.075758528225+382.99468398141i</v>
      </c>
      <c r="AA497" s="17">
        <f t="shared" si="303"/>
        <v>411.71447967359455</v>
      </c>
      <c r="AB497" s="17">
        <f t="shared" si="304"/>
        <v>1.9465170041299142</v>
      </c>
      <c r="AC497" s="66" t="str">
        <f t="shared" si="305"/>
        <v>0.000942901908264098+0.00426258012950068i</v>
      </c>
      <c r="AD497" s="64">
        <f t="shared" si="306"/>
        <v>-47.199077886433244</v>
      </c>
      <c r="AE497" s="61">
        <f t="shared" si="307"/>
        <v>77.526771358105393</v>
      </c>
      <c r="AF497" s="31" t="str">
        <f t="shared" si="293"/>
        <v>-1.33333333333333E-06</v>
      </c>
      <c r="AG497" s="31" t="str">
        <f t="shared" si="294"/>
        <v>3.87805483683262i</v>
      </c>
      <c r="AH497" s="31">
        <f t="shared" si="308"/>
        <v>3.8780548368326202</v>
      </c>
      <c r="AI497" s="31">
        <f t="shared" si="309"/>
        <v>1.5707963267948966</v>
      </c>
      <c r="AJ497" s="31" t="str">
        <f t="shared" si="295"/>
        <v>1+12.5398055204912i</v>
      </c>
      <c r="AK497" s="31">
        <f t="shared" si="310"/>
        <v>12.579615355476557</v>
      </c>
      <c r="AL497" s="31">
        <f t="shared" si="311"/>
        <v>1.4912186779008882</v>
      </c>
      <c r="AM497" s="31" t="str">
        <f t="shared" si="296"/>
        <v>1+12552.3453260117i</v>
      </c>
      <c r="AN497" s="31">
        <f t="shared" si="312"/>
        <v>12552.345365844893</v>
      </c>
      <c r="AO497" s="31">
        <f t="shared" si="313"/>
        <v>1.5707166604081049</v>
      </c>
      <c r="AP497" s="58" t="str">
        <f t="shared" si="314"/>
        <v>-0.0000272446270915126+0.000341986140182565i</v>
      </c>
      <c r="AQ497" s="49">
        <f t="shared" si="315"/>
        <v>-69.292353825162536</v>
      </c>
      <c r="AR497" s="61">
        <f t="shared" si="316"/>
        <v>94.554898877468375</v>
      </c>
      <c r="AS497" s="58" t="str">
        <f t="shared" si="317"/>
        <v>-1.48343233658137E-06+2.06326978102076E-07i</v>
      </c>
      <c r="AT497" s="64">
        <f t="shared" si="318"/>
        <v>-116.49143171159577</v>
      </c>
      <c r="AU497" s="61">
        <f t="shared" si="319"/>
        <v>172.0816702355738</v>
      </c>
    </row>
    <row r="498" spans="14:47" x14ac:dyDescent="0.3">
      <c r="N498" s="10">
        <v>80</v>
      </c>
      <c r="O498" s="50">
        <f t="shared" si="320"/>
        <v>630957.34448019415</v>
      </c>
      <c r="P498" s="48" t="str">
        <f t="shared" si="288"/>
        <v>51201.9230769231</v>
      </c>
      <c r="Q498" s="17" t="str">
        <f t="shared" si="289"/>
        <v>1+185260.485703786i</v>
      </c>
      <c r="R498" s="17">
        <f t="shared" si="297"/>
        <v>185260.48570648488</v>
      </c>
      <c r="S498" s="17">
        <f t="shared" si="298"/>
        <v>1.5707909289897672</v>
      </c>
      <c r="T498" s="17" t="str">
        <f t="shared" si="290"/>
        <v>1+0.000011893265748885i</v>
      </c>
      <c r="U498" s="17">
        <f t="shared" si="299"/>
        <v>1.0000000000707248</v>
      </c>
      <c r="V498" s="17">
        <f t="shared" si="300"/>
        <v>1.1893265748324233E-5</v>
      </c>
      <c r="W498" s="31" t="str">
        <f t="shared" si="291"/>
        <v>1-6.4223635043979i</v>
      </c>
      <c r="X498" s="17">
        <f t="shared" si="301"/>
        <v>6.4997502246334111</v>
      </c>
      <c r="Y498" s="17">
        <f t="shared" si="302"/>
        <v>-1.4163307450054154</v>
      </c>
      <c r="Z498" s="31" t="str">
        <f t="shared" si="292"/>
        <v>-158.242868221399+391.915776198958i</v>
      </c>
      <c r="AA498" s="17">
        <f t="shared" si="303"/>
        <v>422.6568122916828</v>
      </c>
      <c r="AB498" s="17">
        <f t="shared" si="304"/>
        <v>1.9545463564645593</v>
      </c>
      <c r="AC498" s="66" t="str">
        <f t="shared" si="305"/>
        <v>0.000965923556979276+0.00413901354662535i</v>
      </c>
      <c r="AD498" s="64">
        <f t="shared" si="306"/>
        <v>-47.43175462042818</v>
      </c>
      <c r="AE498" s="61">
        <f t="shared" si="307"/>
        <v>76.863959533862825</v>
      </c>
      <c r="AF498" s="31" t="str">
        <f t="shared" si="293"/>
        <v>-1.33333333333333E-06</v>
      </c>
      <c r="AG498" s="31" t="str">
        <f t="shared" si="294"/>
        <v>3.9683863382113i</v>
      </c>
      <c r="AH498" s="31">
        <f t="shared" si="308"/>
        <v>3.9683863382113</v>
      </c>
      <c r="AI498" s="31">
        <f t="shared" si="309"/>
        <v>1.5707963267948966</v>
      </c>
      <c r="AJ498" s="31" t="str">
        <f t="shared" si="295"/>
        <v>1+12.8318951136821i</v>
      </c>
      <c r="AK498" s="31">
        <f t="shared" si="310"/>
        <v>12.870801537143619</v>
      </c>
      <c r="AL498" s="31">
        <f t="shared" si="311"/>
        <v>1.493022706274219</v>
      </c>
      <c r="AM498" s="31" t="str">
        <f t="shared" si="296"/>
        <v>1+12844.7270087958i</v>
      </c>
      <c r="AN498" s="31">
        <f t="shared" si="312"/>
        <v>12844.727047722279</v>
      </c>
      <c r="AO498" s="31">
        <f t="shared" si="313"/>
        <v>1.5707184738364572</v>
      </c>
      <c r="AP498" s="58" t="str">
        <f t="shared" si="314"/>
        <v>-0.000026025818960735+0.000334296567944175i</v>
      </c>
      <c r="AQ498" s="49">
        <f t="shared" si="315"/>
        <v>-69.491118461057809</v>
      </c>
      <c r="AR498" s="61">
        <f t="shared" si="316"/>
        <v>94.451639567345694</v>
      </c>
      <c r="AS498" s="58" t="str">
        <f t="shared" si="317"/>
        <v>-1.40879697493515E-06+2.15183712754101E-07i</v>
      </c>
      <c r="AT498" s="64">
        <f t="shared" si="318"/>
        <v>-116.92287308148602</v>
      </c>
      <c r="AU498" s="61">
        <f t="shared" si="319"/>
        <v>171.31559910120851</v>
      </c>
    </row>
    <row r="499" spans="14:47" x14ac:dyDescent="0.3">
      <c r="N499" s="10">
        <v>81</v>
      </c>
      <c r="O499" s="50">
        <f t="shared" si="320"/>
        <v>645654.22903465747</v>
      </c>
      <c r="P499" s="48" t="str">
        <f t="shared" si="288"/>
        <v>51201.9230769231</v>
      </c>
      <c r="Q499" s="17" t="str">
        <f t="shared" si="289"/>
        <v>1+189575.756767213i</v>
      </c>
      <c r="R499" s="17">
        <f t="shared" si="297"/>
        <v>189575.75676985044</v>
      </c>
      <c r="S499" s="17">
        <f t="shared" si="298"/>
        <v>1.5707910518588128</v>
      </c>
      <c r="T499" s="17" t="str">
        <f t="shared" si="290"/>
        <v>1+0.0000121702954961668i</v>
      </c>
      <c r="U499" s="17">
        <f t="shared" si="299"/>
        <v>1.0000000000740581</v>
      </c>
      <c r="V499" s="17">
        <f t="shared" si="300"/>
        <v>1.2170295495565929E-5</v>
      </c>
      <c r="W499" s="31" t="str">
        <f t="shared" si="291"/>
        <v>1-6.57195956793005i</v>
      </c>
      <c r="X499" s="17">
        <f t="shared" si="301"/>
        <v>6.6476050245563885</v>
      </c>
      <c r="Y499" s="17">
        <f t="shared" si="302"/>
        <v>-1.4197930008591708</v>
      </c>
      <c r="Z499" s="31" t="str">
        <f t="shared" si="292"/>
        <v>-165.747753388135+401.044667348667i</v>
      </c>
      <c r="AA499" s="17">
        <f t="shared" si="303"/>
        <v>433.94601387962655</v>
      </c>
      <c r="AB499" s="17">
        <f t="shared" si="304"/>
        <v>1.9627068473772684</v>
      </c>
      <c r="AC499" s="66" t="str">
        <f t="shared" si="305"/>
        <v>0.000987058622459454+0.00401798769605047i</v>
      </c>
      <c r="AD499" s="64">
        <f t="shared" si="306"/>
        <v>-47.665340429405525</v>
      </c>
      <c r="AE499" s="61">
        <f t="shared" si="307"/>
        <v>76.198034030552748</v>
      </c>
      <c r="AF499" s="31" t="str">
        <f t="shared" si="293"/>
        <v>-1.33333333333333E-06</v>
      </c>
      <c r="AG499" s="31" t="str">
        <f t="shared" si="294"/>
        <v>4.06082193055431i</v>
      </c>
      <c r="AH499" s="31">
        <f t="shared" si="308"/>
        <v>4.0608219305543098</v>
      </c>
      <c r="AI499" s="31">
        <f t="shared" si="309"/>
        <v>1.5707963267948966</v>
      </c>
      <c r="AJ499" s="31" t="str">
        <f t="shared" si="295"/>
        <v>1+13.1307883475126i</v>
      </c>
      <c r="AK499" s="31">
        <f t="shared" si="310"/>
        <v>13.16881173937773</v>
      </c>
      <c r="AL499" s="31">
        <f t="shared" si="311"/>
        <v>1.4947861602363302</v>
      </c>
      <c r="AM499" s="31" t="str">
        <f t="shared" si="296"/>
        <v>1+13143.9191358601i</v>
      </c>
      <c r="AN499" s="31">
        <f t="shared" si="312"/>
        <v>13143.919173900504</v>
      </c>
      <c r="AO499" s="31">
        <f t="shared" si="313"/>
        <v>1.5707202459861414</v>
      </c>
      <c r="AP499" s="58" t="str">
        <f t="shared" si="314"/>
        <v>-0.0000248612186849942+0.000326775741367587i</v>
      </c>
      <c r="AQ499" s="49">
        <f t="shared" si="315"/>
        <v>-69.68993836937014</v>
      </c>
      <c r="AR499" s="61">
        <f t="shared" si="316"/>
        <v>94.350702634648684</v>
      </c>
      <c r="AS499" s="58" t="str">
        <f t="shared" si="317"/>
        <v>-1.33752038845061E-06+2.22654742342331E-07i</v>
      </c>
      <c r="AT499" s="64">
        <f t="shared" si="318"/>
        <v>-117.35527879877566</v>
      </c>
      <c r="AU499" s="61">
        <f t="shared" si="319"/>
        <v>170.5487366652014</v>
      </c>
    </row>
    <row r="500" spans="14:47" x14ac:dyDescent="0.3">
      <c r="N500" s="10">
        <v>82</v>
      </c>
      <c r="O500" s="50">
        <f t="shared" si="320"/>
        <v>660693.44800759677</v>
      </c>
      <c r="P500" s="48" t="str">
        <f t="shared" si="288"/>
        <v>51201.9230769231</v>
      </c>
      <c r="Q500" s="17" t="str">
        <f t="shared" si="289"/>
        <v>1+193991.54340621i</v>
      </c>
      <c r="R500" s="17">
        <f t="shared" si="297"/>
        <v>193991.54340878743</v>
      </c>
      <c r="S500" s="17">
        <f t="shared" si="298"/>
        <v>1.5707911719310172</v>
      </c>
      <c r="T500" s="17" t="str">
        <f t="shared" si="290"/>
        <v>1+0.0000124537780952135i</v>
      </c>
      <c r="U500" s="17">
        <f t="shared" si="299"/>
        <v>1.0000000000775482</v>
      </c>
      <c r="V500" s="17">
        <f t="shared" si="300"/>
        <v>1.2453778094569654E-5</v>
      </c>
      <c r="W500" s="31" t="str">
        <f t="shared" si="291"/>
        <v>1-6.72504017141526i</v>
      </c>
      <c r="X500" s="17">
        <f t="shared" si="301"/>
        <v>6.7989826670722575</v>
      </c>
      <c r="Y500" s="17">
        <f t="shared" si="302"/>
        <v>-1.4231799747949885</v>
      </c>
      <c r="Z500" s="31" t="str">
        <f t="shared" si="292"/>
        <v>-173.606332896067+410.386197689457i</v>
      </c>
      <c r="AA500" s="17">
        <f t="shared" si="303"/>
        <v>445.59621865050661</v>
      </c>
      <c r="AB500" s="17">
        <f t="shared" si="304"/>
        <v>1.9709985473899361</v>
      </c>
      <c r="AC500" s="66" t="str">
        <f t="shared" si="305"/>
        <v>0.00100636957668911+0.00389945673001483i</v>
      </c>
      <c r="AD500" s="64">
        <f t="shared" si="306"/>
        <v>-47.89988176419903</v>
      </c>
      <c r="AE500" s="61">
        <f t="shared" si="307"/>
        <v>75.528904665721043</v>
      </c>
      <c r="AF500" s="31" t="str">
        <f t="shared" si="293"/>
        <v>-1.33333333333333E-06</v>
      </c>
      <c r="AG500" s="31" t="str">
        <f t="shared" si="294"/>
        <v>4.15541062443622i</v>
      </c>
      <c r="AH500" s="31">
        <f t="shared" si="308"/>
        <v>4.1554106244362199</v>
      </c>
      <c r="AI500" s="31">
        <f t="shared" si="309"/>
        <v>1.5707963267948966</v>
      </c>
      <c r="AJ500" s="31" t="str">
        <f t="shared" si="295"/>
        <v>1+13.4366436991314i</v>
      </c>
      <c r="AK500" s="31">
        <f t="shared" si="310"/>
        <v>13.473803987642373</v>
      </c>
      <c r="AL500" s="31">
        <f t="shared" si="311"/>
        <v>1.4965099308978436</v>
      </c>
      <c r="AM500" s="31" t="str">
        <f t="shared" si="296"/>
        <v>1+13450.0803428305i</v>
      </c>
      <c r="AN500" s="31">
        <f t="shared" si="312"/>
        <v>13450.080380004998</v>
      </c>
      <c r="AO500" s="31">
        <f t="shared" si="313"/>
        <v>1.570721977796774</v>
      </c>
      <c r="AP500" s="58" t="str">
        <f t="shared" si="314"/>
        <v>-0.0000237484430040895+0.000319420233860757i</v>
      </c>
      <c r="AQ500" s="49">
        <f t="shared" si="315"/>
        <v>-69.888811091139686</v>
      </c>
      <c r="AR500" s="61">
        <f t="shared" si="316"/>
        <v>94.252037076335625</v>
      </c>
      <c r="AS500" s="58" t="str">
        <f t="shared" si="317"/>
        <v>-1.26946509116429E-06+2.28848779636716E-07i</v>
      </c>
      <c r="AT500" s="64">
        <f t="shared" si="318"/>
        <v>-117.78869285533872</v>
      </c>
      <c r="AU500" s="61">
        <f t="shared" si="319"/>
        <v>169.78094174205665</v>
      </c>
    </row>
    <row r="501" spans="14:47" x14ac:dyDescent="0.3">
      <c r="N501" s="10">
        <v>83</v>
      </c>
      <c r="O501" s="50">
        <f t="shared" si="320"/>
        <v>676082.97539198259</v>
      </c>
      <c r="P501" s="48" t="str">
        <f t="shared" si="288"/>
        <v>51201.9230769231</v>
      </c>
      <c r="Q501" s="17" t="str">
        <f t="shared" si="289"/>
        <v>1+198510.186929302i</v>
      </c>
      <c r="R501" s="17">
        <f t="shared" si="297"/>
        <v>198510.18693182076</v>
      </c>
      <c r="S501" s="17">
        <f t="shared" si="298"/>
        <v>1.5707912892700449</v>
      </c>
      <c r="T501" s="17" t="str">
        <f t="shared" si="290"/>
        <v>1+0.0000127438638522515i</v>
      </c>
      <c r="U501" s="17">
        <f t="shared" si="299"/>
        <v>1.000000000081203</v>
      </c>
      <c r="V501" s="17">
        <f t="shared" si="300"/>
        <v>1.2743863851561608E-5</v>
      </c>
      <c r="W501" s="31" t="str">
        <f t="shared" si="291"/>
        <v>1-6.8816864802158i</v>
      </c>
      <c r="X501" s="17">
        <f t="shared" si="301"/>
        <v>6.9539635325463802</v>
      </c>
      <c r="Y501" s="17">
        <f t="shared" si="302"/>
        <v>-1.4264931516386763</v>
      </c>
      <c r="Z501" s="31" t="str">
        <f t="shared" si="292"/>
        <v>-181.835275845951+419.945320224365i</v>
      </c>
      <c r="AA501" s="17">
        <f t="shared" si="303"/>
        <v>457.62226729074001</v>
      </c>
      <c r="AB501" s="17">
        <f t="shared" si="304"/>
        <v>1.9794213843431496</v>
      </c>
      <c r="AC501" s="66" t="str">
        <f t="shared" si="305"/>
        <v>0.00102391620543479+0.0037833766714274i</v>
      </c>
      <c r="AD501" s="64">
        <f t="shared" si="306"/>
        <v>-48.135425302240911</v>
      </c>
      <c r="AE501" s="61">
        <f t="shared" si="307"/>
        <v>74.85649050450985</v>
      </c>
      <c r="AF501" s="31" t="str">
        <f t="shared" si="293"/>
        <v>-1.33333333333333E-06</v>
      </c>
      <c r="AG501" s="31" t="str">
        <f t="shared" si="294"/>
        <v>4.25220257203458i</v>
      </c>
      <c r="AH501" s="31">
        <f t="shared" si="308"/>
        <v>4.2522025720345802</v>
      </c>
      <c r="AI501" s="31">
        <f t="shared" si="309"/>
        <v>1.5707963267948966</v>
      </c>
      <c r="AJ501" s="31" t="str">
        <f t="shared" si="295"/>
        <v>1+13.7496233370945i</v>
      </c>
      <c r="AK501" s="31">
        <f t="shared" si="310"/>
        <v>13.78594000828285</v>
      </c>
      <c r="AL501" s="31">
        <f t="shared" si="311"/>
        <v>1.4981948912259559</v>
      </c>
      <c r="AM501" s="31" t="str">
        <f t="shared" si="296"/>
        <v>1+13763.3729604316i</v>
      </c>
      <c r="AN501" s="31">
        <f t="shared" si="312"/>
        <v>13763.372996759903</v>
      </c>
      <c r="AO501" s="31">
        <f t="shared" si="313"/>
        <v>1.5707236701865845</v>
      </c>
      <c r="AP501" s="58" t="str">
        <f t="shared" si="314"/>
        <v>-0.0000226852110129779+0.000312226669736431i</v>
      </c>
      <c r="AQ501" s="49">
        <f t="shared" si="315"/>
        <v>-70.087734275573041</v>
      </c>
      <c r="AR501" s="61">
        <f t="shared" si="316"/>
        <v>94.155592927681241</v>
      </c>
      <c r="AS501" s="58" t="str">
        <f t="shared" si="317"/>
        <v>-1.20449885365818E-06+2.33867248779159E-07i</v>
      </c>
      <c r="AT501" s="64">
        <f t="shared" si="318"/>
        <v>-118.22315957781393</v>
      </c>
      <c r="AU501" s="61">
        <f t="shared" si="319"/>
        <v>169.01208343219113</v>
      </c>
    </row>
    <row r="502" spans="14:47" x14ac:dyDescent="0.3">
      <c r="N502" s="10">
        <v>84</v>
      </c>
      <c r="O502" s="50">
        <f t="shared" si="320"/>
        <v>691830.97091893724</v>
      </c>
      <c r="P502" s="48" t="str">
        <f t="shared" si="288"/>
        <v>51201.9230769231</v>
      </c>
      <c r="Q502" s="17" t="str">
        <f t="shared" si="289"/>
        <v>1+203134.083181097i</v>
      </c>
      <c r="R502" s="17">
        <f t="shared" si="297"/>
        <v>203134.08318355845</v>
      </c>
      <c r="S502" s="17">
        <f t="shared" si="298"/>
        <v>1.5707914039381099</v>
      </c>
      <c r="T502" s="17" t="str">
        <f t="shared" si="290"/>
        <v>1+0.000013040706574589i</v>
      </c>
      <c r="U502" s="17">
        <f t="shared" si="299"/>
        <v>1.00000000008503</v>
      </c>
      <c r="V502" s="17">
        <f t="shared" si="300"/>
        <v>1.3040706573849765E-5</v>
      </c>
      <c r="W502" s="31" t="str">
        <f t="shared" si="291"/>
        <v>1-7.04198155027803i</v>
      </c>
      <c r="X502" s="17">
        <f t="shared" si="301"/>
        <v>7.1126299042236241</v>
      </c>
      <c r="Y502" s="17">
        <f t="shared" si="302"/>
        <v>-1.4297339969756111</v>
      </c>
      <c r="Z502" s="31" t="str">
        <f t="shared" si="292"/>
        <v>-190.452036929056+429.72710332669i</v>
      </c>
      <c r="AA502" s="17">
        <f t="shared" si="303"/>
        <v>470.0397448131107</v>
      </c>
      <c r="AB502" s="17">
        <f t="shared" si="304"/>
        <v>1.9879751365906912</v>
      </c>
      <c r="AC502" s="66" t="str">
        <f t="shared" si="305"/>
        <v>0.00103975579252686+0.00366970538080685i</v>
      </c>
      <c r="AD502" s="64">
        <f t="shared" si="306"/>
        <v>-48.37201791829537</v>
      </c>
      <c r="AE502" s="61">
        <f t="shared" si="307"/>
        <v>74.180720279703166</v>
      </c>
      <c r="AF502" s="31" t="str">
        <f t="shared" si="293"/>
        <v>-1.33333333333333E-06</v>
      </c>
      <c r="AG502" s="31" t="str">
        <f t="shared" si="294"/>
        <v>4.35124909372118i</v>
      </c>
      <c r="AH502" s="31">
        <f t="shared" si="308"/>
        <v>4.3512490937211803</v>
      </c>
      <c r="AI502" s="31">
        <f t="shared" si="309"/>
        <v>1.5707963267948966</v>
      </c>
      <c r="AJ502" s="31" t="str">
        <f t="shared" si="295"/>
        <v>1+14.0698932073487i</v>
      </c>
      <c r="AK502" s="31">
        <f t="shared" si="310"/>
        <v>14.105385314347041</v>
      </c>
      <c r="AL502" s="31">
        <f t="shared" si="311"/>
        <v>1.4998418963174436</v>
      </c>
      <c r="AM502" s="31" t="str">
        <f t="shared" si="296"/>
        <v>1+14083.9631005561i</v>
      </c>
      <c r="AN502" s="31">
        <f t="shared" si="312"/>
        <v>14083.963136057469</v>
      </c>
      <c r="AO502" s="31">
        <f t="shared" si="313"/>
        <v>1.5707253240529</v>
      </c>
      <c r="AP502" s="58" t="str">
        <f t="shared" si="314"/>
        <v>-0.0000216693399790999+0.00030519172480019i</v>
      </c>
      <c r="AQ502" s="49">
        <f t="shared" si="315"/>
        <v>-70.286705675392341</v>
      </c>
      <c r="AR502" s="61">
        <f t="shared" si="316"/>
        <v>94.061321246662189</v>
      </c>
      <c r="AS502" s="58" t="str">
        <f t="shared" si="317"/>
        <v>-1.14249453644048E-06+2.37804770172425E-07i</v>
      </c>
      <c r="AT502" s="64">
        <f t="shared" si="318"/>
        <v>-118.65872359368772</v>
      </c>
      <c r="AU502" s="61">
        <f t="shared" si="319"/>
        <v>168.24204152636531</v>
      </c>
    </row>
    <row r="503" spans="14:47" x14ac:dyDescent="0.3">
      <c r="N503" s="10">
        <v>85</v>
      </c>
      <c r="O503" s="50">
        <f t="shared" si="320"/>
        <v>707945.78438413853</v>
      </c>
      <c r="P503" s="48" t="str">
        <f t="shared" si="288"/>
        <v>51201.9230769231</v>
      </c>
      <c r="Q503" s="17" t="str">
        <f t="shared" si="289"/>
        <v>1+207865.683812593i</v>
      </c>
      <c r="R503" s="17">
        <f t="shared" si="297"/>
        <v>207865.6838149984</v>
      </c>
      <c r="S503" s="17">
        <f t="shared" si="298"/>
        <v>1.5707915159960113</v>
      </c>
      <c r="T503" s="17" t="str">
        <f t="shared" si="290"/>
        <v>1+0.0000133444636521665i</v>
      </c>
      <c r="U503" s="17">
        <f t="shared" si="299"/>
        <v>1.0000000000890372</v>
      </c>
      <c r="V503" s="17">
        <f t="shared" si="300"/>
        <v>1.3344463651374396E-5</v>
      </c>
      <c r="W503" s="31" t="str">
        <f t="shared" si="291"/>
        <v>1-7.20601037216988i</v>
      </c>
      <c r="X503" s="17">
        <f t="shared" si="301"/>
        <v>7.2750660123341762</v>
      </c>
      <c r="Y503" s="17">
        <f t="shared" si="302"/>
        <v>-1.432903956691935</v>
      </c>
      <c r="Z503" s="31" t="str">
        <f t="shared" si="292"/>
        <v>-199.47489345091+439.73673342731i</v>
      </c>
      <c r="AA503" s="17">
        <f t="shared" si="303"/>
        <v>482.86502031372385</v>
      </c>
      <c r="AB503" s="17">
        <f t="shared" si="304"/>
        <v>1.9966594262778168</v>
      </c>
      <c r="AC503" s="66" t="str">
        <f t="shared" si="305"/>
        <v>0.00105394329909282+0.00355840252033528i</v>
      </c>
      <c r="AD503" s="64">
        <f t="shared" si="306"/>
        <v>-48.609706650135692</v>
      </c>
      <c r="AE503" s="61">
        <f t="shared" si="307"/>
        <v>73.501532803143732</v>
      </c>
      <c r="AF503" s="31" t="str">
        <f t="shared" si="293"/>
        <v>-1.33333333333333E-06</v>
      </c>
      <c r="AG503" s="31" t="str">
        <f t="shared" si="294"/>
        <v>4.45260270527287i</v>
      </c>
      <c r="AH503" s="31">
        <f t="shared" si="308"/>
        <v>4.4526027052728701</v>
      </c>
      <c r="AI503" s="31">
        <f t="shared" si="309"/>
        <v>1.5707963267948966</v>
      </c>
      <c r="AJ503" s="31" t="str">
        <f t="shared" si="295"/>
        <v>1+14.3976231212185i</v>
      </c>
      <c r="AK503" s="31">
        <f t="shared" si="310"/>
        <v>14.432309293409894</v>
      </c>
      <c r="AL503" s="31">
        <f t="shared" si="311"/>
        <v>1.5014517836744905</v>
      </c>
      <c r="AM503" s="31" t="str">
        <f t="shared" si="296"/>
        <v>1+14412.0207443398i</v>
      </c>
      <c r="AN503" s="31">
        <f t="shared" si="312"/>
        <v>14412.020779033059</v>
      </c>
      <c r="AO503" s="31">
        <f t="shared" si="313"/>
        <v>1.5707269402726223</v>
      </c>
      <c r="AP503" s="58" t="str">
        <f t="shared" si="314"/>
        <v>-0.0000206987413116478+0.000298312126815081i</v>
      </c>
      <c r="AQ503" s="49">
        <f t="shared" si="315"/>
        <v>-70.485723142375562</v>
      </c>
      <c r="AR503" s="61">
        <f t="shared" si="316"/>
        <v>93.969174098180801</v>
      </c>
      <c r="AS503" s="58" t="str">
        <f t="shared" si="317"/>
        <v>-1.08332992361043E-06+2.40749613843747E-07i</v>
      </c>
      <c r="AT503" s="64">
        <f t="shared" si="318"/>
        <v>-119.09542979251125</v>
      </c>
      <c r="AU503" s="61">
        <f t="shared" si="319"/>
        <v>167.47070690132452</v>
      </c>
    </row>
    <row r="504" spans="14:47" x14ac:dyDescent="0.3">
      <c r="N504" s="10">
        <v>86</v>
      </c>
      <c r="O504" s="50">
        <f t="shared" si="320"/>
        <v>724435.96007499192</v>
      </c>
      <c r="P504" s="48" t="str">
        <f t="shared" si="288"/>
        <v>51201.9230769231</v>
      </c>
      <c r="Q504" s="17" t="str">
        <f t="shared" si="289"/>
        <v>1+212707.497581074i</v>
      </c>
      <c r="R504" s="17">
        <f t="shared" si="297"/>
        <v>212707.49758342467</v>
      </c>
      <c r="S504" s="17">
        <f t="shared" si="298"/>
        <v>1.5707916255031633</v>
      </c>
      <c r="T504" s="17" t="str">
        <f t="shared" si="290"/>
        <v>1+0.0000136552961410072i</v>
      </c>
      <c r="U504" s="17">
        <f t="shared" si="299"/>
        <v>1.0000000000932334</v>
      </c>
      <c r="V504" s="17">
        <f t="shared" si="300"/>
        <v>1.3655296140158445E-5</v>
      </c>
      <c r="W504" s="31" t="str">
        <f t="shared" si="291"/>
        <v>1-7.37385991614388i</v>
      </c>
      <c r="X504" s="17">
        <f t="shared" si="301"/>
        <v>7.4413580792025753</v>
      </c>
      <c r="Y504" s="17">
        <f t="shared" si="302"/>
        <v>-1.4360044565782739</v>
      </c>
      <c r="Z504" s="31" t="str">
        <f t="shared" si="292"/>
        <v>-208.922984099911+449.979517764597i</v>
      </c>
      <c r="AA504" s="17">
        <f t="shared" si="303"/>
        <v>496.11528871107259</v>
      </c>
      <c r="AB504" s="17">
        <f t="shared" si="304"/>
        <v>2.0054737127445375</v>
      </c>
      <c r="AC504" s="66" t="str">
        <f t="shared" si="305"/>
        <v>0.00106653153778934+0.00344942951478492i</v>
      </c>
      <c r="AD504" s="64">
        <f t="shared" si="306"/>
        <v>-48.848538659051542</v>
      </c>
      <c r="AE504" s="61">
        <f t="shared" si="307"/>
        <v>72.818877366405417</v>
      </c>
      <c r="AF504" s="31" t="str">
        <f t="shared" si="293"/>
        <v>-1.33333333333333E-06</v>
      </c>
      <c r="AG504" s="31" t="str">
        <f t="shared" si="294"/>
        <v>4.55631714571606i</v>
      </c>
      <c r="AH504" s="31">
        <f t="shared" si="308"/>
        <v>4.5563171457160596</v>
      </c>
      <c r="AI504" s="31">
        <f t="shared" si="309"/>
        <v>1.5707963267948966</v>
      </c>
      <c r="AJ504" s="31" t="str">
        <f t="shared" si="295"/>
        <v>1+14.7329868454423i</v>
      </c>
      <c r="AK504" s="31">
        <f t="shared" si="310"/>
        <v>14.76688529744766</v>
      </c>
      <c r="AL504" s="31">
        <f t="shared" si="311"/>
        <v>1.503025373482699</v>
      </c>
      <c r="AM504" s="31" t="str">
        <f t="shared" si="296"/>
        <v>1+14747.7198322878i</v>
      </c>
      <c r="AN504" s="31">
        <f t="shared" si="312"/>
        <v>14747.719866191344</v>
      </c>
      <c r="AO504" s="31">
        <f t="shared" si="313"/>
        <v>1.5707285197026926</v>
      </c>
      <c r="AP504" s="58" t="str">
        <f t="shared" si="314"/>
        <v>-0.0000197714166790073+0.000291584655852338i</v>
      </c>
      <c r="AQ504" s="49">
        <f t="shared" si="315"/>
        <v>-70.684784623079722</v>
      </c>
      <c r="AR504" s="61">
        <f t="shared" si="316"/>
        <v>93.879104538162721</v>
      </c>
      <c r="AS504" s="58" t="str">
        <f t="shared" si="317"/>
        <v>-1.02688755739039E-06+2.42784123160291E-07i</v>
      </c>
      <c r="AT504" s="64">
        <f t="shared" si="318"/>
        <v>-119.53332328213129</v>
      </c>
      <c r="AU504" s="61">
        <f t="shared" si="319"/>
        <v>166.69798190456808</v>
      </c>
    </row>
    <row r="505" spans="14:47" x14ac:dyDescent="0.3">
      <c r="N505" s="10">
        <v>87</v>
      </c>
      <c r="O505" s="50">
        <f t="shared" si="320"/>
        <v>741310.24130091805</v>
      </c>
      <c r="P505" s="48" t="str">
        <f t="shared" si="288"/>
        <v>51201.9230769231</v>
      </c>
      <c r="Q505" s="17" t="str">
        <f t="shared" si="289"/>
        <v>1+217662.091680287i</v>
      </c>
      <c r="R505" s="17">
        <f t="shared" si="297"/>
        <v>217662.09168258417</v>
      </c>
      <c r="S505" s="17">
        <f t="shared" si="298"/>
        <v>1.5707917325176282</v>
      </c>
      <c r="T505" s="17" t="str">
        <f t="shared" si="290"/>
        <v>1+0.0000139733688486111i</v>
      </c>
      <c r="U505" s="17">
        <f t="shared" si="299"/>
        <v>1.0000000000976277</v>
      </c>
      <c r="V505" s="17">
        <f t="shared" si="300"/>
        <v>1.3973368847701642E-5</v>
      </c>
      <c r="W505" s="31" t="str">
        <f t="shared" si="291"/>
        <v>1-7.54561917824996i</v>
      </c>
      <c r="X505" s="17">
        <f t="shared" si="301"/>
        <v>7.6115943653858489</v>
      </c>
      <c r="Y505" s="17">
        <f t="shared" si="302"/>
        <v>-1.4390369019918794</v>
      </c>
      <c r="Z505" s="31" t="str">
        <f t="shared" si="292"/>
        <v>-218.81634954305+460.460887198384i</v>
      </c>
      <c r="AA505" s="17">
        <f t="shared" si="303"/>
        <v>509.80861454752716</v>
      </c>
      <c r="AB505" s="17">
        <f t="shared" si="304"/>
        <v>2.0144172860979319</v>
      </c>
      <c r="AC505" s="66" t="str">
        <f t="shared" si="305"/>
        <v>0.00107757134203465+0.00334274950908816i</v>
      </c>
      <c r="AD505" s="64">
        <f t="shared" si="306"/>
        <v>-49.088561185099103</v>
      </c>
      <c r="AE505" s="61">
        <f t="shared" si="307"/>
        <v>72.132714128433349</v>
      </c>
      <c r="AF505" s="31" t="str">
        <f t="shared" si="293"/>
        <v>-1.33333333333333E-06</v>
      </c>
      <c r="AG505" s="31" t="str">
        <f t="shared" si="294"/>
        <v>4.66244740581989i</v>
      </c>
      <c r="AH505" s="31">
        <f t="shared" si="308"/>
        <v>4.6624474058198899</v>
      </c>
      <c r="AI505" s="31">
        <f t="shared" si="309"/>
        <v>1.5707963267948966</v>
      </c>
      <c r="AJ505" s="31" t="str">
        <f t="shared" si="295"/>
        <v>1+15.0761621943056i</v>
      </c>
      <c r="AK505" s="31">
        <f t="shared" si="310"/>
        <v>15.109290734809807</v>
      </c>
      <c r="AL505" s="31">
        <f t="shared" si="311"/>
        <v>1.504563468890697</v>
      </c>
      <c r="AM505" s="31" t="str">
        <f t="shared" si="296"/>
        <v>1+15091.2383564999i</v>
      </c>
      <c r="AN505" s="31">
        <f t="shared" si="312"/>
        <v>15091.238389631706</v>
      </c>
      <c r="AO505" s="31">
        <f t="shared" si="313"/>
        <v>1.5707300631805454</v>
      </c>
      <c r="AP505" s="58" t="str">
        <f t="shared" si="314"/>
        <v>-0.0000188854542705162+0.000285006144537018i</v>
      </c>
      <c r="AQ505" s="49">
        <f t="shared" si="315"/>
        <v>-70.883888154741243</v>
      </c>
      <c r="AR505" s="61">
        <f t="shared" si="316"/>
        <v>93.791066597562718</v>
      </c>
      <c r="AS505" s="58" t="str">
        <f t="shared" si="317"/>
        <v>-9.7305457404144E-07+2.43985110665201E-07i</v>
      </c>
      <c r="AT505" s="64">
        <f t="shared" si="318"/>
        <v>-119.97244933984035</v>
      </c>
      <c r="AU505" s="61">
        <f t="shared" si="319"/>
        <v>165.92378072599604</v>
      </c>
    </row>
    <row r="506" spans="14:47" x14ac:dyDescent="0.3">
      <c r="N506" s="10">
        <v>88</v>
      </c>
      <c r="O506" s="50">
        <f t="shared" si="320"/>
        <v>758577.57502918423</v>
      </c>
      <c r="P506" s="48" t="str">
        <f t="shared" si="288"/>
        <v>51201.9230769231</v>
      </c>
      <c r="Q506" s="17" t="str">
        <f t="shared" si="289"/>
        <v>1+222732.093101609i</v>
      </c>
      <c r="R506" s="17">
        <f t="shared" si="297"/>
        <v>222732.09310385384</v>
      </c>
      <c r="S506" s="17">
        <f t="shared" si="298"/>
        <v>1.5707918370961467</v>
      </c>
      <c r="T506" s="17" t="str">
        <f t="shared" si="290"/>
        <v>1+0.0000142988504213379i</v>
      </c>
      <c r="U506" s="17">
        <f t="shared" si="299"/>
        <v>1.0000000001022284</v>
      </c>
      <c r="V506" s="17">
        <f t="shared" si="300"/>
        <v>1.4298850420363398E-5</v>
      </c>
      <c r="W506" s="31" t="str">
        <f t="shared" si="291"/>
        <v>1-7.72137922752245i</v>
      </c>
      <c r="X506" s="17">
        <f t="shared" si="301"/>
        <v>7.7858652168667284</v>
      </c>
      <c r="Y506" s="17">
        <f t="shared" si="302"/>
        <v>-1.4420026775732762</v>
      </c>
      <c r="Z506" s="31" t="str">
        <f t="shared" si="292"/>
        <v>-229.175974934864+471.186399089485i</v>
      </c>
      <c r="AA506" s="17">
        <f t="shared" si="303"/>
        <v>523.96397793575557</v>
      </c>
      <c r="AB506" s="17">
        <f t="shared" si="304"/>
        <v>2.0234892610000408</v>
      </c>
      <c r="AC506" s="66" t="str">
        <f t="shared" si="305"/>
        <v>0.00108711173019683+0.00323832732233658i</v>
      </c>
      <c r="AD506" s="64">
        <f t="shared" si="306"/>
        <v>-49.329821497038083</v>
      </c>
      <c r="AE506" s="61">
        <f t="shared" si="307"/>
        <v>71.443014487709547</v>
      </c>
      <c r="AF506" s="31" t="str">
        <f t="shared" si="293"/>
        <v>-1.33333333333333E-06</v>
      </c>
      <c r="AG506" s="31" t="str">
        <f t="shared" si="294"/>
        <v>4.77104975725307i</v>
      </c>
      <c r="AH506" s="31">
        <f t="shared" si="308"/>
        <v>4.7710497572530697</v>
      </c>
      <c r="AI506" s="31">
        <f t="shared" si="309"/>
        <v>1.5707963267948966</v>
      </c>
      <c r="AJ506" s="31" t="str">
        <f t="shared" si="295"/>
        <v>1+15.427331123921i</v>
      </c>
      <c r="AK506" s="31">
        <f t="shared" si="310"/>
        <v>15.459707164338578</v>
      </c>
      <c r="AL506" s="31">
        <f t="shared" si="311"/>
        <v>1.5060668562908111</v>
      </c>
      <c r="AM506" s="31" t="str">
        <f t="shared" si="296"/>
        <v>1+15442.7584550449i</v>
      </c>
      <c r="AN506" s="31">
        <f t="shared" si="312"/>
        <v>15442.758487422532</v>
      </c>
      <c r="AO506" s="31">
        <f t="shared" si="313"/>
        <v>1.5707315715245533</v>
      </c>
      <c r="AP506" s="58" t="str">
        <f t="shared" si="314"/>
        <v>-0.000018039025198623+0.000278573478196882i</v>
      </c>
      <c r="AQ506" s="49">
        <f t="shared" si="315"/>
        <v>-71.083031861346342</v>
      </c>
      <c r="AR506" s="61">
        <f t="shared" si="316"/>
        <v>93.705015266308735</v>
      </c>
      <c r="AS506" s="58" t="str">
        <f t="shared" si="317"/>
        <v>-9.21722541618036E-07+2.44424227700542E-07i</v>
      </c>
      <c r="AT506" s="64">
        <f t="shared" si="318"/>
        <v>-120.41285335838441</v>
      </c>
      <c r="AU506" s="61">
        <f t="shared" si="319"/>
        <v>165.1480297540183</v>
      </c>
    </row>
    <row r="507" spans="14:47" x14ac:dyDescent="0.3">
      <c r="N507" s="10">
        <v>89</v>
      </c>
      <c r="O507" s="50">
        <f t="shared" si="320"/>
        <v>776247.11662869214</v>
      </c>
      <c r="P507" s="48" t="str">
        <f t="shared" si="288"/>
        <v>51201.9230769231</v>
      </c>
      <c r="Q507" s="17" t="str">
        <f t="shared" si="289"/>
        <v>1+227920.190026901i</v>
      </c>
      <c r="R507" s="17">
        <f t="shared" si="297"/>
        <v>227920.19002909478</v>
      </c>
      <c r="S507" s="17">
        <f t="shared" si="298"/>
        <v>1.5707919392941672</v>
      </c>
      <c r="T507" s="17" t="str">
        <f t="shared" si="290"/>
        <v>1+0.0000146319134338258i</v>
      </c>
      <c r="U507" s="17">
        <f t="shared" si="299"/>
        <v>1.0000000001070464</v>
      </c>
      <c r="V507" s="17">
        <f t="shared" si="300"/>
        <v>1.4631913432781603E-5</v>
      </c>
      <c r="W507" s="31" t="str">
        <f t="shared" si="291"/>
        <v>1-7.90123325426591i</v>
      </c>
      <c r="X507" s="17">
        <f t="shared" si="301"/>
        <v>7.9642631133280295</v>
      </c>
      <c r="Y507" s="17">
        <f t="shared" si="302"/>
        <v>-1.4449031470136871</v>
      </c>
      <c r="Z507" s="31" t="str">
        <f t="shared" si="292"/>
        <v>-240.023834429744+482.161740246273i</v>
      </c>
      <c r="AA507" s="17">
        <f t="shared" si="303"/>
        <v>538.60132273479564</v>
      </c>
      <c r="AB507" s="17">
        <f t="shared" si="304"/>
        <v>2.0326885707201772</v>
      </c>
      <c r="AC507" s="66" t="str">
        <f t="shared" si="305"/>
        <v>0.00109520006464869+0.00313612939801586i</v>
      </c>
      <c r="AD507" s="64">
        <f t="shared" si="306"/>
        <v>-49.572366836930762</v>
      </c>
      <c r="AE507" s="61">
        <f t="shared" si="307"/>
        <v>70.749761436359577</v>
      </c>
      <c r="AF507" s="31" t="str">
        <f t="shared" si="293"/>
        <v>-1.33333333333333E-06</v>
      </c>
      <c r="AG507" s="31" t="str">
        <f t="shared" si="294"/>
        <v>4.88218178241986i</v>
      </c>
      <c r="AH507" s="31">
        <f t="shared" si="308"/>
        <v>4.8821817824198597</v>
      </c>
      <c r="AI507" s="31">
        <f t="shared" si="309"/>
        <v>1.5707963267948966</v>
      </c>
      <c r="AJ507" s="31" t="str">
        <f t="shared" si="295"/>
        <v>1+15.7866798287031i</v>
      </c>
      <c r="AK507" s="31">
        <f t="shared" si="310"/>
        <v>15.818320391684491</v>
      </c>
      <c r="AL507" s="31">
        <f t="shared" si="311"/>
        <v>1.5075363056002971</v>
      </c>
      <c r="AM507" s="31" t="str">
        <f t="shared" si="296"/>
        <v>1+15802.4665085318i</v>
      </c>
      <c r="AN507" s="31">
        <f t="shared" si="312"/>
        <v>15802.466540172427</v>
      </c>
      <c r="AO507" s="31">
        <f t="shared" si="313"/>
        <v>1.5707330455344601</v>
      </c>
      <c r="AP507" s="58" t="str">
        <f t="shared" si="314"/>
        <v>-0.0000172303800374946+0.000272283594922311i</v>
      </c>
      <c r="AQ507" s="49">
        <f t="shared" si="315"/>
        <v>-71.282213949865081</v>
      </c>
      <c r="AR507" s="61">
        <f t="shared" si="316"/>
        <v>93.62090647721341</v>
      </c>
      <c r="AS507" s="58" t="str">
        <f t="shared" si="317"/>
        <v>-8.72787299964287E-07+2.4416830938712E-07i</v>
      </c>
      <c r="AT507" s="64">
        <f t="shared" si="318"/>
        <v>-120.85458078679585</v>
      </c>
      <c r="AU507" s="61">
        <f t="shared" si="319"/>
        <v>164.37066791357302</v>
      </c>
    </row>
    <row r="508" spans="14:47" x14ac:dyDescent="0.3">
      <c r="N508" s="10">
        <v>90</v>
      </c>
      <c r="O508" s="50">
        <f t="shared" si="320"/>
        <v>794328.23472428333</v>
      </c>
      <c r="P508" s="48" t="str">
        <f t="shared" si="288"/>
        <v>51201.9230769231</v>
      </c>
      <c r="Q508" s="17" t="str">
        <f t="shared" si="289"/>
        <v>1+233229.133253827i</v>
      </c>
      <c r="R508" s="17">
        <f t="shared" si="297"/>
        <v>233229.13325597078</v>
      </c>
      <c r="S508" s="17">
        <f t="shared" si="298"/>
        <v>1.570792039165877</v>
      </c>
      <c r="T508" s="17" t="str">
        <f t="shared" si="290"/>
        <v>1+0.0000149727344804926i</v>
      </c>
      <c r="U508" s="17">
        <f t="shared" si="299"/>
        <v>1.0000000001120912</v>
      </c>
      <c r="V508" s="17">
        <f t="shared" si="300"/>
        <v>1.4972734479373724E-5</v>
      </c>
      <c r="W508" s="31" t="str">
        <f t="shared" si="291"/>
        <v>1-8.08527661946598i</v>
      </c>
      <c r="X508" s="17">
        <f t="shared" si="301"/>
        <v>8.1468827175357834</v>
      </c>
      <c r="Y508" s="17">
        <f t="shared" si="302"/>
        <v>-1.4477396528697064</v>
      </c>
      <c r="Z508" s="31" t="str">
        <f t="shared" si="292"/>
        <v>-251.382937792079+493.392729939906i</v>
      </c>
      <c r="AA508" s="17">
        <f t="shared" si="303"/>
        <v>553.74160704296844</v>
      </c>
      <c r="AB508" s="17">
        <f t="shared" si="304"/>
        <v>2.0420139615026942</v>
      </c>
      <c r="AC508" s="66" t="str">
        <f t="shared" si="305"/>
        <v>0.00110188220555586+0.00303612375030613i</v>
      </c>
      <c r="AD508" s="64">
        <f t="shared" si="306"/>
        <v>-49.816244359420203</v>
      </c>
      <c r="AE508" s="61">
        <f t="shared" si="307"/>
        <v>70.052949893477319</v>
      </c>
      <c r="AF508" s="31" t="str">
        <f t="shared" si="293"/>
        <v>-1.33333333333333E-06</v>
      </c>
      <c r="AG508" s="31" t="str">
        <f t="shared" si="294"/>
        <v>4.99590240499101i</v>
      </c>
      <c r="AH508" s="31">
        <f t="shared" si="308"/>
        <v>4.9959024049910097</v>
      </c>
      <c r="AI508" s="31">
        <f t="shared" si="309"/>
        <v>1.5707963267948966</v>
      </c>
      <c r="AJ508" s="31" t="str">
        <f t="shared" si="295"/>
        <v>1+16.1543988400919i</v>
      </c>
      <c r="AK508" s="31">
        <f t="shared" si="310"/>
        <v>16.185320567871447</v>
      </c>
      <c r="AL508" s="31">
        <f t="shared" si="311"/>
        <v>1.5089725705426864</v>
      </c>
      <c r="AM508" s="31" t="str">
        <f t="shared" si="296"/>
        <v>1+16170.553238932i</v>
      </c>
      <c r="AN508" s="31">
        <f t="shared" si="312"/>
        <v>16170.5532698524</v>
      </c>
      <c r="AO508" s="31">
        <f t="shared" si="313"/>
        <v>1.5707344859918053</v>
      </c>
      <c r="AP508" s="58" t="str">
        <f t="shared" si="314"/>
        <v>-0.0000164578454940952+0.000266133485544534i</v>
      </c>
      <c r="AQ508" s="49">
        <f t="shared" si="315"/>
        <v>-71.481432706643034</v>
      </c>
      <c r="AR508" s="61">
        <f t="shared" si="316"/>
        <v>93.53869708987834</v>
      </c>
      <c r="AS508" s="58" t="str">
        <f t="shared" si="317"/>
        <v>-8.26148803305244E-07+2.43279696440589E-07i</v>
      </c>
      <c r="AT508" s="64">
        <f t="shared" si="318"/>
        <v>-121.29767706606323</v>
      </c>
      <c r="AU508" s="61">
        <f t="shared" si="319"/>
        <v>163.59164698335562</v>
      </c>
    </row>
    <row r="509" spans="14:47" x14ac:dyDescent="0.3">
      <c r="N509" s="10">
        <v>91</v>
      </c>
      <c r="O509" s="50">
        <f t="shared" si="320"/>
        <v>812830.51616410096</v>
      </c>
      <c r="P509" s="48" t="str">
        <f t="shared" si="288"/>
        <v>51201.9230769231</v>
      </c>
      <c r="Q509" s="17" t="str">
        <f t="shared" si="289"/>
        <v>1+238661.737654355i</v>
      </c>
      <c r="R509" s="17">
        <f t="shared" si="297"/>
        <v>238661.73765645004</v>
      </c>
      <c r="S509" s="17">
        <f t="shared" si="298"/>
        <v>1.5707921367642288</v>
      </c>
      <c r="T509" s="17" t="str">
        <f t="shared" si="290"/>
        <v>1+0.0000153214942691685i</v>
      </c>
      <c r="U509" s="17">
        <f t="shared" si="299"/>
        <v>1.0000000001173741</v>
      </c>
      <c r="V509" s="17">
        <f t="shared" si="300"/>
        <v>1.5321494267969602E-5</v>
      </c>
      <c r="W509" s="31" t="str">
        <f t="shared" si="291"/>
        <v>1-8.27360690535096i</v>
      </c>
      <c r="X509" s="17">
        <f t="shared" si="301"/>
        <v>8.3338209258581433</v>
      </c>
      <c r="Y509" s="17">
        <f t="shared" si="302"/>
        <v>-1.4505135164218583</v>
      </c>
      <c r="Z509" s="31" t="str">
        <f t="shared" si="292"/>
        <v>-263.27737920304+504.885322989776i</v>
      </c>
      <c r="AA509" s="17">
        <f t="shared" si="303"/>
        <v>569.40685609721265</v>
      </c>
      <c r="AB509" s="17">
        <f t="shared" si="304"/>
        <v>2.0514639873028315</v>
      </c>
      <c r="AC509" s="66" t="str">
        <f t="shared" si="305"/>
        <v>0.0011072026592229+0.00293827990631015i</v>
      </c>
      <c r="AD509" s="64">
        <f t="shared" si="306"/>
        <v>-50.061501065737701</v>
      </c>
      <c r="AE509" s="61">
        <f t="shared" si="307"/>
        <v>69.352587014846364</v>
      </c>
      <c r="AF509" s="31" t="str">
        <f t="shared" si="293"/>
        <v>-1.33333333333333E-06</v>
      </c>
      <c r="AG509" s="31" t="str">
        <f t="shared" si="294"/>
        <v>5.11227192114587i</v>
      </c>
      <c r="AH509" s="31">
        <f t="shared" si="308"/>
        <v>5.1122719211458696</v>
      </c>
      <c r="AI509" s="31">
        <f t="shared" si="309"/>
        <v>1.5707963267948966</v>
      </c>
      <c r="AJ509" s="31" t="str">
        <f t="shared" si="295"/>
        <v>1+16.5306831275743i</v>
      </c>
      <c r="AK509" s="31">
        <f t="shared" si="310"/>
        <v>16.560902290161298</v>
      </c>
      <c r="AL509" s="31">
        <f t="shared" si="311"/>
        <v>1.5103763889288162</v>
      </c>
      <c r="AM509" s="31" t="str">
        <f t="shared" si="296"/>
        <v>1+16547.2138107019i</v>
      </c>
      <c r="AN509" s="31">
        <f t="shared" si="312"/>
        <v>16547.213840918463</v>
      </c>
      <c r="AO509" s="31">
        <f t="shared" si="313"/>
        <v>1.5707358936603386</v>
      </c>
      <c r="AP509" s="58" t="str">
        <f t="shared" si="314"/>
        <v>-0.0000157198212077673+0.000260120193539002i</v>
      </c>
      <c r="AQ509" s="49">
        <f t="shared" si="315"/>
        <v>-71.680686493944151</v>
      </c>
      <c r="AR509" s="61">
        <f t="shared" si="316"/>
        <v>93.458344874616131</v>
      </c>
      <c r="AS509" s="58" t="str">
        <f t="shared" si="317"/>
        <v>-7.81710965744905E-07+2.41816535218388E-07i</v>
      </c>
      <c r="AT509" s="64">
        <f t="shared" si="318"/>
        <v>-121.74218755968185</v>
      </c>
      <c r="AU509" s="61">
        <f t="shared" si="319"/>
        <v>162.81093188946247</v>
      </c>
    </row>
    <row r="510" spans="14:47" x14ac:dyDescent="0.3">
      <c r="N510" s="10">
        <v>92</v>
      </c>
      <c r="O510" s="50">
        <f t="shared" si="320"/>
        <v>831763.77110267128</v>
      </c>
      <c r="P510" s="48" t="str">
        <f t="shared" si="288"/>
        <v>51201.9230769231</v>
      </c>
      <c r="Q510" s="17" t="str">
        <f t="shared" si="289"/>
        <v>1+244220.883667248i</v>
      </c>
      <c r="R510" s="17">
        <f t="shared" si="297"/>
        <v>244220.88366929532</v>
      </c>
      <c r="S510" s="17">
        <f t="shared" si="298"/>
        <v>1.5707922321409711</v>
      </c>
      <c r="T510" s="17" t="str">
        <f t="shared" si="290"/>
        <v>1+0.0000156783777169098i</v>
      </c>
      <c r="U510" s="17">
        <f t="shared" si="299"/>
        <v>1.0000000001229057</v>
      </c>
      <c r="V510" s="17">
        <f t="shared" si="300"/>
        <v>1.567837771562516E-5</v>
      </c>
      <c r="W510" s="31" t="str">
        <f t="shared" si="291"/>
        <v>1-8.46632396713127i</v>
      </c>
      <c r="X510" s="17">
        <f t="shared" si="301"/>
        <v>8.5251769199484286</v>
      </c>
      <c r="Y510" s="17">
        <f t="shared" si="302"/>
        <v>-1.4532260375738686</v>
      </c>
      <c r="Z510" s="31" t="str">
        <f t="shared" si="292"/>
        <v>-275.732388367576+516.645612920842i</v>
      </c>
      <c r="AA510" s="17">
        <f t="shared" si="303"/>
        <v>585.62021767118006</v>
      </c>
      <c r="AB510" s="17">
        <f t="shared" si="304"/>
        <v>2.0610370049447684</v>
      </c>
      <c r="AC510" s="66" t="str">
        <f t="shared" si="305"/>
        <v>0.00111120472078214+0.00284256884410335i</v>
      </c>
      <c r="AD510" s="64">
        <f t="shared" si="306"/>
        <v>-50.308183732540741</v>
      </c>
      <c r="AE510" s="61">
        <f t="shared" si="307"/>
        <v>68.648692476139516</v>
      </c>
      <c r="AF510" s="31" t="str">
        <f t="shared" si="293"/>
        <v>-1.33333333333333E-06</v>
      </c>
      <c r="AG510" s="31" t="str">
        <f t="shared" si="294"/>
        <v>5.23135203154223i</v>
      </c>
      <c r="AH510" s="31">
        <f t="shared" si="308"/>
        <v>5.2313520315422304</v>
      </c>
      <c r="AI510" s="31">
        <f t="shared" si="309"/>
        <v>1.5707963267948966</v>
      </c>
      <c r="AJ510" s="31" t="str">
        <f t="shared" si="295"/>
        <v>1+16.9157322020605i</v>
      </c>
      <c r="AK510" s="31">
        <f t="shared" si="310"/>
        <v>16.945264705274642</v>
      </c>
      <c r="AL510" s="31">
        <f t="shared" si="311"/>
        <v>1.5117484829371735</v>
      </c>
      <c r="AM510" s="31" t="str">
        <f t="shared" si="296"/>
        <v>1+16932.6479342625i</v>
      </c>
      <c r="AN510" s="31">
        <f t="shared" si="312"/>
        <v>16932.647963791253</v>
      </c>
      <c r="AO510" s="31">
        <f t="shared" si="313"/>
        <v>1.5707372692864243</v>
      </c>
      <c r="AP510" s="58" t="str">
        <f t="shared" si="314"/>
        <v>-0.0000150147766743433+0.000254240814860269i</v>
      </c>
      <c r="AQ510" s="49">
        <f t="shared" si="315"/>
        <v>-71.87997374663945</v>
      </c>
      <c r="AR510" s="61">
        <f t="shared" si="316"/>
        <v>93.379808496411002</v>
      </c>
      <c r="AS510" s="58" t="str">
        <f t="shared" si="317"/>
        <v>-7.39381509943268E-07+2.39833057312571E-07i</v>
      </c>
      <c r="AT510" s="64">
        <f t="shared" si="318"/>
        <v>-122.18815747918021</v>
      </c>
      <c r="AU510" s="61">
        <f t="shared" si="319"/>
        <v>162.02850097255052</v>
      </c>
    </row>
    <row r="511" spans="14:47" x14ac:dyDescent="0.3">
      <c r="N511" s="10">
        <v>93</v>
      </c>
      <c r="O511" s="50">
        <f t="shared" si="320"/>
        <v>851138.03820237669</v>
      </c>
      <c r="P511" s="48" t="str">
        <f t="shared" si="288"/>
        <v>51201.9230769231</v>
      </c>
      <c r="Q511" s="17" t="str">
        <f t="shared" si="289"/>
        <v>1+249909.518825309i</v>
      </c>
      <c r="R511" s="17">
        <f t="shared" si="297"/>
        <v>249909.51882730974</v>
      </c>
      <c r="S511" s="17">
        <f t="shared" si="298"/>
        <v>1.5707923253466738</v>
      </c>
      <c r="T511" s="17" t="str">
        <f t="shared" si="290"/>
        <v>1+0.0000160435740480445i</v>
      </c>
      <c r="U511" s="17">
        <f t="shared" si="299"/>
        <v>1.0000000001286982</v>
      </c>
      <c r="V511" s="17">
        <f t="shared" si="300"/>
        <v>1.604357404666798E-5</v>
      </c>
      <c r="W511" s="31" t="str">
        <f t="shared" si="291"/>
        <v>1-8.66352998594402i</v>
      </c>
      <c r="X511" s="17">
        <f t="shared" si="301"/>
        <v>8.7210522196207041</v>
      </c>
      <c r="Y511" s="17">
        <f t="shared" si="302"/>
        <v>-1.4558784947896324</v>
      </c>
      <c r="Z511" s="31" t="str">
        <f t="shared" si="292"/>
        <v>-288.774384029997+528.679835194492i</v>
      </c>
      <c r="AA511" s="17">
        <f t="shared" si="303"/>
        <v>602.40602006717972</v>
      </c>
      <c r="AB511" s="17">
        <f t="shared" si="304"/>
        <v>2.0707311697568498</v>
      </c>
      <c r="AC511" s="66" t="str">
        <f t="shared" si="305"/>
        <v>0.00111393061097445+0.00274896292654238i</v>
      </c>
      <c r="AD511" s="64">
        <f t="shared" si="306"/>
        <v>-50.55633883572041</v>
      </c>
      <c r="AE511" s="61">
        <f t="shared" si="307"/>
        <v>67.941298726615898</v>
      </c>
      <c r="AF511" s="31" t="str">
        <f t="shared" si="293"/>
        <v>-1.33333333333333E-06</v>
      </c>
      <c r="AG511" s="31" t="str">
        <f t="shared" si="294"/>
        <v>5.35320587403085i</v>
      </c>
      <c r="AH511" s="31">
        <f t="shared" si="308"/>
        <v>5.3532058740308504</v>
      </c>
      <c r="AI511" s="31">
        <f t="shared" si="309"/>
        <v>1.5707963267948966</v>
      </c>
      <c r="AJ511" s="31" t="str">
        <f t="shared" si="295"/>
        <v>1+17.3097502216664i</v>
      </c>
      <c r="AK511" s="31">
        <f t="shared" si="310"/>
        <v>17.338611615019236</v>
      </c>
      <c r="AL511" s="31">
        <f t="shared" si="311"/>
        <v>1.513089559393191</v>
      </c>
      <c r="AM511" s="31" t="str">
        <f t="shared" si="296"/>
        <v>1+17327.0599718881i</v>
      </c>
      <c r="AN511" s="31">
        <f t="shared" si="312"/>
        <v>17327.060000744696</v>
      </c>
      <c r="AO511" s="31">
        <f t="shared" si="313"/>
        <v>1.5707386135994374</v>
      </c>
      <c r="AP511" s="58" t="str">
        <f t="shared" si="314"/>
        <v>-0.0000143412482908565+0.000248492497714353i</v>
      </c>
      <c r="AQ511" s="49">
        <f t="shared" si="315"/>
        <v>-72.079292969035293</v>
      </c>
      <c r="AR511" s="61">
        <f t="shared" si="316"/>
        <v>93.303047498938838</v>
      </c>
      <c r="AS511" s="58" t="str">
        <f t="shared" si="317"/>
        <v>-6.99071819211444E-07+2.37379839929613E-07i</v>
      </c>
      <c r="AT511" s="64">
        <f t="shared" si="318"/>
        <v>-122.63563180475569</v>
      </c>
      <c r="AU511" s="61">
        <f t="shared" si="319"/>
        <v>161.24434622555472</v>
      </c>
    </row>
    <row r="512" spans="14:47" x14ac:dyDescent="0.3">
      <c r="N512" s="10">
        <v>94</v>
      </c>
      <c r="O512" s="50">
        <f t="shared" si="320"/>
        <v>870963.58995608077</v>
      </c>
      <c r="P512" s="48" t="str">
        <f t="shared" si="288"/>
        <v>51201.9230769231</v>
      </c>
      <c r="Q512" s="17" t="str">
        <f t="shared" si="289"/>
        <v>1+255730.659318193i</v>
      </c>
      <c r="R512" s="17">
        <f t="shared" si="297"/>
        <v>255730.65932014817</v>
      </c>
      <c r="S512" s="17">
        <f t="shared" si="298"/>
        <v>1.5707924164307554</v>
      </c>
      <c r="T512" s="17" t="str">
        <f t="shared" si="290"/>
        <v>1+0.0000164172768945013i</v>
      </c>
      <c r="U512" s="17">
        <f t="shared" si="299"/>
        <v>1.0000000001347635</v>
      </c>
      <c r="V512" s="17">
        <f t="shared" si="300"/>
        <v>1.6417276893026335E-5</v>
      </c>
      <c r="W512" s="31" t="str">
        <f t="shared" si="291"/>
        <v>1-8.8653295230307i</v>
      </c>
      <c r="X512" s="17">
        <f t="shared" si="301"/>
        <v>8.9215507369470117</v>
      </c>
      <c r="Y512" s="17">
        <f t="shared" si="302"/>
        <v>-1.4584721450650393</v>
      </c>
      <c r="Z512" s="31" t="str">
        <f t="shared" si="292"/>
        <v>-302.431030011674+540.994370514668i</v>
      </c>
      <c r="AA512" s="17">
        <f t="shared" si="303"/>
        <v>619.78983280018713</v>
      </c>
      <c r="AB512" s="17">
        <f t="shared" si="304"/>
        <v>2.0805444317394191</v>
      </c>
      <c r="AC512" s="66" t="str">
        <f t="shared" si="305"/>
        <v>0.00111542160673767+0.0026574358308115i</v>
      </c>
      <c r="AD512" s="64">
        <f t="shared" si="306"/>
        <v>-50.806012469371602</v>
      </c>
      <c r="AE512" s="61">
        <f t="shared" si="307"/>
        <v>67.230451210307152</v>
      </c>
      <c r="AF512" s="31" t="str">
        <f t="shared" si="293"/>
        <v>-1.33333333333333E-06</v>
      </c>
      <c r="AG512" s="31" t="str">
        <f t="shared" si="294"/>
        <v>5.47789805713193i</v>
      </c>
      <c r="AH512" s="31">
        <f t="shared" si="308"/>
        <v>5.47789805713193</v>
      </c>
      <c r="AI512" s="31">
        <f t="shared" si="309"/>
        <v>1.5707963267948966</v>
      </c>
      <c r="AJ512" s="31" t="str">
        <f t="shared" si="295"/>
        <v>1+17.7129460999614i</v>
      </c>
      <c r="AK512" s="31">
        <f t="shared" si="310"/>
        <v>17.741151584385321</v>
      </c>
      <c r="AL512" s="31">
        <f t="shared" si="311"/>
        <v>1.514400310047187</v>
      </c>
      <c r="AM512" s="31" t="str">
        <f t="shared" si="296"/>
        <v>1+17730.6590460614i</v>
      </c>
      <c r="AN512" s="31">
        <f t="shared" si="312"/>
        <v>17730.659074261141</v>
      </c>
      <c r="AO512" s="31">
        <f t="shared" si="313"/>
        <v>1.5707399273121507</v>
      </c>
      <c r="AP512" s="58" t="str">
        <f t="shared" si="314"/>
        <v>-0.0000136978365169465+0.000242872442274114i</v>
      </c>
      <c r="AQ512" s="49">
        <f t="shared" si="315"/>
        <v>-72.278642731836442</v>
      </c>
      <c r="AR512" s="61">
        <f t="shared" si="316"/>
        <v>93.228022288664789</v>
      </c>
      <c r="AS512" s="58" t="str">
        <f t="shared" si="317"/>
        <v>-6.60696793232491E-07+2.34504048228962E-07i</v>
      </c>
      <c r="AT512" s="64">
        <f t="shared" si="318"/>
        <v>-123.08465520120804</v>
      </c>
      <c r="AU512" s="61">
        <f t="shared" si="319"/>
        <v>160.45847349897195</v>
      </c>
    </row>
    <row r="513" spans="14:47" x14ac:dyDescent="0.3">
      <c r="N513" s="10">
        <v>95</v>
      </c>
      <c r="O513" s="50">
        <f t="shared" si="320"/>
        <v>891250.93813374708</v>
      </c>
      <c r="P513" s="48" t="str">
        <f t="shared" si="288"/>
        <v>51201.9230769231</v>
      </c>
      <c r="Q513" s="17" t="str">
        <f t="shared" si="289"/>
        <v>1+261687.391591645i</v>
      </c>
      <c r="R513" s="17">
        <f t="shared" si="297"/>
        <v>261687.39159355563</v>
      </c>
      <c r="S513" s="17">
        <f t="shared" si="298"/>
        <v>1.5707925054415104</v>
      </c>
      <c r="T513" s="17" t="str">
        <f t="shared" si="290"/>
        <v>1+0.000016799684398476i</v>
      </c>
      <c r="U513" s="17">
        <f t="shared" si="299"/>
        <v>1.0000000001411147</v>
      </c>
      <c r="V513" s="17">
        <f t="shared" si="300"/>
        <v>1.6799684396895543E-5</v>
      </c>
      <c r="W513" s="31" t="str">
        <f t="shared" si="291"/>
        <v>1-9.07182957517701i</v>
      </c>
      <c r="X513" s="17">
        <f t="shared" si="301"/>
        <v>9.1267788316062699</v>
      </c>
      <c r="Y513" s="17">
        <f t="shared" si="302"/>
        <v>-1.4610082239319719</v>
      </c>
      <c r="Z513" s="31" t="str">
        <f t="shared" si="292"/>
        <v>-316.731293889714+553.595748210998i</v>
      </c>
      <c r="AA513" s="17">
        <f t="shared" si="303"/>
        <v>637.79853007540476</v>
      </c>
      <c r="AB513" s="17">
        <f t="shared" si="304"/>
        <v>2.0904745323205614</v>
      </c>
      <c r="AC513" s="66" t="str">
        <f t="shared" si="305"/>
        <v>0.00111571816529128+0.00256796247373604i</v>
      </c>
      <c r="AD513" s="64">
        <f t="shared" si="306"/>
        <v>-51.057250260167436</v>
      </c>
      <c r="AE513" s="61">
        <f t="shared" si="307"/>
        <v>66.516208551675106</v>
      </c>
      <c r="AF513" s="31" t="str">
        <f t="shared" si="293"/>
        <v>-1.33333333333333E-06</v>
      </c>
      <c r="AG513" s="31" t="str">
        <f t="shared" si="294"/>
        <v>5.60549469429148i</v>
      </c>
      <c r="AH513" s="31">
        <f t="shared" si="308"/>
        <v>5.6054946942914796</v>
      </c>
      <c r="AI513" s="31">
        <f t="shared" si="309"/>
        <v>1.5707963267948966</v>
      </c>
      <c r="AJ513" s="31" t="str">
        <f t="shared" si="295"/>
        <v>1+18.1255336167373i</v>
      </c>
      <c r="AK513" s="31">
        <f t="shared" si="310"/>
        <v>18.153098052163823</v>
      </c>
      <c r="AL513" s="31">
        <f t="shared" si="311"/>
        <v>1.5156814118506512</v>
      </c>
      <c r="AM513" s="31" t="str">
        <f t="shared" si="296"/>
        <v>1+18143.659150354i</v>
      </c>
      <c r="AN513" s="31">
        <f t="shared" si="312"/>
        <v>18143.659177911835</v>
      </c>
      <c r="AO513" s="31">
        <f t="shared" si="313"/>
        <v>1.5707412111211121</v>
      </c>
      <c r="AP513" s="58" t="str">
        <f t="shared" si="314"/>
        <v>-0.0000130832031491062+0.000237377900342869i</v>
      </c>
      <c r="AQ513" s="49">
        <f t="shared" si="315"/>
        <v>-72.478021669237819</v>
      </c>
      <c r="AR513" s="61">
        <f t="shared" si="316"/>
        <v>93.154694119034886</v>
      </c>
      <c r="AS513" s="58" t="str">
        <f t="shared" si="317"/>
        <v>-6.24174707588395E-07+2.31249660728072E-07i</v>
      </c>
      <c r="AT513" s="64">
        <f t="shared" si="318"/>
        <v>-123.53527192940525</v>
      </c>
      <c r="AU513" s="61">
        <f t="shared" si="319"/>
        <v>159.67090267071001</v>
      </c>
    </row>
    <row r="514" spans="14:47" x14ac:dyDescent="0.3">
      <c r="N514" s="10">
        <v>96</v>
      </c>
      <c r="O514" s="50">
        <f t="shared" si="320"/>
        <v>912010.83935591124</v>
      </c>
      <c r="P514" s="48" t="str">
        <f t="shared" si="288"/>
        <v>51201.9230769231</v>
      </c>
      <c r="Q514" s="17" t="str">
        <f t="shared" si="289"/>
        <v>1+267782.873983959i</v>
      </c>
      <c r="R514" s="17">
        <f t="shared" si="297"/>
        <v>267782.87398582615</v>
      </c>
      <c r="S514" s="17">
        <f t="shared" si="298"/>
        <v>1.5707925924261332</v>
      </c>
      <c r="T514" s="17" t="str">
        <f t="shared" si="290"/>
        <v>1+0.0000171909993174888i</v>
      </c>
      <c r="U514" s="17">
        <f t="shared" si="299"/>
        <v>1.0000000001477654</v>
      </c>
      <c r="V514" s="17">
        <f t="shared" si="300"/>
        <v>1.7190999315795312E-5</v>
      </c>
      <c r="W514" s="31" t="str">
        <f t="shared" si="291"/>
        <v>1-9.28313963144392i</v>
      </c>
      <c r="X514" s="17">
        <f t="shared" si="301"/>
        <v>9.3368453675149166</v>
      </c>
      <c r="Y514" s="17">
        <f t="shared" si="302"/>
        <v>-1.4634879454919403</v>
      </c>
      <c r="Z514" s="31" t="str">
        <f t="shared" si="292"/>
        <v>-331.70550844107+566.490649700735i</v>
      </c>
      <c r="AA514" s="17">
        <f t="shared" si="303"/>
        <v>656.46035716447466</v>
      </c>
      <c r="AB514" s="17">
        <f t="shared" si="304"/>
        <v>2.1005190017542983</v>
      </c>
      <c r="AC514" s="66" t="str">
        <f t="shared" si="305"/>
        <v>0.00111486004138349+0.00248051893294606i</v>
      </c>
      <c r="AD514" s="64">
        <f t="shared" si="306"/>
        <v>-51.310097277429982</v>
      </c>
      <c r="AE514" s="61">
        <f t="shared" si="307"/>
        <v>65.798642702761484</v>
      </c>
      <c r="AF514" s="31" t="str">
        <f t="shared" si="293"/>
        <v>-1.33333333333333E-06</v>
      </c>
      <c r="AG514" s="31" t="str">
        <f t="shared" si="294"/>
        <v>5.73606343893541i</v>
      </c>
      <c r="AH514" s="31">
        <f t="shared" si="308"/>
        <v>5.7360634389354104</v>
      </c>
      <c r="AI514" s="31">
        <f t="shared" si="309"/>
        <v>1.5707963267948966</v>
      </c>
      <c r="AJ514" s="31" t="str">
        <f t="shared" si="295"/>
        <v>1+18.5477315313565i</v>
      </c>
      <c r="AK514" s="31">
        <f t="shared" si="310"/>
        <v>18.574669444145599</v>
      </c>
      <c r="AL514" s="31">
        <f t="shared" si="311"/>
        <v>1.516933527230613</v>
      </c>
      <c r="AM514" s="31" t="str">
        <f t="shared" si="296"/>
        <v>1+18566.2792628878i</v>
      </c>
      <c r="AN514" s="31">
        <f t="shared" si="312"/>
        <v>18566.279289818343</v>
      </c>
      <c r="AO514" s="31">
        <f t="shared" si="313"/>
        <v>1.5707424657070139</v>
      </c>
      <c r="AP514" s="58" t="str">
        <f t="shared" si="314"/>
        <v>-0.0000124960687039711+0.000232006174971069i</v>
      </c>
      <c r="AQ514" s="49">
        <f t="shared" si="315"/>
        <v>-72.677428476139994</v>
      </c>
      <c r="AR514" s="61">
        <f t="shared" si="316"/>
        <v>93.083025074776856</v>
      </c>
      <c r="AS514" s="58" t="str">
        <f t="shared" si="317"/>
        <v>-5.89427077248573E-07+2.27657678821876E-07i</v>
      </c>
      <c r="AT514" s="64">
        <f t="shared" si="318"/>
        <v>-123.98752575356997</v>
      </c>
      <c r="AU514" s="61">
        <f t="shared" si="319"/>
        <v>158.88166777753833</v>
      </c>
    </row>
    <row r="515" spans="14:47" x14ac:dyDescent="0.3">
      <c r="N515" s="10">
        <v>97</v>
      </c>
      <c r="O515" s="50">
        <f t="shared" si="320"/>
        <v>933254.30079699249</v>
      </c>
      <c r="P515" s="48" t="str">
        <f t="shared" si="288"/>
        <v>51201.9230769231</v>
      </c>
      <c r="Q515" s="17" t="str">
        <f t="shared" si="289"/>
        <v>1+274020.338400586i</v>
      </c>
      <c r="R515" s="17">
        <f t="shared" si="297"/>
        <v>274020.33840241068</v>
      </c>
      <c r="S515" s="17">
        <f t="shared" si="298"/>
        <v>1.5707926774307441</v>
      </c>
      <c r="T515" s="17" t="str">
        <f t="shared" si="290"/>
        <v>1+0.0000175914291318895i</v>
      </c>
      <c r="U515" s="17">
        <f t="shared" si="299"/>
        <v>1.0000000001547291</v>
      </c>
      <c r="V515" s="17">
        <f t="shared" si="300"/>
        <v>1.7591429130074894E-5</v>
      </c>
      <c r="W515" s="31" t="str">
        <f t="shared" si="291"/>
        <v>1-9.49937173122031i</v>
      </c>
      <c r="X515" s="17">
        <f t="shared" si="301"/>
        <v>9.5518617707705307</v>
      </c>
      <c r="Y515" s="17">
        <f t="shared" si="302"/>
        <v>-1.465912502476973</v>
      </c>
      <c r="Z515" s="31" t="str">
        <f t="shared" si="292"/>
        <v>-347.385435982434+579.685912031334i</v>
      </c>
      <c r="AA515" s="17">
        <f t="shared" si="303"/>
        <v>675.80499978936632</v>
      </c>
      <c r="AB515" s="17">
        <f t="shared" si="304"/>
        <v>2.1106751572144633</v>
      </c>
      <c r="AC515" s="66" t="str">
        <f t="shared" si="305"/>
        <v>0.00111288639735079+0.0023950823640298i</v>
      </c>
      <c r="AD515" s="64">
        <f t="shared" si="306"/>
        <v>-51.564597939245083</v>
      </c>
      <c r="AE515" s="61">
        <f t="shared" si="307"/>
        <v>65.077839048916843</v>
      </c>
      <c r="AF515" s="31" t="str">
        <f t="shared" si="293"/>
        <v>-1.33333333333333E-06</v>
      </c>
      <c r="AG515" s="31" t="str">
        <f t="shared" si="294"/>
        <v>5.86967352034045i</v>
      </c>
      <c r="AH515" s="31">
        <f t="shared" si="308"/>
        <v>5.8696735203404504</v>
      </c>
      <c r="AI515" s="31">
        <f t="shared" si="309"/>
        <v>1.5707963267948966</v>
      </c>
      <c r="AJ515" s="31" t="str">
        <f t="shared" si="295"/>
        <v>1+18.9797636987418i</v>
      </c>
      <c r="AK515" s="31">
        <f t="shared" si="310"/>
        <v>19.00608928896413</v>
      </c>
      <c r="AL515" s="31">
        <f t="shared" si="311"/>
        <v>1.5181573043618606</v>
      </c>
      <c r="AM515" s="31" t="str">
        <f t="shared" si="296"/>
        <v>1+18998.7434624406i</v>
      </c>
      <c r="AN515" s="31">
        <f t="shared" si="312"/>
        <v>18998.743488758129</v>
      </c>
      <c r="AO515" s="31">
        <f t="shared" si="313"/>
        <v>1.5707436917350541</v>
      </c>
      <c r="AP515" s="58" t="str">
        <f t="shared" si="314"/>
        <v>-0.0000119352099069134+0.000226754620030526i</v>
      </c>
      <c r="AQ515" s="49">
        <f t="shared" si="315"/>
        <v>-72.876861905484219</v>
      </c>
      <c r="AR515" s="61">
        <f t="shared" si="316"/>
        <v>93.012978056324016</v>
      </c>
      <c r="AS515" s="58" t="str">
        <f t="shared" si="317"/>
        <v>-5.56378524152322E-07+2.23766321409377E-07i</v>
      </c>
      <c r="AT515" s="64">
        <f t="shared" si="318"/>
        <v>-124.44145984472928</v>
      </c>
      <c r="AU515" s="61">
        <f t="shared" si="319"/>
        <v>158.09081710524092</v>
      </c>
    </row>
    <row r="516" spans="14:47" x14ac:dyDescent="0.3">
      <c r="N516" s="10">
        <v>98</v>
      </c>
      <c r="O516" s="50">
        <f t="shared" si="320"/>
        <v>954992.58602143743</v>
      </c>
      <c r="P516" s="48" t="str">
        <f t="shared" si="288"/>
        <v>51201.9230769231</v>
      </c>
      <c r="Q516" s="17" t="str">
        <f t="shared" si="289"/>
        <v>1+280403.09202772i</v>
      </c>
      <c r="R516" s="17">
        <f t="shared" si="297"/>
        <v>280403.0920295032</v>
      </c>
      <c r="S516" s="17">
        <f t="shared" si="298"/>
        <v>1.5707927605004139</v>
      </c>
      <c r="T516" s="17" t="str">
        <f t="shared" si="290"/>
        <v>1+0.000018001186154866i</v>
      </c>
      <c r="U516" s="17">
        <f t="shared" si="299"/>
        <v>1.0000000001620215</v>
      </c>
      <c r="V516" s="17">
        <f t="shared" si="300"/>
        <v>1.8001186152921615E-5</v>
      </c>
      <c r="W516" s="31" t="str">
        <f t="shared" si="291"/>
        <v>1-9.72064052362763i</v>
      </c>
      <c r="X516" s="17">
        <f t="shared" si="301"/>
        <v>9.7719420889397224</v>
      </c>
      <c r="Y516" s="17">
        <f t="shared" si="302"/>
        <v>-1.4682830663355133</v>
      </c>
      <c r="Z516" s="31" t="str">
        <f t="shared" si="292"/>
        <v>-363.804335742365+593.188531505541i</v>
      </c>
      <c r="AA516" s="17">
        <f t="shared" si="303"/>
        <v>695.86365662724745</v>
      </c>
      <c r="AB516" s="17">
        <f t="shared" si="304"/>
        <v>2.1209401016353402</v>
      </c>
      <c r="AC516" s="66" t="str">
        <f t="shared" si="305"/>
        <v>0.00110983590563103+0.00231163091387765i</v>
      </c>
      <c r="AD516" s="64">
        <f t="shared" si="306"/>
        <v>-51.820795915019815</v>
      </c>
      <c r="AE516" s="61">
        <f t="shared" si="307"/>
        <v>64.353896470310289</v>
      </c>
      <c r="AF516" s="31" t="str">
        <f t="shared" si="293"/>
        <v>-1.33333333333333E-06</v>
      </c>
      <c r="AG516" s="31" t="str">
        <f t="shared" si="294"/>
        <v>6.00639578034029i</v>
      </c>
      <c r="AH516" s="31">
        <f t="shared" si="308"/>
        <v>6.0063957803402896</v>
      </c>
      <c r="AI516" s="31">
        <f t="shared" si="309"/>
        <v>1.5707963267948966</v>
      </c>
      <c r="AJ516" s="31" t="str">
        <f t="shared" si="295"/>
        <v>1+19.4218591880672i</v>
      </c>
      <c r="AK516" s="31">
        <f t="shared" si="310"/>
        <v>19.447586336641116</v>
      </c>
      <c r="AL516" s="31">
        <f t="shared" si="311"/>
        <v>1.5193533774367873</v>
      </c>
      <c r="AM516" s="31" t="str">
        <f t="shared" si="296"/>
        <v>1+19441.2810472553i</v>
      </c>
      <c r="AN516" s="31">
        <f t="shared" si="312"/>
        <v>19441.281072973768</v>
      </c>
      <c r="AO516" s="31">
        <f t="shared" si="313"/>
        <v>1.5707448898552892</v>
      </c>
      <c r="AP516" s="58" t="str">
        <f t="shared" si="314"/>
        <v>-0.0000113994572822741+0.000221620639750421i</v>
      </c>
      <c r="AQ516" s="49">
        <f t="shared" si="315"/>
        <v>-73.076320765701212</v>
      </c>
      <c r="AR516" s="61">
        <f t="shared" si="316"/>
        <v>92.944516764374313</v>
      </c>
      <c r="AS516" s="58" t="str">
        <f t="shared" si="317"/>
        <v>-5.2495664899699E-07+2.19611205568804E-07i</v>
      </c>
      <c r="AT516" s="64">
        <f t="shared" si="318"/>
        <v>-124.89711668072104</v>
      </c>
      <c r="AU516" s="61">
        <f t="shared" si="319"/>
        <v>157.2984132346846</v>
      </c>
    </row>
    <row r="517" spans="14:47" x14ac:dyDescent="0.3">
      <c r="N517" s="10">
        <v>99</v>
      </c>
      <c r="O517" s="50">
        <f t="shared" si="320"/>
        <v>977237.22095581202</v>
      </c>
      <c r="P517" s="48" t="str">
        <f t="shared" si="288"/>
        <v>51201.9230769231</v>
      </c>
      <c r="Q517" s="17" t="str">
        <f t="shared" si="289"/>
        <v>1+286934.519085822i</v>
      </c>
      <c r="R517" s="17">
        <f t="shared" si="297"/>
        <v>286934.51908756449</v>
      </c>
      <c r="S517" s="17">
        <f t="shared" si="298"/>
        <v>1.5707928416791874</v>
      </c>
      <c r="T517" s="17" t="str">
        <f t="shared" si="290"/>
        <v>1+0.0000184204876450157i</v>
      </c>
      <c r="U517" s="17">
        <f t="shared" si="299"/>
        <v>1.0000000001696572</v>
      </c>
      <c r="V517" s="17">
        <f t="shared" si="300"/>
        <v>1.8420487642932253E-5</v>
      </c>
      <c r="W517" s="31" t="str">
        <f t="shared" si="291"/>
        <v>1-9.94706332830848i</v>
      </c>
      <c r="X517" s="17">
        <f t="shared" si="301"/>
        <v>9.9972030517229875</v>
      </c>
      <c r="Y517" s="17">
        <f t="shared" si="302"/>
        <v>-1.470600787341215</v>
      </c>
      <c r="Z517" s="31" t="str">
        <f t="shared" si="292"/>
        <v>-380.997034408576+607.005667390932i</v>
      </c>
      <c r="AA517" s="17">
        <f t="shared" si="303"/>
        <v>716.6691150543885</v>
      </c>
      <c r="AB517" s="17">
        <f t="shared" si="304"/>
        <v>2.1313107233473874</v>
      </c>
      <c r="AC517" s="66" t="str">
        <f t="shared" si="305"/>
        <v>0.00110574684336952+0.0022301436304795i</v>
      </c>
      <c r="AD517" s="64">
        <f t="shared" si="306"/>
        <v>-52.078734024936352</v>
      </c>
      <c r="AE517" s="61">
        <f t="shared" si="307"/>
        <v>63.626927356572253</v>
      </c>
      <c r="AF517" s="31" t="str">
        <f t="shared" si="293"/>
        <v>-1.33333333333333E-06</v>
      </c>
      <c r="AG517" s="31" t="str">
        <f t="shared" si="294"/>
        <v>6.14630271088691i</v>
      </c>
      <c r="AH517" s="31">
        <f t="shared" si="308"/>
        <v>6.1463027108869097</v>
      </c>
      <c r="AI517" s="31">
        <f t="shared" si="309"/>
        <v>1.5707963267948966</v>
      </c>
      <c r="AJ517" s="31" t="str">
        <f t="shared" si="295"/>
        <v>1+19.8742524042127i</v>
      </c>
      <c r="AK517" s="31">
        <f t="shared" si="310"/>
        <v>19.899394679898037</v>
      </c>
      <c r="AL517" s="31">
        <f t="shared" si="311"/>
        <v>1.5205223669326735</v>
      </c>
      <c r="AM517" s="31" t="str">
        <f t="shared" si="296"/>
        <v>1+19894.126656617i</v>
      </c>
      <c r="AN517" s="31">
        <f t="shared" si="312"/>
        <v>19894.126681750044</v>
      </c>
      <c r="AO517" s="31">
        <f t="shared" si="313"/>
        <v>1.5707460607029782</v>
      </c>
      <c r="AP517" s="58" t="str">
        <f t="shared" si="314"/>
        <v>-0.0000108876928416403+0.000216601688218985i</v>
      </c>
      <c r="AQ517" s="49">
        <f t="shared" si="315"/>
        <v>-73.275803918269389</v>
      </c>
      <c r="AR517" s="61">
        <f t="shared" si="316"/>
        <v>92.877605684595949</v>
      </c>
      <c r="AS517" s="58" t="str">
        <f t="shared" si="317"/>
        <v>-4.95091907323897E-07+2.1522551417525E-07i</v>
      </c>
      <c r="AT517" s="64">
        <f t="shared" si="318"/>
        <v>-125.35453794320574</v>
      </c>
      <c r="AU517" s="61">
        <f t="shared" si="319"/>
        <v>156.50453304116823</v>
      </c>
    </row>
    <row r="518" spans="14:47" x14ac:dyDescent="0.3">
      <c r="N518" s="10">
        <v>100</v>
      </c>
      <c r="O518" s="50">
        <f t="shared" si="320"/>
        <v>1000000</v>
      </c>
      <c r="P518" s="48" t="str">
        <f t="shared" si="288"/>
        <v>51201.9230769231</v>
      </c>
      <c r="Q518" s="17" t="str">
        <f t="shared" si="289"/>
        <v>1+293618.082623969i</v>
      </c>
      <c r="R518" s="17">
        <f t="shared" si="297"/>
        <v>293618.08262567193</v>
      </c>
      <c r="S518" s="17">
        <f t="shared" si="298"/>
        <v>1.5707929210101061</v>
      </c>
      <c r="T518" s="17" t="str">
        <f t="shared" si="290"/>
        <v>1+0.0000188495559215388i</v>
      </c>
      <c r="U518" s="17">
        <f t="shared" si="299"/>
        <v>1.000000000177653</v>
      </c>
      <c r="V518" s="17">
        <f t="shared" si="300"/>
        <v>1.8849555919306345E-5</v>
      </c>
      <c r="W518" s="31" t="str">
        <f t="shared" si="291"/>
        <v>1-10.1787601976309i</v>
      </c>
      <c r="X518" s="17">
        <f t="shared" si="301"/>
        <v>10.227764133029028</v>
      </c>
      <c r="Y518" s="17">
        <f t="shared" si="302"/>
        <v>-1.4728667947226506</v>
      </c>
      <c r="Z518" s="31" t="str">
        <f t="shared" si="292"/>
        <v>-399.000000000001+621.144645715842i</v>
      </c>
      <c r="AA518" s="17">
        <f t="shared" si="303"/>
        <v>738.2558302522641</v>
      </c>
      <c r="AB518" s="17">
        <f t="shared" si="304"/>
        <v>2.1417836965528307</v>
      </c>
      <c r="AC518" s="66" t="str">
        <f t="shared" si="305"/>
        <v>0.00110065717876454+0.00215060036950303i</v>
      </c>
      <c r="AD518" s="64">
        <f t="shared" si="306"/>
        <v>-52.338454136806433</v>
      </c>
      <c r="AE518" s="61">
        <f t="shared" si="307"/>
        <v>62.897057572119799</v>
      </c>
      <c r="AF518" s="31" t="str">
        <f t="shared" si="293"/>
        <v>-1.33333333333333E-06</v>
      </c>
      <c r="AG518" s="31" t="str">
        <f t="shared" si="294"/>
        <v>6.28946849248677i</v>
      </c>
      <c r="AH518" s="31">
        <f t="shared" si="308"/>
        <v>6.2894684924867699</v>
      </c>
      <c r="AI518" s="31">
        <f t="shared" si="309"/>
        <v>1.5707963267948966</v>
      </c>
      <c r="AJ518" s="31" t="str">
        <f t="shared" si="295"/>
        <v>1+20.3371832120498i</v>
      </c>
      <c r="AK518" s="31">
        <f t="shared" si="310"/>
        <v>20.361753878300373</v>
      </c>
      <c r="AL518" s="31">
        <f t="shared" si="311"/>
        <v>1.5216648798762349</v>
      </c>
      <c r="AM518" s="31" t="str">
        <f t="shared" si="296"/>
        <v>1+20357.5203952619i</v>
      </c>
      <c r="AN518" s="31">
        <f t="shared" si="312"/>
        <v>20357.520419822849</v>
      </c>
      <c r="AO518" s="31">
        <f t="shared" si="313"/>
        <v>1.5707472048989202</v>
      </c>
      <c r="AP518" s="58" t="str">
        <f t="shared" si="314"/>
        <v>-0.0000103988478666496+0.000211695268854478i</v>
      </c>
      <c r="AQ518" s="49">
        <f t="shared" si="315"/>
        <v>-73.475310275378249</v>
      </c>
      <c r="AR518" s="61">
        <f t="shared" si="316"/>
        <v>92.812210072489236</v>
      </c>
      <c r="AS518" s="58" t="str">
        <f t="shared" si="317"/>
        <v>-4.66717489975792E-07+2.10640151310748E-07i</v>
      </c>
      <c r="AT518" s="64">
        <f t="shared" si="318"/>
        <v>-125.81376441218468</v>
      </c>
      <c r="AU518" s="61">
        <f t="shared" si="319"/>
        <v>155.70926764460904</v>
      </c>
    </row>
    <row r="519" spans="14:47" x14ac:dyDescent="0.3">
      <c r="N519" s="10">
        <v>1</v>
      </c>
      <c r="O519" s="50">
        <f>10^(6+(N519/100))</f>
        <v>1023292.9922807553</v>
      </c>
      <c r="P519" s="48" t="str">
        <f t="shared" si="288"/>
        <v>51201.9230769231</v>
      </c>
      <c r="Q519" s="17" t="str">
        <f t="shared" si="289"/>
        <v>1+300457.32635602i</v>
      </c>
      <c r="R519" s="17">
        <f t="shared" si="297"/>
        <v>300457.32635768416</v>
      </c>
      <c r="S519" s="17">
        <f t="shared" si="298"/>
        <v>1.5707929985352329</v>
      </c>
      <c r="T519" s="17" t="str">
        <f t="shared" si="290"/>
        <v>1+0.0000192886184821149i</v>
      </c>
      <c r="U519" s="17">
        <f t="shared" si="299"/>
        <v>1.0000000001860254</v>
      </c>
      <c r="V519" s="17">
        <f t="shared" si="300"/>
        <v>1.9288618479722784E-5</v>
      </c>
      <c r="W519" s="31" t="str">
        <f t="shared" si="291"/>
        <v>1-10.415853980342i</v>
      </c>
      <c r="X519" s="17">
        <f t="shared" si="301"/>
        <v>10.46374761449292</v>
      </c>
      <c r="Y519" s="17">
        <f t="shared" si="302"/>
        <v>-1.475082196812078</v>
      </c>
      <c r="Z519" s="31" t="str">
        <f t="shared" si="292"/>
        <v>-417.851419220362+635.612963153734i</v>
      </c>
      <c r="AA519" s="17">
        <f t="shared" si="303"/>
        <v>760.66000780476213</v>
      </c>
      <c r="AB519" s="17">
        <f t="shared" si="304"/>
        <v>2.1523554826815943</v>
      </c>
      <c r="AC519" s="66" t="str">
        <f t="shared" si="305"/>
        <v>0.00109460464881408+0.00207298169804443i</v>
      </c>
      <c r="AD519" s="64">
        <f t="shared" si="306"/>
        <v>-52.599997060882693</v>
      </c>
      <c r="AE519" s="61">
        <f t="shared" si="307"/>
        <v>62.164426369947208</v>
      </c>
      <c r="AF519" s="31" t="str">
        <f t="shared" si="293"/>
        <v>-1.33333333333333E-06</v>
      </c>
      <c r="AG519" s="31" t="str">
        <f t="shared" si="294"/>
        <v>6.43596903353232i</v>
      </c>
      <c r="AH519" s="31">
        <f t="shared" si="308"/>
        <v>6.4359690335323201</v>
      </c>
      <c r="AI519" s="31">
        <f t="shared" si="309"/>
        <v>1.5707963267948966</v>
      </c>
      <c r="AJ519" s="31" t="str">
        <f t="shared" si="295"/>
        <v>1+20.8108970636204i</v>
      </c>
      <c r="AK519" s="31">
        <f t="shared" si="310"/>
        <v>20.834909085297301</v>
      </c>
      <c r="AL519" s="31">
        <f t="shared" si="311"/>
        <v>1.5227815101052762</v>
      </c>
      <c r="AM519" s="31" t="str">
        <f t="shared" si="296"/>
        <v>1+20831.707960684i</v>
      </c>
      <c r="AN519" s="31">
        <f t="shared" si="312"/>
        <v>20831.707984685872</v>
      </c>
      <c r="AO519" s="31">
        <f t="shared" si="313"/>
        <v>1.5707483230497827</v>
      </c>
      <c r="AP519" s="58" t="str">
        <f t="shared" si="314"/>
        <v>-9.93190078289008E-06+0.000206898933848858i</v>
      </c>
      <c r="AQ519" s="49">
        <f t="shared" si="315"/>
        <v>-73.674838797692288</v>
      </c>
      <c r="AR519" s="61">
        <f t="shared" si="316"/>
        <v>92.74829593841369</v>
      </c>
      <c r="AS519" s="58" t="str">
        <f t="shared" si="317"/>
        <v>-0.0000004397692079821+2.05883886275913E-07i</v>
      </c>
      <c r="AT519" s="64">
        <f t="shared" si="318"/>
        <v>-126.27483585857497</v>
      </c>
      <c r="AU519" s="61">
        <f t="shared" si="319"/>
        <v>154.91272230836086</v>
      </c>
    </row>
    <row r="520" spans="14:47" x14ac:dyDescent="0.3">
      <c r="N520" s="10">
        <v>2</v>
      </c>
      <c r="O520" s="50">
        <f t="shared" ref="O520:O560" si="321">10^(6+(N520/100))</f>
        <v>1047128.5480509007</v>
      </c>
      <c r="P520" s="48" t="str">
        <f t="shared" si="288"/>
        <v>51201.9230769231</v>
      </c>
      <c r="Q520" s="17" t="str">
        <f t="shared" si="289"/>
        <v>1+307455.876539526i</v>
      </c>
      <c r="R520" s="17">
        <f t="shared" si="297"/>
        <v>307455.87654115219</v>
      </c>
      <c r="S520" s="17">
        <f t="shared" si="298"/>
        <v>1.5707930742956722</v>
      </c>
      <c r="T520" s="17" t="str">
        <f t="shared" si="290"/>
        <v>1+0.0000197379081235252i</v>
      </c>
      <c r="U520" s="17">
        <f t="shared" si="299"/>
        <v>1.0000000001947926</v>
      </c>
      <c r="V520" s="17">
        <f t="shared" si="300"/>
        <v>1.9737908120962005E-5</v>
      </c>
      <c r="W520" s="31" t="str">
        <f t="shared" si="291"/>
        <v>1-10.6584703867036i</v>
      </c>
      <c r="X520" s="17">
        <f t="shared" si="301"/>
        <v>10.705278650471344</v>
      </c>
      <c r="Y520" s="17">
        <f t="shared" si="302"/>
        <v>-1.4772480812115099</v>
      </c>
      <c r="Z520" s="31" t="str">
        <f t="shared" si="292"/>
        <v>-437.591278457276+650.418290998021i</v>
      </c>
      <c r="AA520" s="17">
        <f t="shared" si="303"/>
        <v>783.91968992152476</v>
      </c>
      <c r="AB520" s="17">
        <f t="shared" si="304"/>
        <v>2.1630223326629787</v>
      </c>
      <c r="AC520" s="66" t="str">
        <f t="shared" si="305"/>
        <v>0.00108762682815002+0.00199726879600806i</v>
      </c>
      <c r="AD520" s="64">
        <f t="shared" si="306"/>
        <v>-52.863402443227415</v>
      </c>
      <c r="AE520" s="61">
        <f t="shared" si="307"/>
        <v>61.42918625196036</v>
      </c>
      <c r="AF520" s="31" t="str">
        <f t="shared" si="293"/>
        <v>-1.33333333333333E-06</v>
      </c>
      <c r="AG520" s="31" t="str">
        <f t="shared" si="294"/>
        <v>6.58588201054956i</v>
      </c>
      <c r="AH520" s="31">
        <f t="shared" si="308"/>
        <v>6.5858820105495601</v>
      </c>
      <c r="AI520" s="31">
        <f t="shared" si="309"/>
        <v>1.5707963267948966</v>
      </c>
      <c r="AJ520" s="31" t="str">
        <f t="shared" si="295"/>
        <v>1+21.2956451282788i</v>
      </c>
      <c r="AK520" s="31">
        <f t="shared" si="310"/>
        <v>21.319111178226557</v>
      </c>
      <c r="AL520" s="31">
        <f t="shared" si="311"/>
        <v>1.5238728385273153</v>
      </c>
      <c r="AM520" s="31" t="str">
        <f t="shared" si="296"/>
        <v>1+21316.9407734071i</v>
      </c>
      <c r="AN520" s="31">
        <f t="shared" si="312"/>
        <v>21316.940796862622</v>
      </c>
      <c r="AO520" s="31">
        <f t="shared" si="313"/>
        <v>1.5707494157484245</v>
      </c>
      <c r="AP520" s="58" t="str">
        <f t="shared" si="314"/>
        <v>-9.48587512154592E-06+0.000202210283587252i</v>
      </c>
      <c r="AQ520" s="49">
        <f t="shared" si="315"/>
        <v>-73.874388492211722</v>
      </c>
      <c r="AR520" s="61">
        <f t="shared" si="316"/>
        <v>92.68583003278863</v>
      </c>
      <c r="AS520" s="58" t="str">
        <f t="shared" si="317"/>
        <v>-4.14185381911433E-07+2.00983486974226E-07i</v>
      </c>
      <c r="AT520" s="64">
        <f t="shared" si="318"/>
        <v>-126.73779093543915</v>
      </c>
      <c r="AU520" s="61">
        <f t="shared" si="319"/>
        <v>154.11501628474898</v>
      </c>
    </row>
    <row r="521" spans="14:47" x14ac:dyDescent="0.3">
      <c r="N521" s="10">
        <v>3</v>
      </c>
      <c r="O521" s="50">
        <f t="shared" si="321"/>
        <v>1071519.3052376076</v>
      </c>
      <c r="P521" s="48" t="str">
        <f t="shared" si="288"/>
        <v>51201.9230769231</v>
      </c>
      <c r="Q521" s="17" t="str">
        <f t="shared" si="289"/>
        <v>1+314617.443898434i</v>
      </c>
      <c r="R521" s="17">
        <f t="shared" si="297"/>
        <v>314617.44390002324</v>
      </c>
      <c r="S521" s="17">
        <f t="shared" si="298"/>
        <v>1.5707931483315933</v>
      </c>
      <c r="T521" s="17" t="str">
        <f t="shared" si="290"/>
        <v>1+0.0000201976630650846i</v>
      </c>
      <c r="U521" s="17">
        <f t="shared" si="299"/>
        <v>1.0000000002039728</v>
      </c>
      <c r="V521" s="17">
        <f t="shared" si="300"/>
        <v>2.0197663062338085E-5</v>
      </c>
      <c r="W521" s="31" t="str">
        <f t="shared" si="291"/>
        <v>1-10.9067380551457i</v>
      </c>
      <c r="X521" s="17">
        <f t="shared" si="301"/>
        <v>10.952485334551396</v>
      </c>
      <c r="Y521" s="17">
        <f t="shared" si="302"/>
        <v>-1.479365514974468</v>
      </c>
      <c r="Z521" s="31" t="str">
        <f t="shared" si="292"/>
        <v>-458.261448598754+665.568479229499i</v>
      </c>
      <c r="AA521" s="17">
        <f t="shared" si="303"/>
        <v>808.07484542936766</v>
      </c>
      <c r="AB521" s="17">
        <f t="shared" si="304"/>
        <v>2.1737802901427301</v>
      </c>
      <c r="AC521" s="66" t="str">
        <f t="shared" si="305"/>
        <v>0.00107976118867951+0.00192344335563198i</v>
      </c>
      <c r="AD521" s="64">
        <f t="shared" si="306"/>
        <v>-53.128708658287771</v>
      </c>
      <c r="AE521" s="61">
        <f t="shared" si="307"/>
        <v>60.691502774245556</v>
      </c>
      <c r="AF521" s="31" t="str">
        <f t="shared" si="293"/>
        <v>-1.33333333333333E-06</v>
      </c>
      <c r="AG521" s="31" t="str">
        <f t="shared" si="294"/>
        <v>6.73928690938324i</v>
      </c>
      <c r="AH521" s="31">
        <f t="shared" si="308"/>
        <v>6.7392869093832397</v>
      </c>
      <c r="AI521" s="31">
        <f t="shared" si="309"/>
        <v>1.5707963267948966</v>
      </c>
      <c r="AJ521" s="31" t="str">
        <f t="shared" si="295"/>
        <v>1+21.7916844258655i</v>
      </c>
      <c r="AK521" s="31">
        <f t="shared" si="310"/>
        <v>21.814616891353122</v>
      </c>
      <c r="AL521" s="31">
        <f t="shared" si="311"/>
        <v>1.5249394333750586</v>
      </c>
      <c r="AM521" s="31" t="str">
        <f t="shared" si="296"/>
        <v>1+21813.4761102914i</v>
      </c>
      <c r="AN521" s="31">
        <f t="shared" si="312"/>
        <v>21813.476133213011</v>
      </c>
      <c r="AO521" s="31">
        <f t="shared" si="313"/>
        <v>1.5707504835742085</v>
      </c>
      <c r="AP521" s="58" t="str">
        <f t="shared" si="314"/>
        <v>-9.05983756552396E-06+0.000197626966046142i</v>
      </c>
      <c r="AQ521" s="49">
        <f t="shared" si="315"/>
        <v>-74.073958410226084</v>
      </c>
      <c r="AR521" s="61">
        <f t="shared" si="316"/>
        <v>92.624779831473248</v>
      </c>
      <c r="AS521" s="58" t="str">
        <f t="shared" si="317"/>
        <v>-3.89906735714152E-07+1.95963843404595E-07i</v>
      </c>
      <c r="AT521" s="64">
        <f t="shared" si="318"/>
        <v>-127.20266706851385</v>
      </c>
      <c r="AU521" s="61">
        <f t="shared" si="319"/>
        <v>153.31628260571881</v>
      </c>
    </row>
    <row r="522" spans="14:47" x14ac:dyDescent="0.3">
      <c r="N522" s="10">
        <v>4</v>
      </c>
      <c r="O522" s="50">
        <f t="shared" si="321"/>
        <v>1096478.196143186</v>
      </c>
      <c r="P522" s="48" t="str">
        <f t="shared" si="288"/>
        <v>51201.9230769231</v>
      </c>
      <c r="Q522" s="17" t="str">
        <f t="shared" si="289"/>
        <v>1+321945.825590551i</v>
      </c>
      <c r="R522" s="17">
        <f t="shared" si="297"/>
        <v>321945.82559210405</v>
      </c>
      <c r="S522" s="17">
        <f t="shared" si="298"/>
        <v>1.5707932206822512</v>
      </c>
      <c r="T522" s="17" t="str">
        <f t="shared" si="290"/>
        <v>1+0.0000206681270749489i</v>
      </c>
      <c r="U522" s="17">
        <f t="shared" si="299"/>
        <v>1.0000000002135856</v>
      </c>
      <c r="V522" s="17">
        <f t="shared" si="300"/>
        <v>2.0668127072005956E-5</v>
      </c>
      <c r="W522" s="31" t="str">
        <f t="shared" si="291"/>
        <v>1-11.1607886204724i</v>
      </c>
      <c r="X522" s="17">
        <f t="shared" si="301"/>
        <v>11.205498767608082</v>
      </c>
      <c r="Y522" s="17">
        <f t="shared" si="302"/>
        <v>-1.481435544801883</v>
      </c>
      <c r="Z522" s="31" t="str">
        <f t="shared" si="292"/>
        <v>-479.905773846967+681.071560678505i</v>
      </c>
      <c r="AA522" s="17">
        <f t="shared" si="303"/>
        <v>833.16746368104816</v>
      </c>
      <c r="AB522" s="17">
        <f t="shared" si="304"/>
        <v>2.1846251956686018</v>
      </c>
      <c r="AC522" s="66" t="str">
        <f t="shared" si="305"/>
        <v>0.00107104514979669+0.00185148747973642i</v>
      </c>
      <c r="AD522" s="64">
        <f t="shared" si="306"/>
        <v>-53.395952701360429</v>
      </c>
      <c r="AE522" s="61">
        <f t="shared" si="307"/>
        <v>59.951554296032796</v>
      </c>
      <c r="AF522" s="31" t="str">
        <f t="shared" si="293"/>
        <v>-1.33333333333333E-06</v>
      </c>
      <c r="AG522" s="31" t="str">
        <f t="shared" si="294"/>
        <v>6.89626506734129i</v>
      </c>
      <c r="AH522" s="31">
        <f t="shared" si="308"/>
        <v>6.8962650673412904</v>
      </c>
      <c r="AI522" s="31">
        <f t="shared" si="309"/>
        <v>1.5707963267948966</v>
      </c>
      <c r="AJ522" s="31" t="str">
        <f t="shared" si="295"/>
        <v>1+22.2992779629818i</v>
      </c>
      <c r="AK522" s="31">
        <f t="shared" si="310"/>
        <v>22.321688952010906</v>
      </c>
      <c r="AL522" s="31">
        <f t="shared" si="311"/>
        <v>1.5259818504586145</v>
      </c>
      <c r="AM522" s="31" t="str">
        <f t="shared" si="296"/>
        <v>1+22321.5772409448i</v>
      </c>
      <c r="AN522" s="31">
        <f t="shared" si="312"/>
        <v>22321.57726334465</v>
      </c>
      <c r="AO522" s="31">
        <f t="shared" si="313"/>
        <v>1.5707515270933103</v>
      </c>
      <c r="AP522" s="58" t="str">
        <f t="shared" si="314"/>
        <v>-8.65289607689027E-06+0.000193146676172984i</v>
      </c>
      <c r="AQ522" s="49">
        <f t="shared" si="315"/>
        <v>-74.273547645355677</v>
      </c>
      <c r="AR522" s="61">
        <f t="shared" si="316"/>
        <v>92.565113521333529</v>
      </c>
      <c r="AS522" s="58" t="str">
        <f t="shared" si="317"/>
        <v>-3.66876295061833E-07+1.90848081964604E-07i</v>
      </c>
      <c r="AT522" s="64">
        <f t="shared" si="318"/>
        <v>-127.66950034671609</v>
      </c>
      <c r="AU522" s="61">
        <f t="shared" si="319"/>
        <v>152.51666781736631</v>
      </c>
    </row>
    <row r="523" spans="14:47" x14ac:dyDescent="0.3">
      <c r="N523" s="10">
        <v>5</v>
      </c>
      <c r="O523" s="50">
        <f t="shared" si="321"/>
        <v>1122018.4543019643</v>
      </c>
      <c r="P523" s="48" t="str">
        <f t="shared" si="288"/>
        <v>51201.9230769231</v>
      </c>
      <c r="Q523" s="17" t="str">
        <f t="shared" si="289"/>
        <v>1+329444.907220852i</v>
      </c>
      <c r="R523" s="17">
        <f t="shared" si="297"/>
        <v>329444.90722236974</v>
      </c>
      <c r="S523" s="17">
        <f t="shared" si="298"/>
        <v>1.570793291386007</v>
      </c>
      <c r="T523" s="17" t="str">
        <f t="shared" si="290"/>
        <v>1+0.0000211495495993634i</v>
      </c>
      <c r="U523" s="17">
        <f t="shared" si="299"/>
        <v>1.0000000002236518</v>
      </c>
      <c r="V523" s="17">
        <f t="shared" si="300"/>
        <v>2.1149549596209977E-5</v>
      </c>
      <c r="W523" s="31" t="str">
        <f t="shared" si="291"/>
        <v>1-11.4207567836562i</v>
      </c>
      <c r="X523" s="17">
        <f t="shared" si="301"/>
        <v>11.464453127446992</v>
      </c>
      <c r="Y523" s="17">
        <f t="shared" si="302"/>
        <v>-1.4834591972507125</v>
      </c>
      <c r="Z523" s="31" t="str">
        <f t="shared" si="292"/>
        <v>-502.570164717668+696.93575528403i</v>
      </c>
      <c r="AA523" s="17">
        <f t="shared" si="303"/>
        <v>859.24165253883336</v>
      </c>
      <c r="AB523" s="17">
        <f t="shared" si="304"/>
        <v>2.1955526918603603</v>
      </c>
      <c r="AC523" s="66" t="str">
        <f t="shared" si="305"/>
        <v>0.00106151611897851+0.00178138357932531i</v>
      </c>
      <c r="AD523" s="64">
        <f t="shared" si="306"/>
        <v>-53.665170081667398</v>
      </c>
      <c r="AE523" s="61">
        <f t="shared" si="307"/>
        <v>59.209531671532417</v>
      </c>
      <c r="AF523" s="31" t="str">
        <f t="shared" si="293"/>
        <v>-1.33333333333333E-06</v>
      </c>
      <c r="AG523" s="31" t="str">
        <f t="shared" si="294"/>
        <v>7.05689971632091i</v>
      </c>
      <c r="AH523" s="31">
        <f t="shared" si="308"/>
        <v>7.0568997163209097</v>
      </c>
      <c r="AI523" s="31">
        <f t="shared" si="309"/>
        <v>1.5707963267948966</v>
      </c>
      <c r="AJ523" s="31" t="str">
        <f t="shared" si="295"/>
        <v>1+22.8186948724399i</v>
      </c>
      <c r="AK523" s="31">
        <f t="shared" si="310"/>
        <v>22.840596219921995</v>
      </c>
      <c r="AL523" s="31">
        <f t="shared" si="311"/>
        <v>1.5270006334143602</v>
      </c>
      <c r="AM523" s="31" t="str">
        <f t="shared" si="296"/>
        <v>1+22841.5135673124i</v>
      </c>
      <c r="AN523" s="31">
        <f t="shared" si="312"/>
        <v>22841.513589202368</v>
      </c>
      <c r="AO523" s="31">
        <f t="shared" si="313"/>
        <v>1.5707525468590173</v>
      </c>
      <c r="AP523" s="58" t="str">
        <f t="shared" si="314"/>
        <v>-8.26419810252782E-06+0.000188767155249716i</v>
      </c>
      <c r="AQ523" s="49">
        <f t="shared" si="315"/>
        <v>-74.473155331678996</v>
      </c>
      <c r="AR523" s="61">
        <f t="shared" si="316"/>
        <v>92.50679998600053</v>
      </c>
      <c r="AS523" s="58" t="str">
        <f t="shared" si="317"/>
        <v>-3.4503929017406E-07+1.85657671235158E-07i</v>
      </c>
      <c r="AT523" s="64">
        <f t="shared" si="318"/>
        <v>-128.13832541334642</v>
      </c>
      <c r="AU523" s="61">
        <f t="shared" si="319"/>
        <v>151.71633165753292</v>
      </c>
    </row>
    <row r="524" spans="14:47" x14ac:dyDescent="0.3">
      <c r="N524" s="10">
        <v>6</v>
      </c>
      <c r="O524" s="50">
        <f t="shared" si="321"/>
        <v>1148153.6214968837</v>
      </c>
      <c r="P524" s="48" t="str">
        <f t="shared" si="288"/>
        <v>51201.9230769231</v>
      </c>
      <c r="Q524" s="17" t="str">
        <f t="shared" si="289"/>
        <v>1+337118.664901681i</v>
      </c>
      <c r="R524" s="17">
        <f t="shared" si="297"/>
        <v>337118.6649031642</v>
      </c>
      <c r="S524" s="17">
        <f t="shared" si="298"/>
        <v>1.570793360480349</v>
      </c>
      <c r="T524" s="17" t="str">
        <f t="shared" si="290"/>
        <v>1+0.0000216421858949228i</v>
      </c>
      <c r="U524" s="17">
        <f t="shared" si="299"/>
        <v>1.0000000002341922</v>
      </c>
      <c r="V524" s="17">
        <f t="shared" si="300"/>
        <v>2.1642185891543847E-5</v>
      </c>
      <c r="W524" s="31" t="str">
        <f t="shared" si="291"/>
        <v>1-11.6867803832583i</v>
      </c>
      <c r="X524" s="17">
        <f t="shared" si="301"/>
        <v>11.729485740070237</v>
      </c>
      <c r="Y524" s="17">
        <f t="shared" si="302"/>
        <v>-1.4854374789539477</v>
      </c>
      <c r="Z524" s="31" t="str">
        <f t="shared" si="292"/>
        <v>-526.302695422564+713.169474452043i</v>
      </c>
      <c r="AA524" s="17">
        <f t="shared" si="303"/>
        <v>886.34374059913091</v>
      </c>
      <c r="AB524" s="17">
        <f t="shared" si="304"/>
        <v>2.2065582295724515</v>
      </c>
      <c r="AC524" s="66" t="str">
        <f t="shared" si="305"/>
        <v>0.00105121152263992+0.0017131142712195i</v>
      </c>
      <c r="AD524" s="64">
        <f t="shared" si="306"/>
        <v>-53.936394716789152</v>
      </c>
      <c r="AE524" s="61">
        <f t="shared" si="307"/>
        <v>58.465637884240763</v>
      </c>
      <c r="AF524" s="31" t="str">
        <f t="shared" si="293"/>
        <v>-1.33333333333333E-06</v>
      </c>
      <c r="AG524" s="31" t="str">
        <f t="shared" si="294"/>
        <v>7.22127602693923i</v>
      </c>
      <c r="AH524" s="31">
        <f t="shared" si="308"/>
        <v>7.22127602693923</v>
      </c>
      <c r="AI524" s="31">
        <f t="shared" si="309"/>
        <v>1.5707963267948966</v>
      </c>
      <c r="AJ524" s="31" t="str">
        <f t="shared" si="295"/>
        <v>1+23.3502105559606i</v>
      </c>
      <c r="AK524" s="31">
        <f t="shared" si="310"/>
        <v>23.371613829765671</v>
      </c>
      <c r="AL524" s="31">
        <f t="shared" si="311"/>
        <v>1.5279963139503776</v>
      </c>
      <c r="AM524" s="31" t="str">
        <f t="shared" si="296"/>
        <v>1+23373.5607665166i</v>
      </c>
      <c r="AN524" s="31">
        <f t="shared" si="312"/>
        <v>23373.560787908289</v>
      </c>
      <c r="AO524" s="31">
        <f t="shared" si="313"/>
        <v>1.5707535434120232</v>
      </c>
      <c r="AP524" s="58" t="str">
        <f t="shared" si="314"/>
        <v>-7.89292885502041E-06+0.000184486190242496i</v>
      </c>
      <c r="AQ524" s="49">
        <f t="shared" si="315"/>
        <v>-74.672780641940932</v>
      </c>
      <c r="AR524" s="61">
        <f t="shared" si="316"/>
        <v>92.449808791824708</v>
      </c>
      <c r="AS524" s="58" t="str">
        <f t="shared" si="317"/>
        <v>-3.2434306310711E-07+1.80412519887597E-07i</v>
      </c>
      <c r="AT524" s="64">
        <f t="shared" si="318"/>
        <v>-128.60917535873008</v>
      </c>
      <c r="AU524" s="61">
        <f t="shared" si="319"/>
        <v>150.91544667606541</v>
      </c>
    </row>
    <row r="525" spans="14:47" x14ac:dyDescent="0.3">
      <c r="N525" s="10">
        <v>7</v>
      </c>
      <c r="O525" s="50">
        <f t="shared" si="321"/>
        <v>1174897.5549395324</v>
      </c>
      <c r="P525" s="48" t="str">
        <f t="shared" si="288"/>
        <v>51201.9230769231</v>
      </c>
      <c r="Q525" s="17" t="str">
        <f t="shared" si="289"/>
        <v>1+344971.167360935i</v>
      </c>
      <c r="R525" s="17">
        <f t="shared" si="297"/>
        <v>344971.16736238444</v>
      </c>
      <c r="S525" s="17">
        <f t="shared" si="298"/>
        <v>1.5707934280019116</v>
      </c>
      <c r="T525" s="17" t="str">
        <f t="shared" si="290"/>
        <v>1+0.0000221462971639119i</v>
      </c>
      <c r="U525" s="17">
        <f t="shared" si="299"/>
        <v>1.0000000002452292</v>
      </c>
      <c r="V525" s="17">
        <f t="shared" si="300"/>
        <v>2.2146297160291289E-5</v>
      </c>
      <c r="W525" s="31" t="str">
        <f t="shared" si="291"/>
        <v>1-11.9590004685124i</v>
      </c>
      <c r="X525" s="17">
        <f t="shared" si="301"/>
        <v>12.000737152603577</v>
      </c>
      <c r="Y525" s="17">
        <f t="shared" si="302"/>
        <v>-1.4873713768507602</v>
      </c>
      <c r="Z525" s="31" t="str">
        <f t="shared" si="292"/>
        <v>-551.153705841158+729.781325515325i</v>
      </c>
      <c r="AA525" s="17">
        <f t="shared" si="303"/>
        <v>914.52238383395854</v>
      </c>
      <c r="AB525" s="17">
        <f t="shared" si="304"/>
        <v>2.2176370750491903</v>
      </c>
      <c r="AC525" s="66" t="str">
        <f t="shared" si="305"/>
        <v>0.00104016882719122+0.00164666227644128i</v>
      </c>
      <c r="AD525" s="64">
        <f t="shared" si="306"/>
        <v>-54.20965882922183</v>
      </c>
      <c r="AE525" s="61">
        <f t="shared" si="307"/>
        <v>57.720087623796829</v>
      </c>
      <c r="AF525" s="31" t="str">
        <f t="shared" si="293"/>
        <v>-1.33333333333333E-06</v>
      </c>
      <c r="AG525" s="31" t="str">
        <f t="shared" si="294"/>
        <v>7.38948115369193i</v>
      </c>
      <c r="AH525" s="31">
        <f t="shared" si="308"/>
        <v>7.3894811536919303</v>
      </c>
      <c r="AI525" s="31">
        <f t="shared" si="309"/>
        <v>1.5707963267948966</v>
      </c>
      <c r="AJ525" s="31" t="str">
        <f t="shared" si="295"/>
        <v>1+23.8941068301946i</v>
      </c>
      <c r="AK525" s="31">
        <f t="shared" si="310"/>
        <v>23.915023337073126</v>
      </c>
      <c r="AL525" s="31">
        <f t="shared" si="311"/>
        <v>1.5289694120883881</v>
      </c>
      <c r="AM525" s="31" t="str">
        <f t="shared" si="296"/>
        <v>1+23918.0009370248i</v>
      </c>
      <c r="AN525" s="31">
        <f t="shared" si="312"/>
        <v>23918.000957929558</v>
      </c>
      <c r="AO525" s="31">
        <f t="shared" si="313"/>
        <v>1.5707545172807131</v>
      </c>
      <c r="AP525" s="58" t="str">
        <f t="shared" si="314"/>
        <v>-7.53830966585681E-06+0.000180301613139785i</v>
      </c>
      <c r="AQ525" s="49">
        <f t="shared" si="315"/>
        <v>-74.872422785839603</v>
      </c>
      <c r="AR525" s="61">
        <f t="shared" si="316"/>
        <v>92.394110174030388</v>
      </c>
      <c r="AS525" s="58" t="str">
        <f t="shared" si="317"/>
        <v>-3.04736979462932E-07+1.75131067325396E-07i</v>
      </c>
      <c r="AT525" s="64">
        <f t="shared" si="318"/>
        <v>-129.08208161506141</v>
      </c>
      <c r="AU525" s="61">
        <f t="shared" si="319"/>
        <v>150.11419779782727</v>
      </c>
    </row>
    <row r="526" spans="14:47" x14ac:dyDescent="0.3">
      <c r="N526" s="10">
        <v>8</v>
      </c>
      <c r="O526" s="50">
        <f t="shared" si="321"/>
        <v>1202264.4346174158</v>
      </c>
      <c r="P526" s="48" t="str">
        <f t="shared" si="288"/>
        <v>51201.9230769231</v>
      </c>
      <c r="Q526" s="17" t="str">
        <f t="shared" si="289"/>
        <v>1+353006.578099356i</v>
      </c>
      <c r="R526" s="17">
        <f t="shared" si="297"/>
        <v>353006.57810077234</v>
      </c>
      <c r="S526" s="17">
        <f t="shared" si="298"/>
        <v>1.5707934939864958</v>
      </c>
      <c r="T526" s="17" t="str">
        <f t="shared" si="290"/>
        <v>1+0.0000226621506927982i</v>
      </c>
      <c r="U526" s="17">
        <f t="shared" si="299"/>
        <v>1.0000000002567866</v>
      </c>
      <c r="V526" s="17">
        <f t="shared" si="300"/>
        <v>2.2662150688918643E-5</v>
      </c>
      <c r="W526" s="31" t="str">
        <f t="shared" si="291"/>
        <v>1-12.237561374111i</v>
      </c>
      <c r="X526" s="17">
        <f t="shared" si="301"/>
        <v>12.278351207924194</v>
      </c>
      <c r="Y526" s="17">
        <f t="shared" si="302"/>
        <v>-1.4892618584256319</v>
      </c>
      <c r="Z526" s="31" t="str">
        <f t="shared" si="292"/>
        <v>-577.175908298375+746.780116297192i</v>
      </c>
      <c r="AA526" s="17">
        <f t="shared" si="303"/>
        <v>943.82867683542111</v>
      </c>
      <c r="AB526" s="17">
        <f t="shared" si="304"/>
        <v>2.2287843180636644</v>
      </c>
      <c r="AC526" s="66" t="str">
        <f t="shared" si="305"/>
        <v>0.00102842555031534+0.00158201032010168i</v>
      </c>
      <c r="AD526" s="64">
        <f t="shared" si="306"/>
        <v>-54.484992845840168</v>
      </c>
      <c r="AE526" s="61">
        <f t="shared" si="307"/>
        <v>56.973106805965116</v>
      </c>
      <c r="AF526" s="31" t="str">
        <f t="shared" si="293"/>
        <v>-1.33333333333333E-06</v>
      </c>
      <c r="AG526" s="31" t="str">
        <f t="shared" si="294"/>
        <v>7.56160428116365i</v>
      </c>
      <c r="AH526" s="31">
        <f t="shared" si="308"/>
        <v>7.5616042811636497</v>
      </c>
      <c r="AI526" s="31">
        <f t="shared" si="309"/>
        <v>1.5707963267948966</v>
      </c>
      <c r="AJ526" s="31" t="str">
        <f t="shared" si="295"/>
        <v>1+24.4506720761458i</v>
      </c>
      <c r="AK526" s="31">
        <f t="shared" si="310"/>
        <v>24.471112867526397</v>
      </c>
      <c r="AL526" s="31">
        <f t="shared" si="311"/>
        <v>1.5299204364021364</v>
      </c>
      <c r="AM526" s="31" t="str">
        <f t="shared" si="296"/>
        <v>1+24475.122748222i</v>
      </c>
      <c r="AN526" s="31">
        <f t="shared" si="312"/>
        <v>24475.122768650901</v>
      </c>
      <c r="AO526" s="31">
        <f t="shared" si="313"/>
        <v>1.5707554689814454</v>
      </c>
      <c r="AP526" s="58" t="str">
        <f t="shared" si="314"/>
        <v>-7.19959640813796E-06+0.000176211300280761i</v>
      </c>
      <c r="AQ526" s="49">
        <f t="shared" si="315"/>
        <v>-75.0720810083874</v>
      </c>
      <c r="AR526" s="61">
        <f t="shared" si="316"/>
        <v>92.339675023073625</v>
      </c>
      <c r="AS526" s="58" t="str">
        <f t="shared" si="317"/>
        <v>-2.86172344460788E-07+1.69830367644782E-07i</v>
      </c>
      <c r="AT526" s="64">
        <f t="shared" si="318"/>
        <v>-129.55707385422755</v>
      </c>
      <c r="AU526" s="61">
        <f t="shared" si="319"/>
        <v>149.31278182903878</v>
      </c>
    </row>
    <row r="527" spans="14:47" x14ac:dyDescent="0.3">
      <c r="N527" s="10">
        <v>9</v>
      </c>
      <c r="O527" s="50">
        <f t="shared" si="321"/>
        <v>1230268.770812382</v>
      </c>
      <c r="P527" s="48" t="str">
        <f t="shared" si="288"/>
        <v>51201.9230769231</v>
      </c>
      <c r="Q527" s="17" t="str">
        <f t="shared" si="289"/>
        <v>1+361229.157598079i</v>
      </c>
      <c r="R527" s="17">
        <f t="shared" si="297"/>
        <v>361229.15759946319</v>
      </c>
      <c r="S527" s="17">
        <f t="shared" si="298"/>
        <v>1.5707935584690875</v>
      </c>
      <c r="T527" s="17" t="str">
        <f t="shared" si="290"/>
        <v>1+0.0000231900199939508i</v>
      </c>
      <c r="U527" s="17">
        <f t="shared" si="299"/>
        <v>1.0000000002688885</v>
      </c>
      <c r="V527" s="17">
        <f t="shared" si="300"/>
        <v>2.3190019989793779E-5</v>
      </c>
      <c r="W527" s="31" t="str">
        <f t="shared" si="291"/>
        <v>1-12.5226107967334i</v>
      </c>
      <c r="X527" s="17">
        <f t="shared" si="301"/>
        <v>12.562475121028655</v>
      </c>
      <c r="Y527" s="17">
        <f t="shared" si="302"/>
        <v>-1.4911098719553828</v>
      </c>
      <c r="Z527" s="31" t="str">
        <f t="shared" si="292"/>
        <v>-604.424499374485+764.174859781522i</v>
      </c>
      <c r="AA527" s="17">
        <f t="shared" si="303"/>
        <v>974.31626886047923</v>
      </c>
      <c r="AB527" s="17">
        <f t="shared" si="304"/>
        <v>2.2399948810225165</v>
      </c>
      <c r="AC527" s="66" t="str">
        <f t="shared" si="305"/>
        <v>0.00101601926256437+0.00151914103356465i</v>
      </c>
      <c r="AD527" s="64">
        <f t="shared" si="306"/>
        <v>-54.762425301050179</v>
      </c>
      <c r="AE527" s="61">
        <f t="shared" si="307"/>
        <v>56.224932036822118</v>
      </c>
      <c r="AF527" s="31" t="str">
        <f t="shared" si="293"/>
        <v>-1.33333333333333E-06</v>
      </c>
      <c r="AG527" s="31" t="str">
        <f t="shared" si="294"/>
        <v>7.7377366713149i</v>
      </c>
      <c r="AH527" s="31">
        <f t="shared" si="308"/>
        <v>7.7377366713148996</v>
      </c>
      <c r="AI527" s="31">
        <f t="shared" si="309"/>
        <v>1.5707963267948966</v>
      </c>
      <c r="AJ527" s="31" t="str">
        <f t="shared" si="295"/>
        <v>1+25.0202013920747i</v>
      </c>
      <c r="AK527" s="31">
        <f t="shared" si="310"/>
        <v>25.040177269739459</v>
      </c>
      <c r="AL527" s="31">
        <f t="shared" si="311"/>
        <v>1.5308498842521694</v>
      </c>
      <c r="AM527" s="31" t="str">
        <f t="shared" si="296"/>
        <v>1+25045.2215934668i</v>
      </c>
      <c r="AN527" s="31">
        <f t="shared" si="312"/>
        <v>25045.221613430684</v>
      </c>
      <c r="AO527" s="31">
        <f t="shared" si="313"/>
        <v>1.5707563990188242</v>
      </c>
      <c r="AP527" s="58" t="str">
        <f t="shared" si="314"/>
        <v>-0.0000068760779860597+0.000172213171675872i</v>
      </c>
      <c r="AQ527" s="49">
        <f t="shared" si="315"/>
        <v>-75.271754588344123</v>
      </c>
      <c r="AR527" s="61">
        <f t="shared" si="316"/>
        <v>92.286474871205826</v>
      </c>
      <c r="AS527" s="58" t="str">
        <f t="shared" si="317"/>
        <v>-2.68602323297862E-07+1.64526167471377E-07i</v>
      </c>
      <c r="AT527" s="64">
        <f t="shared" si="318"/>
        <v>-130.0341798893943</v>
      </c>
      <c r="AU527" s="61">
        <f t="shared" si="319"/>
        <v>148.51140690802788</v>
      </c>
    </row>
    <row r="528" spans="14:47" x14ac:dyDescent="0.3">
      <c r="N528" s="10">
        <v>10</v>
      </c>
      <c r="O528" s="50">
        <f t="shared" si="321"/>
        <v>1258925.4117941677</v>
      </c>
      <c r="P528" s="48" t="str">
        <f t="shared" si="288"/>
        <v>51201.9230769231</v>
      </c>
      <c r="Q528" s="17" t="str">
        <f t="shared" si="289"/>
        <v>1+369643.265577594i</v>
      </c>
      <c r="R528" s="17">
        <f t="shared" si="297"/>
        <v>369643.26557894662</v>
      </c>
      <c r="S528" s="17">
        <f t="shared" si="298"/>
        <v>1.5707936214838762</v>
      </c>
      <c r="T528" s="17" t="str">
        <f t="shared" si="290"/>
        <v>1+0.0000237301849506604i</v>
      </c>
      <c r="U528" s="17">
        <f t="shared" si="299"/>
        <v>1.000000000281561</v>
      </c>
      <c r="V528" s="17">
        <f t="shared" si="300"/>
        <v>2.3730184946206073E-5</v>
      </c>
      <c r="W528" s="31" t="str">
        <f t="shared" si="291"/>
        <v>1-12.8142998733566i</v>
      </c>
      <c r="X528" s="17">
        <f t="shared" si="301"/>
        <v>12.853259557182644</v>
      </c>
      <c r="Y528" s="17">
        <f t="shared" si="302"/>
        <v>-1.4929163467630981</v>
      </c>
      <c r="Z528" s="31" t="str">
        <f t="shared" si="292"/>
        <v>-632.957276984447+781.974778891558i</v>
      </c>
      <c r="AA528" s="17">
        <f t="shared" si="303"/>
        <v>1006.0414848852243</v>
      </c>
      <c r="AB528" s="17">
        <f t="shared" si="304"/>
        <v>2.2512635290094627</v>
      </c>
      <c r="AC528" s="66" t="str">
        <f t="shared" si="305"/>
        <v>0.00100298757946007+0.00145803685967468i</v>
      </c>
      <c r="AD528" s="64">
        <f t="shared" si="306"/>
        <v>-55.041982744409594</v>
      </c>
      <c r="AE528" s="61">
        <f t="shared" si="307"/>
        <v>55.475810022763625</v>
      </c>
      <c r="AF528" s="31" t="str">
        <f t="shared" si="293"/>
        <v>-1.33333333333333E-06</v>
      </c>
      <c r="AG528" s="31" t="str">
        <f t="shared" si="294"/>
        <v>7.91797171187035i</v>
      </c>
      <c r="AH528" s="31">
        <f t="shared" si="308"/>
        <v>7.9179717118703499</v>
      </c>
      <c r="AI528" s="31">
        <f t="shared" si="309"/>
        <v>1.5707963267948966</v>
      </c>
      <c r="AJ528" s="31" t="str">
        <f t="shared" si="295"/>
        <v>1+25.6029967499632i</v>
      </c>
      <c r="AK528" s="31">
        <f t="shared" si="310"/>
        <v>25.622518271602932</v>
      </c>
      <c r="AL528" s="31">
        <f t="shared" si="311"/>
        <v>1.531758242016976</v>
      </c>
      <c r="AM528" s="31" t="str">
        <f t="shared" si="296"/>
        <v>1+25628.5997467132i</v>
      </c>
      <c r="AN528" s="31">
        <f t="shared" si="312"/>
        <v>25628.599766222651</v>
      </c>
      <c r="AO528" s="31">
        <f t="shared" si="313"/>
        <v>1.5707573078859678</v>
      </c>
      <c r="AP528" s="58" t="str">
        <f t="shared" si="314"/>
        <v>-6.56707488853166E-06+0.000168305190321206i</v>
      </c>
      <c r="AQ528" s="49">
        <f t="shared" si="315"/>
        <v>-75.471442836718623</v>
      </c>
      <c r="AR528" s="61">
        <f t="shared" si="316"/>
        <v>92.234481879245934</v>
      </c>
      <c r="AS528" s="58" t="str">
        <f t="shared" si="317"/>
        <v>-2.51981865709462E-07+1.5923297820311E-07i</v>
      </c>
      <c r="AT528" s="64">
        <f t="shared" si="318"/>
        <v>-130.51342558112822</v>
      </c>
      <c r="AU528" s="61">
        <f t="shared" si="319"/>
        <v>147.71029190200952</v>
      </c>
    </row>
    <row r="529" spans="14:47" x14ac:dyDescent="0.3">
      <c r="N529" s="10">
        <v>11</v>
      </c>
      <c r="O529" s="50">
        <f t="shared" si="321"/>
        <v>1288249.5516931366</v>
      </c>
      <c r="P529" s="48" t="str">
        <f t="shared" si="288"/>
        <v>51201.9230769231</v>
      </c>
      <c r="Q529" s="17" t="str">
        <f t="shared" si="289"/>
        <v>1+378253.363309327i</v>
      </c>
      <c r="R529" s="17">
        <f t="shared" si="297"/>
        <v>378253.36331064883</v>
      </c>
      <c r="S529" s="17">
        <f t="shared" si="298"/>
        <v>1.5707936830642732</v>
      </c>
      <c r="T529" s="17" t="str">
        <f t="shared" si="290"/>
        <v>1+0.000024282931965537i</v>
      </c>
      <c r="U529" s="17">
        <f t="shared" si="299"/>
        <v>1.0000000002948304</v>
      </c>
      <c r="V529" s="17">
        <f t="shared" si="300"/>
        <v>2.4282931960764101E-5</v>
      </c>
      <c r="W529" s="31" t="str">
        <f t="shared" si="291"/>
        <v>1-13.11278326139i</v>
      </c>
      <c r="X529" s="17">
        <f t="shared" si="301"/>
        <v>13.150858711893674</v>
      </c>
      <c r="Y529" s="17">
        <f t="shared" si="302"/>
        <v>-1.4946821934780139</v>
      </c>
      <c r="Z529" s="31" t="str">
        <f t="shared" si="292"/>
        <v>-662.834762975027+800.189311380025i</v>
      </c>
      <c r="AA529" s="17">
        <f t="shared" si="303"/>
        <v>1039.0634518906913</v>
      </c>
      <c r="AB529" s="17">
        <f t="shared" si="304"/>
        <v>2.2625848807311422</v>
      </c>
      <c r="AC529" s="66" t="str">
        <f t="shared" si="305"/>
        <v>0.00098936814437163+0.00139867996183376i</v>
      </c>
      <c r="AD529" s="64">
        <f t="shared" si="306"/>
        <v>-55.323689653483719</v>
      </c>
      <c r="AE529" s="61">
        <f t="shared" si="307"/>
        <v>54.725996928470693</v>
      </c>
      <c r="AF529" s="31" t="str">
        <f t="shared" si="293"/>
        <v>-1.33333333333333E-06</v>
      </c>
      <c r="AG529" s="31" t="str">
        <f t="shared" si="294"/>
        <v>8.10240496583419i</v>
      </c>
      <c r="AH529" s="31">
        <f t="shared" si="308"/>
        <v>8.1024049658341895</v>
      </c>
      <c r="AI529" s="31">
        <f t="shared" si="309"/>
        <v>1.5707963267948966</v>
      </c>
      <c r="AJ529" s="31" t="str">
        <f t="shared" si="295"/>
        <v>1+26.1993671556243i</v>
      </c>
      <c r="AK529" s="31">
        <f t="shared" si="310"/>
        <v>26.218444640275774</v>
      </c>
      <c r="AL529" s="31">
        <f t="shared" si="311"/>
        <v>1.5326459853204581</v>
      </c>
      <c r="AM529" s="31" t="str">
        <f t="shared" si="296"/>
        <v>1+26225.56652278i</v>
      </c>
      <c r="AN529" s="31">
        <f t="shared" si="312"/>
        <v>26225.566541845361</v>
      </c>
      <c r="AO529" s="31">
        <f t="shared" si="313"/>
        <v>1.5707581960647694</v>
      </c>
      <c r="AP529" s="58" t="str">
        <f t="shared" si="314"/>
        <v>-6.27193780438044E-06+0.000164485361508238i</v>
      </c>
      <c r="AQ529" s="49">
        <f t="shared" si="315"/>
        <v>-75.671145095335646</v>
      </c>
      <c r="AR529" s="61">
        <f t="shared" si="316"/>
        <v>92.183668823562201</v>
      </c>
      <c r="AS529" s="58" t="str">
        <f t="shared" si="317"/>
        <v>-2.36267634623689E-07+1.53964143162848E-07i</v>
      </c>
      <c r="AT529" s="64">
        <f t="shared" si="318"/>
        <v>-130.99483474881936</v>
      </c>
      <c r="AU529" s="61">
        <f t="shared" si="319"/>
        <v>146.90966575203285</v>
      </c>
    </row>
    <row r="530" spans="14:47" x14ac:dyDescent="0.3">
      <c r="N530" s="10">
        <v>12</v>
      </c>
      <c r="O530" s="50">
        <f t="shared" si="321"/>
        <v>1318256.7385564097</v>
      </c>
      <c r="P530" s="48" t="str">
        <f t="shared" si="288"/>
        <v>51201.9230769231</v>
      </c>
      <c r="Q530" s="17" t="str">
        <f t="shared" si="289"/>
        <v>1+387064.01598106i</v>
      </c>
      <c r="R530" s="17">
        <f t="shared" si="297"/>
        <v>387064.01598235173</v>
      </c>
      <c r="S530" s="17">
        <f t="shared" si="298"/>
        <v>1.5707937432429293</v>
      </c>
      <c r="T530" s="17" t="str">
        <f t="shared" si="290"/>
        <v>1+0.0000248485541123644i</v>
      </c>
      <c r="U530" s="17">
        <f t="shared" si="299"/>
        <v>1.0000000003087253</v>
      </c>
      <c r="V530" s="17">
        <f t="shared" si="300"/>
        <v>2.4848554107250148E-5</v>
      </c>
      <c r="W530" s="31" t="str">
        <f t="shared" si="291"/>
        <v>1-13.4182192206768i</v>
      </c>
      <c r="X530" s="17">
        <f t="shared" si="301"/>
        <v>13.455430392749996</v>
      </c>
      <c r="Y530" s="17">
        <f t="shared" si="302"/>
        <v>-1.4964083043005001</v>
      </c>
      <c r="Z530" s="31" t="str">
        <f t="shared" si="292"/>
        <v>-694.120331499755+818.828114833143i</v>
      </c>
      <c r="AA530" s="17">
        <f t="shared" si="303"/>
        <v>1073.4442306158846</v>
      </c>
      <c r="AB530" s="17">
        <f t="shared" si="304"/>
        <v>2.2739534203196552</v>
      </c>
      <c r="AC530" s="66" t="str">
        <f t="shared" si="305"/>
        <v>0.00097519860253472+0.00134105213770277i</v>
      </c>
      <c r="AD530" s="64">
        <f t="shared" si="306"/>
        <v>-55.607568352675798</v>
      </c>
      <c r="AE530" s="61">
        <f t="shared" si="307"/>
        <v>53.975757685500035</v>
      </c>
      <c r="AF530" s="31" t="str">
        <f t="shared" si="293"/>
        <v>-1.33333333333333E-06</v>
      </c>
      <c r="AG530" s="31" t="str">
        <f t="shared" si="294"/>
        <v>8.29113422215891i</v>
      </c>
      <c r="AH530" s="31">
        <f t="shared" si="308"/>
        <v>8.2911342221589095</v>
      </c>
      <c r="AI530" s="31">
        <f t="shared" si="309"/>
        <v>1.5707963267948966</v>
      </c>
      <c r="AJ530" s="31" t="str">
        <f t="shared" si="295"/>
        <v>1+26.8096288125409i</v>
      </c>
      <c r="AK530" s="31">
        <f t="shared" si="310"/>
        <v>26.828272345908211</v>
      </c>
      <c r="AL530" s="31">
        <f t="shared" si="311"/>
        <v>1.5335135792557124</v>
      </c>
      <c r="AM530" s="31" t="str">
        <f t="shared" si="296"/>
        <v>1+26836.4384413535i</v>
      </c>
      <c r="AN530" s="31">
        <f t="shared" si="312"/>
        <v>26836.438459984882</v>
      </c>
      <c r="AO530" s="31">
        <f t="shared" si="313"/>
        <v>1.5707590640261533</v>
      </c>
      <c r="AP530" s="58" t="str">
        <f t="shared" si="314"/>
        <v>-5.99004629666968E-06+0.000160751732130348i</v>
      </c>
      <c r="AQ530" s="49">
        <f t="shared" si="315"/>
        <v>-75.870860735465996</v>
      </c>
      <c r="AR530" s="61">
        <f t="shared" si="316"/>
        <v>92.134009083265042</v>
      </c>
      <c r="AS530" s="58" t="str">
        <f t="shared" si="317"/>
        <v>-2.21417938790457E-07+1.48731900137464E-07i</v>
      </c>
      <c r="AT530" s="64">
        <f t="shared" si="318"/>
        <v>-131.47842908814178</v>
      </c>
      <c r="AU530" s="61">
        <f t="shared" si="319"/>
        <v>146.10976676876504</v>
      </c>
    </row>
    <row r="531" spans="14:47" x14ac:dyDescent="0.3">
      <c r="N531" s="10">
        <v>13</v>
      </c>
      <c r="O531" s="50">
        <f t="shared" si="321"/>
        <v>1348962.8825916562</v>
      </c>
      <c r="P531" s="48" t="str">
        <f t="shared" ref="P531:P560" si="322">COMPLEX(Adc,0)</f>
        <v>51201.9230769231</v>
      </c>
      <c r="Q531" s="17" t="str">
        <f t="shared" ref="Q531:Q560" si="323">IMSUM(COMPLEX(1,0),IMDIV(COMPLEX(0,2*PI()*O531),COMPLEX(wp_lf,0)))</f>
        <v>1+396079.895117464i</v>
      </c>
      <c r="R531" s="17">
        <f t="shared" si="297"/>
        <v>396079.89511872642</v>
      </c>
      <c r="S531" s="17">
        <f t="shared" si="298"/>
        <v>1.5707938020517518</v>
      </c>
      <c r="T531" s="17" t="str">
        <f t="shared" ref="T531:T560" si="324">IMSUM(COMPLEX(1,0),IMDIV(COMPLEX(0,2*PI()*O531),COMPLEX(wz_esr,0)))</f>
        <v>1+0.0000254273512914916i</v>
      </c>
      <c r="U531" s="17">
        <f t="shared" si="299"/>
        <v>1.0000000003232752</v>
      </c>
      <c r="V531" s="17">
        <f t="shared" si="300"/>
        <v>2.542735128601158E-5</v>
      </c>
      <c r="W531" s="31" t="str">
        <f t="shared" ref="W531:W560" si="325">IMSUB(COMPLEX(1,0),IMDIV(COMPLEX(0,2*PI()*O531),COMPLEX(wz_rhp,0)))</f>
        <v>1-13.7307696974054i</v>
      </c>
      <c r="X531" s="17">
        <f t="shared" si="301"/>
        <v>13.767136103169257</v>
      </c>
      <c r="Y531" s="17">
        <f t="shared" si="302"/>
        <v>-1.4980955532713331</v>
      </c>
      <c r="Z531" s="31" t="str">
        <f t="shared" ref="Z531:Z560" si="326">IMSUM(COMPLEX(1,0),IMDIV(COMPLEX(0,2*PI()*O531),COMPLEX(Q*(wsl/2),0)),IMDIV(IMPOWER(COMPLEX(0,2*PI()*O531),2),IMPOWER(COMPLEX(wsl/2,0),2)))</f>
        <v>-726.880343443997+837.901071791215i</v>
      </c>
      <c r="AA531" s="17">
        <f t="shared" si="303"/>
        <v>1109.2489530281875</v>
      </c>
      <c r="AB531" s="17">
        <f t="shared" si="304"/>
        <v>2.2853635099370524</v>
      </c>
      <c r="AC531" s="66" t="str">
        <f t="shared" si="305"/>
        <v>0.000960516566665231+0.00128513473827718i</v>
      </c>
      <c r="AD531" s="64">
        <f t="shared" si="306"/>
        <v>-55.893638938743024</v>
      </c>
      <c r="AE531" s="61">
        <f t="shared" si="307"/>
        <v>53.225365254678771</v>
      </c>
      <c r="AF531" s="31" t="str">
        <f t="shared" ref="AF531:AF560" si="327">COMPLEX(Adc_ea,0)</f>
        <v>-1.33333333333333E-06</v>
      </c>
      <c r="AG531" s="31" t="str">
        <f t="shared" ref="AG531:AG560" si="328">COMPLEX(0,2*PI()*O531*wp0_ea)</f>
        <v>8.48425954759435i</v>
      </c>
      <c r="AH531" s="31">
        <f t="shared" si="308"/>
        <v>8.4842595475943501</v>
      </c>
      <c r="AI531" s="31">
        <f t="shared" si="309"/>
        <v>1.5707963267948966</v>
      </c>
      <c r="AJ531" s="31" t="str">
        <f t="shared" ref="AJ531:AJ560" si="329">IMSUM(COMPLEX(1,0),IMDIV(COMPLEX(0,2*PI()*O531),COMPLEX(wp1_ea,0)))</f>
        <v>1+27.4341052895213i</v>
      </c>
      <c r="AK531" s="31">
        <f t="shared" si="310"/>
        <v>27.452324729183513</v>
      </c>
      <c r="AL531" s="31">
        <f t="shared" si="311"/>
        <v>1.5343614786051085</v>
      </c>
      <c r="AM531" s="31" t="str">
        <f t="shared" ref="AM531:AM560" si="330">IMSUM(COMPLEX(1,0),IMDIV(COMPLEX(0,2*PI()*O531),COMPLEX(wz_ea,0)))</f>
        <v>1+27461.5393948109i</v>
      </c>
      <c r="AN531" s="31">
        <f t="shared" si="312"/>
        <v>27461.539413018178</v>
      </c>
      <c r="AO531" s="31">
        <f t="shared" si="313"/>
        <v>1.570759912230324</v>
      </c>
      <c r="AP531" s="58" t="str">
        <f t="shared" si="314"/>
        <v>-5.72080753375677E-06+0.000157102389987429i</v>
      </c>
      <c r="AQ531" s="49">
        <f t="shared" si="315"/>
        <v>-76.07058915651686</v>
      </c>
      <c r="AR531" s="61">
        <f t="shared" si="316"/>
        <v>92.085476627611882</v>
      </c>
      <c r="AS531" s="58" t="str">
        <f t="shared" si="317"/>
        <v>-2.07392669250091E-07+1.43547439752999E-07i</v>
      </c>
      <c r="AT531" s="64">
        <f t="shared" si="318"/>
        <v>-131.96422809525987</v>
      </c>
      <c r="AU531" s="61">
        <f t="shared" si="319"/>
        <v>145.31084188229067</v>
      </c>
    </row>
    <row r="532" spans="14:47" x14ac:dyDescent="0.3">
      <c r="N532" s="10">
        <v>14</v>
      </c>
      <c r="O532" s="50">
        <f t="shared" si="321"/>
        <v>1380384.2646028849</v>
      </c>
      <c r="P532" s="48" t="str">
        <f t="shared" si="322"/>
        <v>51201.9230769231</v>
      </c>
      <c r="Q532" s="17" t="str">
        <f t="shared" si="323"/>
        <v>1+405305.781056997i</v>
      </c>
      <c r="R532" s="17">
        <f t="shared" ref="R532:R560" si="331">IMABS(Q532)</f>
        <v>405305.78105823067</v>
      </c>
      <c r="S532" s="17">
        <f t="shared" ref="S532:S560" si="332">IMARGUMENT(Q532)</f>
        <v>1.5707938595219222</v>
      </c>
      <c r="T532" s="17" t="str">
        <f t="shared" si="324"/>
        <v>1+0.0000260196303888442i</v>
      </c>
      <c r="U532" s="17">
        <f t="shared" ref="U532:U560" si="333">IMABS(T532)</f>
        <v>1.0000000003385106</v>
      </c>
      <c r="V532" s="17">
        <f t="shared" ref="V532:V560" si="334">IMARGUMENT(T532)</f>
        <v>2.6019630382972252E-5</v>
      </c>
      <c r="W532" s="31" t="str">
        <f t="shared" si="325"/>
        <v>1-14.0506004099759i</v>
      </c>
      <c r="X532" s="17">
        <f t="shared" ref="X532:X560" si="335">IMABS(W532)</f>
        <v>14.086141128102293</v>
      </c>
      <c r="Y532" s="17">
        <f t="shared" ref="Y532:Y560" si="336">IMARGUMENT(W532)</f>
        <v>-1.4997447965445179</v>
      </c>
      <c r="Z532" s="31" t="str">
        <f t="shared" si="326"/>
        <v>-761.1842871853+857.418294988482i</v>
      </c>
      <c r="AA532" s="17">
        <f t="shared" ref="AA532:AA560" si="337">IMABS(Z532)</f>
        <v>1146.5459657766664</v>
      </c>
      <c r="AB532" s="17">
        <f t="shared" ref="AB532:AB560" si="338">IMARGUMENT(Z532)</f>
        <v>2.2968094031184276</v>
      </c>
      <c r="AC532" s="66" t="str">
        <f t="shared" ref="AC532:AC560" si="339">(IMDIV(IMPRODUCT(P532,T532,W532),IMPRODUCT(Q532,Z532)))</f>
        <v>0.000945359574709626+0.00123090859305121i</v>
      </c>
      <c r="AD532" s="64">
        <f t="shared" ref="AD532:AD560" si="340">20*LOG(IMABS(AC532))</f>
        <v>-56.18191921366008</v>
      </c>
      <c r="AE532" s="61">
        <f t="shared" ref="AE532:AE560" si="341">(180/PI())*IMARGUMENT(AC532)</f>
        <v>52.47509984597901</v>
      </c>
      <c r="AF532" s="31" t="str">
        <f t="shared" si="327"/>
        <v>-1.33333333333333E-06</v>
      </c>
      <c r="AG532" s="31" t="str">
        <f t="shared" si="328"/>
        <v>8.68188333974436i</v>
      </c>
      <c r="AH532" s="31">
        <f t="shared" ref="AH532:AH560" si="342">IMABS(AG532)</f>
        <v>8.6818833397443598</v>
      </c>
      <c r="AI532" s="31">
        <f t="shared" ref="AI532:AI560" si="343">IMARGUMENT(AG532)</f>
        <v>1.5707963267948966</v>
      </c>
      <c r="AJ532" s="31" t="str">
        <f t="shared" si="329"/>
        <v>1+28.0731276922595i</v>
      </c>
      <c r="AK532" s="31">
        <f t="shared" ref="AK532:AK560" si="344">IMABS(AJ532)</f>
        <v>28.090932672766616</v>
      </c>
      <c r="AL532" s="31">
        <f t="shared" ref="AL532:AL560" si="345">IMARGUMENT(AJ532)</f>
        <v>1.5351901280566562</v>
      </c>
      <c r="AM532" s="31" t="str">
        <f t="shared" si="330"/>
        <v>1+28101.2008199518i</v>
      </c>
      <c r="AN532" s="31">
        <f t="shared" ref="AN532:AN560" si="346">IMABS(AM532)</f>
        <v>28101.200837744629</v>
      </c>
      <c r="AO532" s="31">
        <f t="shared" ref="AO532:AO560" si="347">IMARGUMENT(AM532)</f>
        <v>1.5707607411270106</v>
      </c>
      <c r="AP532" s="58" t="str">
        <f t="shared" ref="AP532:AP560" si="348">IMPRODUCT(AF532,IMDIV(AM532,IMPRODUCT(AG532,AJ532)))</f>
        <v>-5.46365507478688E-06+0.000153535463089777i</v>
      </c>
      <c r="AQ532" s="49">
        <f t="shared" ref="AQ532:AQ560" si="349">20*LOG(IMABS(AP532))</f>
        <v>-76.270329784779577</v>
      </c>
      <c r="AR532" s="61">
        <f t="shared" ref="AR532:AR560" si="350">(180/PI())*IMARGUMENT(AP532)</f>
        <v>92.038046003624203</v>
      </c>
      <c r="AS532" s="58" t="str">
        <f t="shared" ref="AS532:AS560" si="351">IMPRODUCT(AC532,AP532)</f>
        <v>-1.94153239493164E-07+1.38420960108374E-07i</v>
      </c>
      <c r="AT532" s="64">
        <f t="shared" ref="AT532:AT560" si="352">20*LOG(IMABS(AS532))</f>
        <v>-132.45224899843964</v>
      </c>
      <c r="AU532" s="61">
        <f t="shared" ref="AU532:AU560" si="353">(180/PI())*IMARGUMENT(AS532)</f>
        <v>144.51314584960321</v>
      </c>
    </row>
    <row r="533" spans="14:47" x14ac:dyDescent="0.3">
      <c r="N533" s="10">
        <v>15</v>
      </c>
      <c r="O533" s="50">
        <f t="shared" si="321"/>
        <v>1412537.5446227565</v>
      </c>
      <c r="P533" s="48" t="str">
        <f t="shared" si="322"/>
        <v>51201.9230769231</v>
      </c>
      <c r="Q533" s="17" t="str">
        <f t="shared" si="323"/>
        <v>1+414746.565486503i</v>
      </c>
      <c r="R533" s="17">
        <f t="shared" si="331"/>
        <v>414746.56548770849</v>
      </c>
      <c r="S533" s="17">
        <f t="shared" si="332"/>
        <v>1.5707939156839117</v>
      </c>
      <c r="T533" s="17" t="str">
        <f t="shared" si="324"/>
        <v>1+0.0000266257054386397i</v>
      </c>
      <c r="U533" s="17">
        <f t="shared" si="333"/>
        <v>1.000000000354464</v>
      </c>
      <c r="V533" s="17">
        <f t="shared" si="334"/>
        <v>2.6625705432347797E-5</v>
      </c>
      <c r="W533" s="31" t="str">
        <f t="shared" si="325"/>
        <v>1-14.3778809368654i</v>
      </c>
      <c r="X533" s="17">
        <f t="shared" si="335"/>
        <v>14.412614621735971</v>
      </c>
      <c r="Y533" s="17">
        <f t="shared" si="336"/>
        <v>-1.5013568726629598</v>
      </c>
      <c r="Z533" s="31" t="str">
        <f t="shared" si="326"/>
        <v>-797.104925987555+877.390132715027i</v>
      </c>
      <c r="AA533" s="17">
        <f t="shared" si="337"/>
        <v>1185.4069799099877</v>
      </c>
      <c r="AB533" s="17">
        <f t="shared" si="338"/>
        <v>2.3082852587820555</v>
      </c>
      <c r="AC533" s="66" t="str">
        <f t="shared" si="339"/>
        <v>0.000929765040357006+0.00117835394193425i</v>
      </c>
      <c r="AD533" s="64">
        <f t="shared" si="340"/>
        <v>-56.472424625447701</v>
      </c>
      <c r="AE533" s="61">
        <f t="shared" si="341"/>
        <v>51.725248100008677</v>
      </c>
      <c r="AF533" s="31" t="str">
        <f t="shared" si="327"/>
        <v>-1.33333333333333E-06</v>
      </c>
      <c r="AG533" s="31" t="str">
        <f t="shared" si="328"/>
        <v>8.88411038135945i</v>
      </c>
      <c r="AH533" s="31">
        <f t="shared" si="342"/>
        <v>8.8841103813594504</v>
      </c>
      <c r="AI533" s="31">
        <f t="shared" si="343"/>
        <v>1.5707963267948966</v>
      </c>
      <c r="AJ533" s="31" t="str">
        <f t="shared" si="329"/>
        <v>1+28.7270348388919i</v>
      </c>
      <c r="AK533" s="31">
        <f t="shared" si="344"/>
        <v>28.744434776751287</v>
      </c>
      <c r="AL533" s="31">
        <f t="shared" si="345"/>
        <v>1.5359999624166603</v>
      </c>
      <c r="AM533" s="31" t="str">
        <f t="shared" si="330"/>
        <v>1+28755.7618737309i</v>
      </c>
      <c r="AN533" s="31">
        <f t="shared" si="346"/>
        <v>28755.761891118716</v>
      </c>
      <c r="AO533" s="31">
        <f t="shared" si="347"/>
        <v>1.5707615511557051</v>
      </c>
      <c r="AP533" s="58" t="str">
        <f t="shared" si="348"/>
        <v>-5.21804770740691E-06+0.000150049118962365i</v>
      </c>
      <c r="AQ533" s="49">
        <f t="shared" si="349"/>
        <v>-76.470082072232245</v>
      </c>
      <c r="AR533" s="61">
        <f t="shared" si="350"/>
        <v>91.991692323916766</v>
      </c>
      <c r="AS533" s="58" t="str">
        <f t="shared" si="351"/>
        <v>-1.81662529150326E-07+1.33361718062353E-07i</v>
      </c>
      <c r="AT533" s="64">
        <f t="shared" si="352"/>
        <v>-132.94250669767993</v>
      </c>
      <c r="AU533" s="61">
        <f t="shared" si="353"/>
        <v>143.71694042392534</v>
      </c>
    </row>
    <row r="534" spans="14:47" x14ac:dyDescent="0.3">
      <c r="N534" s="10">
        <v>16</v>
      </c>
      <c r="O534" s="50">
        <f t="shared" si="321"/>
        <v>1445439.7707459298</v>
      </c>
      <c r="P534" s="48" t="str">
        <f t="shared" si="322"/>
        <v>51201.9230769231</v>
      </c>
      <c r="Q534" s="17" t="str">
        <f t="shared" si="323"/>
        <v>1+424407.25403485i</v>
      </c>
      <c r="R534" s="17">
        <f t="shared" si="331"/>
        <v>424407.25403602817</v>
      </c>
      <c r="S534" s="17">
        <f t="shared" si="332"/>
        <v>1.5707939705674983</v>
      </c>
      <c r="T534" s="17" t="str">
        <f t="shared" si="324"/>
        <v>1+0.0000272458977898916i</v>
      </c>
      <c r="U534" s="17">
        <f t="shared" si="333"/>
        <v>1.0000000003711693</v>
      </c>
      <c r="V534" s="17">
        <f t="shared" si="334"/>
        <v>2.7245897783149703E-5</v>
      </c>
      <c r="W534" s="31" t="str">
        <f t="shared" si="325"/>
        <v>1-14.7127848065415i</v>
      </c>
      <c r="X534" s="17">
        <f t="shared" si="335"/>
        <v>14.746729697244687</v>
      </c>
      <c r="Y534" s="17">
        <f t="shared" si="336"/>
        <v>-1.5029326028363668</v>
      </c>
      <c r="Z534" s="31" t="str">
        <f t="shared" si="326"/>
        <v>-834.71845234162+897.827174303569i</v>
      </c>
      <c r="AA534" s="17">
        <f t="shared" si="337"/>
        <v>1225.9072271577163</v>
      </c>
      <c r="AB534" s="17">
        <f t="shared" si="338"/>
        <v>2.3197851558274909</v>
      </c>
      <c r="AC534" s="66" t="str">
        <f t="shared" si="339"/>
        <v>0.000913770197016836+0.00112745037452374i</v>
      </c>
      <c r="AD534" s="64">
        <f t="shared" si="340"/>
        <v>-56.76516821751504</v>
      </c>
      <c r="AE534" s="61">
        <f t="shared" si="341"/>
        <v>50.976102235688984</v>
      </c>
      <c r="AF534" s="31" t="str">
        <f t="shared" si="327"/>
        <v>-1.33333333333333E-06</v>
      </c>
      <c r="AG534" s="31" t="str">
        <f t="shared" si="328"/>
        <v>9.09104789589382i</v>
      </c>
      <c r="AH534" s="31">
        <f t="shared" si="342"/>
        <v>9.0910478958938192</v>
      </c>
      <c r="AI534" s="31">
        <f t="shared" si="343"/>
        <v>1.5707963267948966</v>
      </c>
      <c r="AJ534" s="31" t="str">
        <f t="shared" si="329"/>
        <v>1+29.3961734396432i</v>
      </c>
      <c r="AK534" s="31">
        <f t="shared" si="344"/>
        <v>29.413177538198489</v>
      </c>
      <c r="AL534" s="31">
        <f t="shared" si="345"/>
        <v>1.536791406818671</v>
      </c>
      <c r="AM534" s="31" t="str">
        <f t="shared" si="330"/>
        <v>1+29425.5696130829i</v>
      </c>
      <c r="AN534" s="31">
        <f t="shared" si="346"/>
        <v>29425.569630074919</v>
      </c>
      <c r="AO534" s="31">
        <f t="shared" si="347"/>
        <v>1.5707623427458957</v>
      </c>
      <c r="AP534" s="58" t="str">
        <f t="shared" si="348"/>
        <v>-4.98346833556243E-06+0.000146641563950477i</v>
      </c>
      <c r="AQ534" s="49">
        <f t="shared" si="349"/>
        <v>-76.66984549539589</v>
      </c>
      <c r="AR534" s="61">
        <f t="shared" si="350"/>
        <v>91.946391254739297</v>
      </c>
      <c r="AS534" s="58" t="str">
        <f t="shared" si="351"/>
        <v>-1.69884831039526E-07+1.28378077540527E-07i</v>
      </c>
      <c r="AT534" s="64">
        <f t="shared" si="352"/>
        <v>-133.43501371291094</v>
      </c>
      <c r="AU534" s="61">
        <f t="shared" si="353"/>
        <v>142.92249349042828</v>
      </c>
    </row>
    <row r="535" spans="14:47" x14ac:dyDescent="0.3">
      <c r="N535" s="10">
        <v>17</v>
      </c>
      <c r="O535" s="50">
        <f t="shared" si="321"/>
        <v>1479108.3881682095</v>
      </c>
      <c r="P535" s="48" t="str">
        <f t="shared" si="322"/>
        <v>51201.9230769231</v>
      </c>
      <c r="Q535" s="17" t="str">
        <f t="shared" si="323"/>
        <v>1+434292.968926979i</v>
      </c>
      <c r="R535" s="17">
        <f t="shared" si="331"/>
        <v>434292.96892813029</v>
      </c>
      <c r="S535" s="17">
        <f t="shared" si="332"/>
        <v>1.5707940242017819</v>
      </c>
      <c r="T535" s="17" t="str">
        <f t="shared" si="324"/>
        <v>1+0.0000278805362767937i</v>
      </c>
      <c r="U535" s="17">
        <f t="shared" si="333"/>
        <v>1.000000000388662</v>
      </c>
      <c r="V535" s="17">
        <f t="shared" si="334"/>
        <v>2.7880536269569628E-5</v>
      </c>
      <c r="W535" s="31" t="str">
        <f t="shared" si="325"/>
        <v>1-15.0554895894686i</v>
      </c>
      <c r="X535" s="17">
        <f t="shared" si="335"/>
        <v>15.088663518635352</v>
      </c>
      <c r="Y535" s="17">
        <f t="shared" si="336"/>
        <v>-1.5044727912207738</v>
      </c>
      <c r="Z535" s="31" t="str">
        <f t="shared" si="326"/>
        <v>-874.104649579824+918.740255744072i</v>
      </c>
      <c r="AA535" s="17">
        <f t="shared" si="337"/>
        <v>1268.1256230917147</v>
      </c>
      <c r="AB535" s="17">
        <f t="shared" si="338"/>
        <v>2.3313031082358511</v>
      </c>
      <c r="AC535" s="66" t="str">
        <f t="shared" si="339"/>
        <v>0.000897412036036122+0.00107817677726554i</v>
      </c>
      <c r="AD535" s="64">
        <f t="shared" si="340"/>
        <v>-57.06016058700402</v>
      </c>
      <c r="AE535" s="61">
        <f t="shared" si="341"/>
        <v>50.227959169064484</v>
      </c>
      <c r="AF535" s="31" t="str">
        <f t="shared" si="327"/>
        <v>-1.33333333333333E-06</v>
      </c>
      <c r="AG535" s="31" t="str">
        <f t="shared" si="328"/>
        <v>9.30280560435684i</v>
      </c>
      <c r="AH535" s="31">
        <f t="shared" si="342"/>
        <v>9.3028056043568395</v>
      </c>
      <c r="AI535" s="31">
        <f t="shared" si="343"/>
        <v>1.5707963267948966</v>
      </c>
      <c r="AJ535" s="31" t="str">
        <f t="shared" si="329"/>
        <v>1+30.0808982806565i</v>
      </c>
      <c r="AK535" s="31">
        <f t="shared" si="344"/>
        <v>30.097515534861067</v>
      </c>
      <c r="AL535" s="31">
        <f t="shared" si="345"/>
        <v>1.5375648769287336</v>
      </c>
      <c r="AM535" s="31" t="str">
        <f t="shared" si="330"/>
        <v>1+30110.9791789372i</v>
      </c>
      <c r="AN535" s="31">
        <f t="shared" si="346"/>
        <v>30110.979195542433</v>
      </c>
      <c r="AO535" s="31">
        <f t="shared" si="347"/>
        <v>1.5707631163172935</v>
      </c>
      <c r="AP535" s="58" t="str">
        <f t="shared" si="348"/>
        <v>-4.75942291531732E-06+0.000143311042527648i</v>
      </c>
      <c r="AQ535" s="49">
        <f t="shared" si="349"/>
        <v>-76.869619554240174</v>
      </c>
      <c r="AR535" s="61">
        <f t="shared" si="350"/>
        <v>91.902119004229448</v>
      </c>
      <c r="AS535" s="58" t="str">
        <f t="shared" si="351"/>
        <v>-1.58785801387816E-07+1.23477555200715E-07i</v>
      </c>
      <c r="AT535" s="64">
        <f t="shared" si="352"/>
        <v>-133.92978014124421</v>
      </c>
      <c r="AU535" s="61">
        <f t="shared" si="353"/>
        <v>142.13007817329395</v>
      </c>
    </row>
    <row r="536" spans="14:47" x14ac:dyDescent="0.3">
      <c r="N536" s="10">
        <v>18</v>
      </c>
      <c r="O536" s="50">
        <f t="shared" si="321"/>
        <v>1513561.2484362102</v>
      </c>
      <c r="P536" s="48" t="str">
        <f t="shared" si="322"/>
        <v>51201.9230769231</v>
      </c>
      <c r="Q536" s="17" t="str">
        <f t="shared" si="323"/>
        <v>1+444408.951699781i</v>
      </c>
      <c r="R536" s="17">
        <f t="shared" si="331"/>
        <v>444408.95170090615</v>
      </c>
      <c r="S536" s="17">
        <f t="shared" si="332"/>
        <v>1.5707940766152002</v>
      </c>
      <c r="T536" s="17" t="str">
        <f t="shared" si="324"/>
        <v>1+0.0000285299573930724i</v>
      </c>
      <c r="U536" s="17">
        <f t="shared" si="333"/>
        <v>1.0000000004069791</v>
      </c>
      <c r="V536" s="17">
        <f t="shared" si="334"/>
        <v>2.8529957385331668E-5</v>
      </c>
      <c r="W536" s="31" t="str">
        <f t="shared" si="325"/>
        <v>1-15.4061769922591i</v>
      </c>
      <c r="X536" s="17">
        <f t="shared" si="335"/>
        <v>15.438597394738087</v>
      </c>
      <c r="Y536" s="17">
        <f t="shared" si="336"/>
        <v>-1.5059782251991696</v>
      </c>
      <c r="Z536" s="31" t="str">
        <f t="shared" si="326"/>
        <v>-915.347061107114+940.140465429138i</v>
      </c>
      <c r="AA536" s="17">
        <f t="shared" si="337"/>
        <v>1312.1449375029981</v>
      </c>
      <c r="AB536" s="17">
        <f t="shared" si="338"/>
        <v>2.3428330805805859</v>
      </c>
      <c r="AC536" s="66" t="str">
        <f t="shared" si="339"/>
        <v>0.000880727239991717+0.00103051128895219i</v>
      </c>
      <c r="AD536" s="64">
        <f t="shared" si="340"/>
        <v>-57.357409852541601</v>
      </c>
      <c r="AE536" s="61">
        <f t="shared" si="341"/>
        <v>49.481119608532431</v>
      </c>
      <c r="AF536" s="31" t="str">
        <f t="shared" si="327"/>
        <v>-1.33333333333333E-06</v>
      </c>
      <c r="AG536" s="31" t="str">
        <f t="shared" si="328"/>
        <v>9.51949578348848i</v>
      </c>
      <c r="AH536" s="31">
        <f t="shared" si="342"/>
        <v>9.5194957834884804</v>
      </c>
      <c r="AI536" s="31">
        <f t="shared" si="343"/>
        <v>1.5707963267948966</v>
      </c>
      <c r="AJ536" s="31" t="str">
        <f t="shared" si="329"/>
        <v>1+30.781572412106i</v>
      </c>
      <c r="AK536" s="31">
        <f t="shared" si="344"/>
        <v>30.797811613192994</v>
      </c>
      <c r="AL536" s="31">
        <f t="shared" si="345"/>
        <v>1.5383207791469575</v>
      </c>
      <c r="AM536" s="31" t="str">
        <f t="shared" si="330"/>
        <v>1+30812.3539845182i</v>
      </c>
      <c r="AN536" s="31">
        <f t="shared" si="346"/>
        <v>30812.35400074545</v>
      </c>
      <c r="AO536" s="31">
        <f t="shared" si="347"/>
        <v>1.5707638722800565</v>
      </c>
      <c r="AP536" s="58" t="str">
        <f t="shared" si="348"/>
        <v>-4.54543943671207E-06+0.000140055836606713i</v>
      </c>
      <c r="AQ536" s="49">
        <f t="shared" si="349"/>
        <v>-77.069403771138155</v>
      </c>
      <c r="AR536" s="61">
        <f t="shared" si="350"/>
        <v>91.858852310876429</v>
      </c>
      <c r="AS536" s="58" t="str">
        <f t="shared" si="351"/>
        <v>-1.48332413036506E-07+1.18666863766581E-07i</v>
      </c>
      <c r="AT536" s="64">
        <f t="shared" si="352"/>
        <v>-134.42681362367975</v>
      </c>
      <c r="AU536" s="61">
        <f t="shared" si="353"/>
        <v>141.33997191940884</v>
      </c>
    </row>
    <row r="537" spans="14:47" x14ac:dyDescent="0.3">
      <c r="N537" s="10">
        <v>19</v>
      </c>
      <c r="O537" s="50">
        <f t="shared" si="321"/>
        <v>1548816.6189124861</v>
      </c>
      <c r="P537" s="48" t="str">
        <f t="shared" si="322"/>
        <v>51201.9230769231</v>
      </c>
      <c r="Q537" s="17" t="str">
        <f t="shared" si="323"/>
        <v>1+454760.565981223i</v>
      </c>
      <c r="R537" s="17">
        <f t="shared" si="331"/>
        <v>454760.56598232244</v>
      </c>
      <c r="S537" s="17">
        <f t="shared" si="332"/>
        <v>1.5707941278355435</v>
      </c>
      <c r="T537" s="17" t="str">
        <f t="shared" si="324"/>
        <v>1+0.0000291945054703995i</v>
      </c>
      <c r="U537" s="17">
        <f t="shared" si="333"/>
        <v>1.0000000004261596</v>
      </c>
      <c r="V537" s="17">
        <f t="shared" si="334"/>
        <v>2.9194505462105154E-5</v>
      </c>
      <c r="W537" s="31" t="str">
        <f t="shared" si="325"/>
        <v>1-15.7650329540157i</v>
      </c>
      <c r="X537" s="17">
        <f t="shared" si="335"/>
        <v>15.796716875389045</v>
      </c>
      <c r="Y537" s="17">
        <f t="shared" si="336"/>
        <v>-1.5074496756627049</v>
      </c>
      <c r="Z537" s="31" t="str">
        <f t="shared" si="326"/>
        <v>-958.533167607804+962.039150033205i</v>
      </c>
      <c r="AA537" s="17">
        <f t="shared" si="337"/>
        <v>1358.0519723489458</v>
      </c>
      <c r="AB537" s="17">
        <f t="shared" si="338"/>
        <v>2.3543690038522831</v>
      </c>
      <c r="AC537" s="66" t="str">
        <f t="shared" si="339"/>
        <v>0.000863752111943714+0.000984431264918358i</v>
      </c>
      <c r="AD537" s="64">
        <f t="shared" si="340"/>
        <v>-57.656921631729155</v>
      </c>
      <c r="AE537" s="61">
        <f t="shared" si="341"/>
        <v>48.735887132044788</v>
      </c>
      <c r="AF537" s="31" t="str">
        <f t="shared" si="327"/>
        <v>-1.33333333333333E-06</v>
      </c>
      <c r="AG537" s="31" t="str">
        <f t="shared" si="328"/>
        <v>9.74123332528996i</v>
      </c>
      <c r="AH537" s="31">
        <f t="shared" si="342"/>
        <v>9.7412333252899597</v>
      </c>
      <c r="AI537" s="31">
        <f t="shared" si="343"/>
        <v>1.5707963267948966</v>
      </c>
      <c r="AJ537" s="31" t="str">
        <f t="shared" si="329"/>
        <v>1+31.4985673406907i</v>
      </c>
      <c r="AK537" s="31">
        <f t="shared" si="344"/>
        <v>31.514437080741686</v>
      </c>
      <c r="AL537" s="31">
        <f t="shared" si="345"/>
        <v>1.539059510805421</v>
      </c>
      <c r="AM537" s="31" t="str">
        <f t="shared" si="330"/>
        <v>1+31530.0659080315i</v>
      </c>
      <c r="AN537" s="31">
        <f t="shared" si="346"/>
        <v>31530.065923889379</v>
      </c>
      <c r="AO537" s="31">
        <f t="shared" si="347"/>
        <v>1.5707646110350064</v>
      </c>
      <c r="AP537" s="58" t="str">
        <f t="shared" si="348"/>
        <v>-4.34106694975091E-06+0.00013687426485474i</v>
      </c>
      <c r="AQ537" s="49">
        <f t="shared" si="349"/>
        <v>-77.269197689866687</v>
      </c>
      <c r="AR537" s="61">
        <f t="shared" si="350"/>
        <v>91.816568432194487</v>
      </c>
      <c r="AS537" s="58" t="str">
        <f t="shared" si="351"/>
        <v>-1.38492911431658E-07+1.13951953310586E-07i</v>
      </c>
      <c r="AT537" s="64">
        <f t="shared" si="352"/>
        <v>-134.92611932159588</v>
      </c>
      <c r="AU537" s="61">
        <f t="shared" si="353"/>
        <v>140.55245556423927</v>
      </c>
    </row>
    <row r="538" spans="14:47" x14ac:dyDescent="0.3">
      <c r="N538" s="10">
        <v>20</v>
      </c>
      <c r="O538" s="50">
        <f t="shared" si="321"/>
        <v>1584893.1924611153</v>
      </c>
      <c r="P538" s="48" t="str">
        <f t="shared" si="322"/>
        <v>51201.9230769231</v>
      </c>
      <c r="Q538" s="17" t="str">
        <f t="shared" si="323"/>
        <v>1+465353.300334214i</v>
      </c>
      <c r="R538" s="17">
        <f t="shared" si="331"/>
        <v>465353.3003352884</v>
      </c>
      <c r="S538" s="17">
        <f t="shared" si="332"/>
        <v>1.5707941778899694</v>
      </c>
      <c r="T538" s="17" t="str">
        <f t="shared" si="324"/>
        <v>1+0.0000298745328609619i</v>
      </c>
      <c r="U538" s="17">
        <f t="shared" si="333"/>
        <v>1.0000000004462437</v>
      </c>
      <c r="V538" s="17">
        <f t="shared" si="334"/>
        <v>2.9874532852074349E-5</v>
      </c>
      <c r="W538" s="31" t="str">
        <f t="shared" si="325"/>
        <v>1-16.1322477449194i</v>
      </c>
      <c r="X538" s="17">
        <f t="shared" si="335"/>
        <v>16.163211849860073</v>
      </c>
      <c r="Y538" s="17">
        <f t="shared" si="336"/>
        <v>-1.508887897292045</v>
      </c>
      <c r="Z538" s="31" t="str">
        <f t="shared" si="326"/>
        <v>-1003.75457260384+984.44792052871i</v>
      </c>
      <c r="AA538" s="17">
        <f t="shared" si="337"/>
        <v>1405.9377476461818</v>
      </c>
      <c r="AB538" s="17">
        <f t="shared" si="338"/>
        <v>2.3659047914972864</v>
      </c>
      <c r="AC538" s="66" t="str">
        <f t="shared" si="339"/>
        <v>0.000846522501574969+0.000939913250196218i</v>
      </c>
      <c r="AD538" s="64">
        <f t="shared" si="340"/>
        <v>-57.958699028608606</v>
      </c>
      <c r="AE538" s="61">
        <f t="shared" si="341"/>
        <v>47.992567252053306</v>
      </c>
      <c r="AF538" s="31" t="str">
        <f t="shared" si="327"/>
        <v>-1.33333333333333E-06</v>
      </c>
      <c r="AG538" s="31" t="str">
        <f t="shared" si="328"/>
        <v>9.96813579794095i</v>
      </c>
      <c r="AH538" s="31">
        <f t="shared" si="342"/>
        <v>9.9681357979409508</v>
      </c>
      <c r="AI538" s="31">
        <f t="shared" si="343"/>
        <v>1.5707963267948966</v>
      </c>
      <c r="AJ538" s="31" t="str">
        <f t="shared" si="329"/>
        <v>1+32.2322632266122i</v>
      </c>
      <c r="AK538" s="31">
        <f t="shared" si="344"/>
        <v>32.247771903026369</v>
      </c>
      <c r="AL538" s="31">
        <f t="shared" si="345"/>
        <v>1.5397814603624318</v>
      </c>
      <c r="AM538" s="31" t="str">
        <f t="shared" si="330"/>
        <v>1+32264.4954898388i</v>
      </c>
      <c r="AN538" s="31">
        <f t="shared" si="346"/>
        <v>32264.495505335708</v>
      </c>
      <c r="AO538" s="31">
        <f t="shared" si="347"/>
        <v>1.5707653329738405</v>
      </c>
      <c r="AP538" s="58" t="str">
        <f t="shared" si="348"/>
        <v>-4.14587463267955E-06+0.00013376468201252i</v>
      </c>
      <c r="AQ538" s="49">
        <f t="shared" si="349"/>
        <v>-77.469000874651144</v>
      </c>
      <c r="AR538" s="61">
        <f t="shared" si="350"/>
        <v>91.775245133604685</v>
      </c>
      <c r="AS538" s="58" t="str">
        <f t="shared" si="351"/>
        <v>-1.29236773197123E-07+1.09338050738711E-07i</v>
      </c>
      <c r="AT538" s="64">
        <f t="shared" si="352"/>
        <v>-135.42769990325976</v>
      </c>
      <c r="AU538" s="61">
        <f t="shared" si="353"/>
        <v>139.76781238565786</v>
      </c>
    </row>
    <row r="539" spans="14:47" x14ac:dyDescent="0.3">
      <c r="N539" s="10">
        <v>21</v>
      </c>
      <c r="O539" s="50">
        <f t="shared" si="321"/>
        <v>1621810.0973589318</v>
      </c>
      <c r="P539" s="48" t="str">
        <f t="shared" si="322"/>
        <v>51201.9230769231</v>
      </c>
      <c r="Q539" s="17" t="str">
        <f t="shared" si="323"/>
        <v>1+476192.771166721i</v>
      </c>
      <c r="R539" s="17">
        <f t="shared" si="331"/>
        <v>476192.77116777096</v>
      </c>
      <c r="S539" s="17">
        <f t="shared" si="332"/>
        <v>1.5707942268050175</v>
      </c>
      <c r="T539" s="17" t="str">
        <f t="shared" si="324"/>
        <v>1+0.0000305704001242833i</v>
      </c>
      <c r="U539" s="17">
        <f t="shared" si="333"/>
        <v>1.0000000004672747</v>
      </c>
      <c r="V539" s="17">
        <f t="shared" si="334"/>
        <v>3.0570400114760118E-5</v>
      </c>
      <c r="W539" s="31" t="str">
        <f t="shared" si="325"/>
        <v>1-16.508016067113i</v>
      </c>
      <c r="X539" s="17">
        <f t="shared" si="335"/>
        <v>16.538276647585171</v>
      </c>
      <c r="Y539" s="17">
        <f t="shared" si="336"/>
        <v>-1.5102936288384301</v>
      </c>
      <c r="Z539" s="31" t="str">
        <f t="shared" si="326"/>
        <v>-1051.10719675815+1007.37865834239i</v>
      </c>
      <c r="AA539" s="17">
        <f t="shared" si="337"/>
        <v>1455.8976957054674</v>
      </c>
      <c r="AB539" s="17">
        <f t="shared" si="338"/>
        <v>2.377434355567364</v>
      </c>
      <c r="AC539" s="66" t="str">
        <f t="shared" si="339"/>
        <v>0.00082907372916749+0.000896932961790734i</v>
      </c>
      <c r="AD539" s="64">
        <f t="shared" si="340"/>
        <v>-58.262742631257353</v>
      </c>
      <c r="AE539" s="61">
        <f t="shared" si="341"/>
        <v>47.25146647410736</v>
      </c>
      <c r="AF539" s="31" t="str">
        <f t="shared" si="327"/>
        <v>-1.33333333333333E-06</v>
      </c>
      <c r="AG539" s="31" t="str">
        <f t="shared" si="328"/>
        <v>10.2003235081359i</v>
      </c>
      <c r="AH539" s="31">
        <f t="shared" si="342"/>
        <v>10.2003235081359</v>
      </c>
      <c r="AI539" s="31">
        <f t="shared" si="343"/>
        <v>1.5707963267948966</v>
      </c>
      <c r="AJ539" s="31" t="str">
        <f t="shared" si="329"/>
        <v>1+32.9830490851408i</v>
      </c>
      <c r="AK539" s="31">
        <f t="shared" si="344"/>
        <v>32.998204905006681</v>
      </c>
      <c r="AL539" s="31">
        <f t="shared" si="345"/>
        <v>1.5404870075931743</v>
      </c>
      <c r="AM539" s="31" t="str">
        <f t="shared" si="330"/>
        <v>1+33016.032134226i</v>
      </c>
      <c r="AN539" s="31">
        <f t="shared" si="346"/>
        <v>33016.032149370156</v>
      </c>
      <c r="AO539" s="31">
        <f t="shared" si="347"/>
        <v>1.5707660384793405</v>
      </c>
      <c r="AP539" s="58" t="str">
        <f t="shared" si="348"/>
        <v>-0.0000039594509007851+0.000130725478219234i</v>
      </c>
      <c r="AQ539" s="49">
        <f t="shared" si="349"/>
        <v>-77.668812909252864</v>
      </c>
      <c r="AR539" s="61">
        <f t="shared" si="350"/>
        <v>91.734860677523585</v>
      </c>
      <c r="AS539" s="58" t="str">
        <f t="shared" si="351"/>
        <v>-1.20534667084457E-07+1.04829697700918E-07i</v>
      </c>
      <c r="AT539" s="64">
        <f t="shared" si="352"/>
        <v>-135.9315555405102</v>
      </c>
      <c r="AU539" s="61">
        <f t="shared" si="353"/>
        <v>138.98632715163083</v>
      </c>
    </row>
    <row r="540" spans="14:47" x14ac:dyDescent="0.3">
      <c r="N540" s="10">
        <v>22</v>
      </c>
      <c r="O540" s="50">
        <f t="shared" si="321"/>
        <v>1659586.9074375622</v>
      </c>
      <c r="P540" s="48" t="str">
        <f t="shared" si="322"/>
        <v>51201.9230769231</v>
      </c>
      <c r="Q540" s="17" t="str">
        <f t="shared" si="323"/>
        <v>1+487284.72570966i</v>
      </c>
      <c r="R540" s="17">
        <f t="shared" si="331"/>
        <v>487284.72571068612</v>
      </c>
      <c r="S540" s="17">
        <f t="shared" si="332"/>
        <v>1.570794274606623</v>
      </c>
      <c r="T540" s="17" t="str">
        <f t="shared" si="324"/>
        <v>1+0.0000312824762183979i</v>
      </c>
      <c r="U540" s="17">
        <f t="shared" si="333"/>
        <v>1.0000000004892966</v>
      </c>
      <c r="V540" s="17">
        <f t="shared" si="334"/>
        <v>3.1282476208193629E-5</v>
      </c>
      <c r="W540" s="31" t="str">
        <f t="shared" si="325"/>
        <v>1-16.8925371579349i</v>
      </c>
      <c r="X540" s="17">
        <f t="shared" si="335"/>
        <v>16.92211014123863</v>
      </c>
      <c r="Y540" s="17">
        <f t="shared" si="336"/>
        <v>-1.5116675934040689</v>
      </c>
      <c r="Z540" s="31" t="str">
        <f t="shared" si="326"/>
        <v>-1100.69148133527+1030.84352165495i</v>
      </c>
      <c r="AA540" s="17">
        <f t="shared" si="337"/>
        <v>1508.0318641268859</v>
      </c>
      <c r="AB540" s="17">
        <f t="shared" si="338"/>
        <v>2.3889516228763696</v>
      </c>
      <c r="AC540" s="66" t="str">
        <f t="shared" si="339"/>
        <v>0.000811440508379152+0.000855465280129798i</v>
      </c>
      <c r="AD540" s="64">
        <f t="shared" si="340"/>
        <v>-58.569050519569558</v>
      </c>
      <c r="AE540" s="61">
        <f t="shared" si="341"/>
        <v>46.512891355090311</v>
      </c>
      <c r="AF540" s="31" t="str">
        <f t="shared" si="327"/>
        <v>-1.33333333333333E-06</v>
      </c>
      <c r="AG540" s="31" t="str">
        <f t="shared" si="328"/>
        <v>10.4379195648721i</v>
      </c>
      <c r="AH540" s="31">
        <f t="shared" si="342"/>
        <v>10.4379195648721</v>
      </c>
      <c r="AI540" s="31">
        <f t="shared" si="343"/>
        <v>1.5707963267948966</v>
      </c>
      <c r="AJ540" s="31" t="str">
        <f t="shared" si="329"/>
        <v>1+33.7513229928768i</v>
      </c>
      <c r="AK540" s="31">
        <f t="shared" si="344"/>
        <v>33.766133977248479</v>
      </c>
      <c r="AL540" s="31">
        <f t="shared" si="345"/>
        <v>1.5411765237767685</v>
      </c>
      <c r="AM540" s="31" t="str">
        <f t="shared" si="330"/>
        <v>1+33785.0743158697i</v>
      </c>
      <c r="AN540" s="31">
        <f t="shared" si="346"/>
        <v>33785.074330669137</v>
      </c>
      <c r="AO540" s="31">
        <f t="shared" si="347"/>
        <v>1.5707667279255746</v>
      </c>
      <c r="AP540" s="58" t="str">
        <f t="shared" si="348"/>
        <v>-3.78140255401744E-06+0.000127755078342864i</v>
      </c>
      <c r="AQ540" s="49">
        <f t="shared" si="349"/>
        <v>-77.86863339609647</v>
      </c>
      <c r="AR540" s="61">
        <f t="shared" si="350"/>
        <v>91.695393812657088</v>
      </c>
      <c r="AS540" s="58" t="str">
        <f t="shared" si="351"/>
        <v>-1.12358417093401E-07+1.00430787123396E-07i</v>
      </c>
      <c r="AT540" s="64">
        <f t="shared" si="352"/>
        <v>-136.43768391566599</v>
      </c>
      <c r="AU540" s="61">
        <f t="shared" si="353"/>
        <v>138.20828516774748</v>
      </c>
    </row>
    <row r="541" spans="14:47" x14ac:dyDescent="0.3">
      <c r="N541" s="10">
        <v>23</v>
      </c>
      <c r="O541" s="50">
        <f t="shared" si="321"/>
        <v>1698243.6524617488</v>
      </c>
      <c r="P541" s="48" t="str">
        <f t="shared" si="322"/>
        <v>51201.9230769231</v>
      </c>
      <c r="Q541" s="17" t="str">
        <f t="shared" si="323"/>
        <v>1+498635.045064147i</v>
      </c>
      <c r="R541" s="17">
        <f t="shared" si="331"/>
        <v>498635.04506514966</v>
      </c>
      <c r="S541" s="17">
        <f t="shared" si="332"/>
        <v>1.5707943213201312</v>
      </c>
      <c r="T541" s="17" t="str">
        <f t="shared" si="324"/>
        <v>1+0.0000320111386954761i</v>
      </c>
      <c r="U541" s="17">
        <f t="shared" si="333"/>
        <v>1.0000000005123564</v>
      </c>
      <c r="V541" s="17">
        <f t="shared" si="334"/>
        <v>3.2011138684542022E-5</v>
      </c>
      <c r="W541" s="31" t="str">
        <f t="shared" si="325"/>
        <v>1-17.2860148955571i</v>
      </c>
      <c r="X541" s="17">
        <f t="shared" si="335"/>
        <v>17.314915852218917</v>
      </c>
      <c r="Y541" s="17">
        <f t="shared" si="336"/>
        <v>-1.5130104987215081</v>
      </c>
      <c r="Z541" s="31" t="str">
        <f t="shared" si="326"/>
        <v>-1152.61260125066+1054.85495184754i</v>
      </c>
      <c r="AA541" s="17">
        <f t="shared" si="337"/>
        <v>1562.4451279962086</v>
      </c>
      <c r="AB541" s="17">
        <f t="shared" si="338"/>
        <v>2.400450551059599</v>
      </c>
      <c r="AC541" s="66" t="str">
        <f t="shared" si="339"/>
        <v>0.000793656868782397+0.000815484249637356i</v>
      </c>
      <c r="AD541" s="64">
        <f t="shared" si="340"/>
        <v>-58.877618283189776</v>
      </c>
      <c r="AE541" s="61">
        <f t="shared" si="341"/>
        <v>45.777147567090033</v>
      </c>
      <c r="AF541" s="31" t="str">
        <f t="shared" si="327"/>
        <v>-1.33333333333333E-06</v>
      </c>
      <c r="AG541" s="31" t="str">
        <f t="shared" si="328"/>
        <v>10.6810499447238i</v>
      </c>
      <c r="AH541" s="31">
        <f t="shared" si="342"/>
        <v>10.681049944723799</v>
      </c>
      <c r="AI541" s="31">
        <f t="shared" si="343"/>
        <v>1.5707963267948966</v>
      </c>
      <c r="AJ541" s="31" t="str">
        <f t="shared" si="329"/>
        <v>1+34.5374922988153i</v>
      </c>
      <c r="AK541" s="31">
        <f t="shared" si="344"/>
        <v>34.551966286894974</v>
      </c>
      <c r="AL541" s="31">
        <f t="shared" si="345"/>
        <v>1.5418503718797734</v>
      </c>
      <c r="AM541" s="31" t="str">
        <f t="shared" si="330"/>
        <v>1+34572.0297911142i</v>
      </c>
      <c r="AN541" s="31">
        <f t="shared" si="346"/>
        <v>34572.029805576756</v>
      </c>
      <c r="AO541" s="31">
        <f t="shared" si="347"/>
        <v>1.5707674016780966</v>
      </c>
      <c r="AP541" s="58" t="str">
        <f t="shared" si="348"/>
        <v>-3.61135396179824E-06+0.000124851941316841i</v>
      </c>
      <c r="AQ541" s="49">
        <f t="shared" si="349"/>
        <v>-78.068461955436049</v>
      </c>
      <c r="AR541" s="61">
        <f t="shared" si="350"/>
        <v>91.65682376349794</v>
      </c>
      <c r="AS541" s="58" t="str">
        <f t="shared" si="351"/>
        <v>-1.04680967557917E-07+9.61445985312157E-08i</v>
      </c>
      <c r="AT541" s="64">
        <f t="shared" si="352"/>
        <v>-136.94608023862583</v>
      </c>
      <c r="AU541" s="61">
        <f t="shared" si="353"/>
        <v>137.43397133058798</v>
      </c>
    </row>
    <row r="542" spans="14:47" x14ac:dyDescent="0.3">
      <c r="N542" s="10">
        <v>24</v>
      </c>
      <c r="O542" s="50">
        <f t="shared" si="321"/>
        <v>1737800.8287493798</v>
      </c>
      <c r="P542" s="48" t="str">
        <f t="shared" si="322"/>
        <v>51201.9230769231</v>
      </c>
      <c r="Q542" s="17" t="str">
        <f t="shared" si="323"/>
        <v>1+510249.747319737i</v>
      </c>
      <c r="R542" s="17">
        <f t="shared" si="331"/>
        <v>510249.74732071691</v>
      </c>
      <c r="S542" s="17">
        <f t="shared" si="332"/>
        <v>1.5707943669703102</v>
      </c>
      <c r="T542" s="17" t="str">
        <f t="shared" si="324"/>
        <v>1+0.0000327567739020078i</v>
      </c>
      <c r="U542" s="17">
        <f t="shared" si="333"/>
        <v>1.0000000005365031</v>
      </c>
      <c r="V542" s="17">
        <f t="shared" si="334"/>
        <v>3.275677389029173E-5</v>
      </c>
      <c r="W542" s="31" t="str">
        <f t="shared" si="325"/>
        <v>1-17.6886579070842i</v>
      </c>
      <c r="X542" s="17">
        <f t="shared" si="335"/>
        <v>17.716902058595132</v>
      </c>
      <c r="Y542" s="17">
        <f t="shared" si="336"/>
        <v>-1.5143230374316592</v>
      </c>
      <c r="Z542" s="31" t="str">
        <f t="shared" si="326"/>
        <v>-1206.98068816081+1079.42568009823i</v>
      </c>
      <c r="AA542" s="17">
        <f t="shared" si="337"/>
        <v>1619.2474117467868</v>
      </c>
      <c r="AB542" s="17">
        <f t="shared" si="338"/>
        <v>2.4119251444330216</v>
      </c>
      <c r="AC542" s="66" t="str">
        <f t="shared" si="339"/>
        <v>0.000775756079111626+0.0007769630882718i</v>
      </c>
      <c r="AD542" s="64">
        <f t="shared" si="340"/>
        <v>-59.188439049471818</v>
      </c>
      <c r="AE542" s="61">
        <f t="shared" si="341"/>
        <v>45.044538972812632</v>
      </c>
      <c r="AF542" s="31" t="str">
        <f t="shared" si="327"/>
        <v>-1.33333333333333E-06</v>
      </c>
      <c r="AG542" s="31" t="str">
        <f t="shared" si="328"/>
        <v>10.9298435586366i</v>
      </c>
      <c r="AH542" s="31">
        <f t="shared" si="342"/>
        <v>10.9298435586366</v>
      </c>
      <c r="AI542" s="31">
        <f t="shared" si="343"/>
        <v>1.5707963267948966</v>
      </c>
      <c r="AJ542" s="31" t="str">
        <f t="shared" si="329"/>
        <v>1+35.3419738403281i</v>
      </c>
      <c r="AK542" s="31">
        <f t="shared" si="344"/>
        <v>35.356118493556892</v>
      </c>
      <c r="AL542" s="31">
        <f t="shared" si="345"/>
        <v>1.5425089067361715</v>
      </c>
      <c r="AM542" s="31" t="str">
        <f t="shared" si="330"/>
        <v>1+35377.3158141684i</v>
      </c>
      <c r="AN542" s="31">
        <f t="shared" si="346"/>
        <v>35377.315828301747</v>
      </c>
      <c r="AO542" s="31">
        <f t="shared" si="347"/>
        <v>1.5707680600941387</v>
      </c>
      <c r="AP542" s="58" t="str">
        <f t="shared" si="348"/>
        <v>-3.44894628344566E-06+0.000122014559483382i</v>
      </c>
      <c r="AQ542" s="49">
        <f t="shared" si="349"/>
        <v>-78.268298224558549</v>
      </c>
      <c r="AR542" s="61">
        <f t="shared" si="350"/>
        <v>91.619130220024473</v>
      </c>
      <c r="AS542" s="58" t="str">
        <f t="shared" si="351"/>
        <v>-9.74763499962441E-08+9.19738323036912E-08i</v>
      </c>
      <c r="AT542" s="64">
        <f t="shared" si="352"/>
        <v>-137.45673727403036</v>
      </c>
      <c r="AU542" s="61">
        <f t="shared" si="353"/>
        <v>136.66366919283709</v>
      </c>
    </row>
    <row r="543" spans="14:47" x14ac:dyDescent="0.3">
      <c r="N543" s="10">
        <v>25</v>
      </c>
      <c r="O543" s="50">
        <f t="shared" si="321"/>
        <v>1778279.4100389241</v>
      </c>
      <c r="P543" s="48" t="str">
        <f t="shared" si="322"/>
        <v>51201.9230769231</v>
      </c>
      <c r="Q543" s="17" t="str">
        <f t="shared" si="323"/>
        <v>1+522134.99074531i</v>
      </c>
      <c r="R543" s="17">
        <f t="shared" si="331"/>
        <v>522134.99074626761</v>
      </c>
      <c r="S543" s="17">
        <f t="shared" si="332"/>
        <v>1.5707944115813643</v>
      </c>
      <c r="T543" s="17" t="str">
        <f t="shared" si="324"/>
        <v>1+0.0000335197771836495i</v>
      </c>
      <c r="U543" s="17">
        <f t="shared" si="333"/>
        <v>1.0000000005617877</v>
      </c>
      <c r="V543" s="17">
        <f t="shared" si="334"/>
        <v>3.35197771710955E-5</v>
      </c>
      <c r="W543" s="31" t="str">
        <f t="shared" si="325"/>
        <v>1-18.1006796791707i</v>
      </c>
      <c r="X543" s="17">
        <f t="shared" si="335"/>
        <v>18.128281905573488</v>
      </c>
      <c r="Y543" s="17">
        <f t="shared" si="336"/>
        <v>-1.5156058873601934</v>
      </c>
      <c r="Z543" s="31" t="str">
        <f t="shared" si="326"/>
        <v>-1263.91106406735+1104.5687341324i</v>
      </c>
      <c r="AA543" s="17">
        <f t="shared" si="337"/>
        <v>1678.5539211758178</v>
      </c>
      <c r="AB543" s="17">
        <f t="shared" si="338"/>
        <v>2.4233694695515648</v>
      </c>
      <c r="AC543" s="66" t="str">
        <f t="shared" si="339"/>
        <v>0.000757770572136456+0.000739874205769231i</v>
      </c>
      <c r="AD543" s="64">
        <f t="shared" si="340"/>
        <v>-59.501503521247379</v>
      </c>
      <c r="AE543" s="61">
        <f t="shared" si="341"/>
        <v>44.315366718333522</v>
      </c>
      <c r="AF543" s="31" t="str">
        <f t="shared" si="327"/>
        <v>-1.33333333333333E-06</v>
      </c>
      <c r="AG543" s="31" t="str">
        <f t="shared" si="328"/>
        <v>11.1844323202778i</v>
      </c>
      <c r="AH543" s="31">
        <f t="shared" si="342"/>
        <v>11.1844323202778</v>
      </c>
      <c r="AI543" s="31">
        <f t="shared" si="343"/>
        <v>1.5707963267948966</v>
      </c>
      <c r="AJ543" s="31" t="str">
        <f t="shared" si="329"/>
        <v>1+36.1651941641772i</v>
      </c>
      <c r="AK543" s="31">
        <f t="shared" si="344"/>
        <v>36.179016970236169</v>
      </c>
      <c r="AL543" s="31">
        <f t="shared" si="345"/>
        <v>1.5431524752238681</v>
      </c>
      <c r="AM543" s="31" t="str">
        <f t="shared" si="330"/>
        <v>1+36201.3593583415i</v>
      </c>
      <c r="AN543" s="31">
        <f t="shared" si="346"/>
        <v>36201.359372153136</v>
      </c>
      <c r="AO543" s="31">
        <f t="shared" si="347"/>
        <v>1.5707687035228022</v>
      </c>
      <c r="AP543" s="58" t="str">
        <f t="shared" si="348"/>
        <v>-0.0000032938367227062+0.000119241457943924i</v>
      </c>
      <c r="AQ543" s="49">
        <f t="shared" si="349"/>
        <v>-78.468141857021834</v>
      </c>
      <c r="AR543" s="61">
        <f t="shared" si="350"/>
        <v>91.582293327598663</v>
      </c>
      <c r="AS543" s="58" t="str">
        <f t="shared" si="351"/>
        <v>-9.07196515289151E-08+8.79206429794067E-08i</v>
      </c>
      <c r="AT543" s="64">
        <f t="shared" si="352"/>
        <v>-137.96964537826921</v>
      </c>
      <c r="AU543" s="61">
        <f t="shared" si="353"/>
        <v>135.89766004593218</v>
      </c>
    </row>
    <row r="544" spans="14:47" x14ac:dyDescent="0.3">
      <c r="N544" s="10">
        <v>26</v>
      </c>
      <c r="O544" s="50">
        <f t="shared" si="321"/>
        <v>1819700.8586099846</v>
      </c>
      <c r="P544" s="48" t="str">
        <f t="shared" si="322"/>
        <v>51201.9230769231</v>
      </c>
      <c r="Q544" s="17" t="str">
        <f t="shared" si="323"/>
        <v>1+534297.077054253i</v>
      </c>
      <c r="R544" s="17">
        <f t="shared" si="331"/>
        <v>534297.07705518883</v>
      </c>
      <c r="S544" s="17">
        <f t="shared" si="332"/>
        <v>1.5707944551769466</v>
      </c>
      <c r="T544" s="17" t="str">
        <f t="shared" si="324"/>
        <v>1+0.0000343005530948409i</v>
      </c>
      <c r="U544" s="17">
        <f t="shared" si="333"/>
        <v>1.0000000005882639</v>
      </c>
      <c r="V544" s="17">
        <f t="shared" si="334"/>
        <v>3.4300553081389051E-5</v>
      </c>
      <c r="W544" s="31" t="str">
        <f t="shared" si="325"/>
        <v>1-18.5222986712141i</v>
      </c>
      <c r="X544" s="17">
        <f t="shared" si="335"/>
        <v>18.549273518541352</v>
      </c>
      <c r="Y544" s="17">
        <f t="shared" si="336"/>
        <v>-1.5168597117920302</v>
      </c>
      <c r="Z544" s="31" t="str">
        <f t="shared" si="326"/>
        <v>-1323.52448593036+1130.29744513011i</v>
      </c>
      <c r="AA544" s="17">
        <f t="shared" si="337"/>
        <v>1740.4853861279266</v>
      </c>
      <c r="AB544" s="17">
        <f t="shared" si="338"/>
        <v>2.4347776703694981</v>
      </c>
      <c r="AC544" s="66" t="str">
        <f t="shared" si="339"/>
        <v>0.000739731872036819+0.000704189230233437i</v>
      </c>
      <c r="AD544" s="64">
        <f t="shared" si="340"/>
        <v>-59.816800024096722</v>
      </c>
      <c r="AE544" s="61">
        <f t="shared" si="341"/>
        <v>43.58992834875518</v>
      </c>
      <c r="AF544" s="31" t="str">
        <f t="shared" si="327"/>
        <v>-1.33333333333333E-06</v>
      </c>
      <c r="AG544" s="31" t="str">
        <f t="shared" si="328"/>
        <v>11.4449512159786i</v>
      </c>
      <c r="AH544" s="31">
        <f t="shared" si="342"/>
        <v>11.4449512159786</v>
      </c>
      <c r="AI544" s="31">
        <f t="shared" si="343"/>
        <v>1.5707963267948966</v>
      </c>
      <c r="AJ544" s="31" t="str">
        <f t="shared" si="329"/>
        <v>1+37.0075897526754i</v>
      </c>
      <c r="AK544" s="31">
        <f t="shared" si="344"/>
        <v>37.021098029398388</v>
      </c>
      <c r="AL544" s="31">
        <f t="shared" si="345"/>
        <v>1.5437814164377459</v>
      </c>
      <c r="AM544" s="31" t="str">
        <f t="shared" si="330"/>
        <v>1+37044.5973424282i</v>
      </c>
      <c r="AN544" s="31">
        <f t="shared" si="346"/>
        <v>37044.597355925442</v>
      </c>
      <c r="AO544" s="31">
        <f t="shared" si="347"/>
        <v>1.570769332305241</v>
      </c>
      <c r="AP544" s="58" t="str">
        <f t="shared" si="348"/>
        <v>-3.14569781494422E-06+0.000116531193916988i</v>
      </c>
      <c r="AQ544" s="49">
        <f t="shared" si="349"/>
        <v>-78.6679925219278</v>
      </c>
      <c r="AR544" s="61">
        <f t="shared" si="350"/>
        <v>91.546293677061612</v>
      </c>
      <c r="AS544" s="58" t="str">
        <f t="shared" si="351"/>
        <v>-8.4386984676098E-08+8.39866717040465E-08i</v>
      </c>
      <c r="AT544" s="64">
        <f t="shared" si="352"/>
        <v>-138.48479254602452</v>
      </c>
      <c r="AU544" s="61">
        <f t="shared" si="353"/>
        <v>135.13622202581681</v>
      </c>
    </row>
    <row r="545" spans="14:47" x14ac:dyDescent="0.3">
      <c r="N545" s="10">
        <v>27</v>
      </c>
      <c r="O545" s="50">
        <f t="shared" si="321"/>
        <v>1862087.1366628683</v>
      </c>
      <c r="P545" s="48" t="str">
        <f t="shared" si="322"/>
        <v>51201.9230769231</v>
      </c>
      <c r="Q545" s="17" t="str">
        <f t="shared" si="323"/>
        <v>1+546742.454745707i</v>
      </c>
      <c r="R545" s="17">
        <f t="shared" si="331"/>
        <v>546742.45474662154</v>
      </c>
      <c r="S545" s="17">
        <f t="shared" si="332"/>
        <v>1.5707944977801727</v>
      </c>
      <c r="T545" s="17" t="str">
        <f t="shared" si="324"/>
        <v>1+0.0000350995156133046i</v>
      </c>
      <c r="U545" s="17">
        <f t="shared" si="333"/>
        <v>1.0000000006159879</v>
      </c>
      <c r="V545" s="17">
        <f t="shared" si="334"/>
        <v>3.5099515598890681E-5</v>
      </c>
      <c r="W545" s="31" t="str">
        <f t="shared" si="325"/>
        <v>1-18.9537384311845i</v>
      </c>
      <c r="X545" s="17">
        <f t="shared" si="335"/>
        <v>18.980100118749643</v>
      </c>
      <c r="Y545" s="17">
        <f t="shared" si="336"/>
        <v>-1.518085159743688</v>
      </c>
      <c r="Z545" s="31" t="str">
        <f t="shared" si="326"/>
        <v>-1385.94740181012+1156.62545479448i</v>
      </c>
      <c r="AA545" s="17">
        <f t="shared" si="337"/>
        <v>1805.1683143858802</v>
      </c>
      <c r="AB545" s="17">
        <f t="shared" si="338"/>
        <v>2.4461439829105389</v>
      </c>
      <c r="AC545" s="66" t="str">
        <f t="shared" si="339"/>
        <v>0.000721670525101124+0.000669879042622635i</v>
      </c>
      <c r="AD545" s="64">
        <f t="shared" si="340"/>
        <v>-60.134314562738417</v>
      </c>
      <c r="AE545" s="61">
        <f t="shared" si="341"/>
        <v>42.868516952079155</v>
      </c>
      <c r="AF545" s="31" t="str">
        <f t="shared" si="327"/>
        <v>-1.33333333333333E-06</v>
      </c>
      <c r="AG545" s="31" t="str">
        <f t="shared" si="328"/>
        <v>11.711538376306i</v>
      </c>
      <c r="AH545" s="31">
        <f t="shared" si="342"/>
        <v>11.711538376306001</v>
      </c>
      <c r="AI545" s="31">
        <f t="shared" si="343"/>
        <v>1.5707963267948966</v>
      </c>
      <c r="AJ545" s="31" t="str">
        <f t="shared" si="329"/>
        <v>1+37.8696072551138i</v>
      </c>
      <c r="AK545" s="31">
        <f t="shared" si="344"/>
        <v>37.882808154314105</v>
      </c>
      <c r="AL545" s="31">
        <f t="shared" si="345"/>
        <v>1.5443960618593147</v>
      </c>
      <c r="AM545" s="31" t="str">
        <f t="shared" si="330"/>
        <v>1+37907.476862369i</v>
      </c>
      <c r="AN545" s="31">
        <f t="shared" si="346"/>
        <v>37907.476875559012</v>
      </c>
      <c r="AO545" s="31">
        <f t="shared" si="347"/>
        <v>1.5707699467748442</v>
      </c>
      <c r="AP545" s="58" t="str">
        <f t="shared" si="348"/>
        <v>-3.00421674559731E-06+0.000113882356103821i</v>
      </c>
      <c r="AQ545" s="49">
        <f t="shared" si="349"/>
        <v>-78.867849903226485</v>
      </c>
      <c r="AR545" s="61">
        <f t="shared" si="350"/>
        <v>91.51111229502358</v>
      </c>
      <c r="AS545" s="58" t="str">
        <f t="shared" si="351"/>
        <v>-7.84554583547504E-08+8.01730778918261E-08i</v>
      </c>
      <c r="AT545" s="64">
        <f t="shared" si="352"/>
        <v>-139.00216446596491</v>
      </c>
      <c r="AU545" s="61">
        <f t="shared" si="353"/>
        <v>134.37962924710274</v>
      </c>
    </row>
    <row r="546" spans="14:47" x14ac:dyDescent="0.3">
      <c r="N546" s="10">
        <v>28</v>
      </c>
      <c r="O546" s="50">
        <f t="shared" si="321"/>
        <v>1905460.7179632513</v>
      </c>
      <c r="P546" s="48" t="str">
        <f t="shared" si="322"/>
        <v>51201.9230769231</v>
      </c>
      <c r="Q546" s="17" t="str">
        <f t="shared" si="323"/>
        <v>1+559477.722523663i</v>
      </c>
      <c r="R546" s="17">
        <f t="shared" si="331"/>
        <v>559477.72252455668</v>
      </c>
      <c r="S546" s="17">
        <f t="shared" si="332"/>
        <v>1.5707945394136307</v>
      </c>
      <c r="T546" s="17" t="str">
        <f t="shared" si="324"/>
        <v>1+0.0000359170883595438i</v>
      </c>
      <c r="U546" s="17">
        <f t="shared" si="333"/>
        <v>1.0000000006450185</v>
      </c>
      <c r="V546" s="17">
        <f t="shared" si="334"/>
        <v>3.5917088344099006E-5</v>
      </c>
      <c r="W546" s="31" t="str">
        <f t="shared" si="325"/>
        <v>1-19.3952277141536i</v>
      </c>
      <c r="X546" s="17">
        <f t="shared" si="335"/>
        <v>19.420990141696478</v>
      </c>
      <c r="Y546" s="17">
        <f t="shared" si="336"/>
        <v>-1.5192828662332811</v>
      </c>
      <c r="Z546" s="31" t="str">
        <f t="shared" si="326"/>
        <v>-1451.31221908043+1183.56672258474i</v>
      </c>
      <c r="AA546" s="17">
        <f t="shared" si="337"/>
        <v>1872.7352573340806</v>
      </c>
      <c r="AB546" s="17">
        <f t="shared" si="338"/>
        <v>2.4574627493609715</v>
      </c>
      <c r="AC546" s="66" t="str">
        <f t="shared" si="339"/>
        <v>0.000703616034504274+0.000636913818600526i</v>
      </c>
      <c r="AD546" s="64">
        <f t="shared" si="340"/>
        <v>-60.454030886073269</v>
      </c>
      <c r="AE546" s="61">
        <f t="shared" si="341"/>
        <v>42.151420336272274</v>
      </c>
      <c r="AF546" s="31" t="str">
        <f t="shared" si="327"/>
        <v>-1.33333333333333E-06</v>
      </c>
      <c r="AG546" s="31" t="str">
        <f t="shared" si="328"/>
        <v>11.9843351493011i</v>
      </c>
      <c r="AH546" s="31">
        <f t="shared" si="342"/>
        <v>11.984335149301099</v>
      </c>
      <c r="AI546" s="31">
        <f t="shared" si="343"/>
        <v>1.5707963267948966</v>
      </c>
      <c r="AJ546" s="31" t="str">
        <f t="shared" si="329"/>
        <v>1+38.7517037245827i</v>
      </c>
      <c r="AK546" s="31">
        <f t="shared" si="344"/>
        <v>38.764604235795275</v>
      </c>
      <c r="AL546" s="31">
        <f t="shared" si="345"/>
        <v>1.5449967355229985</v>
      </c>
      <c r="AM546" s="31" t="str">
        <f t="shared" si="330"/>
        <v>1+38790.4554283073i</v>
      </c>
      <c r="AN546" s="31">
        <f t="shared" si="346"/>
        <v>38790.455441197068</v>
      </c>
      <c r="AO546" s="31">
        <f t="shared" si="347"/>
        <v>1.5707705472574116</v>
      </c>
      <c r="AP546" s="58" t="str">
        <f t="shared" si="348"/>
        <v>-2.86909469856195E-06+0.000111293564062058i</v>
      </c>
      <c r="AQ546" s="49">
        <f t="shared" si="349"/>
        <v>-79.067713699052021</v>
      </c>
      <c r="AR546" s="61">
        <f t="shared" si="350"/>
        <v>91.476730634346609</v>
      </c>
      <c r="AS546" s="58" t="str">
        <f t="shared" si="351"/>
        <v>-7.2903149906847E-08+7.6480570150805E-08i</v>
      </c>
      <c r="AT546" s="64">
        <f t="shared" si="352"/>
        <v>-139.5217445851253</v>
      </c>
      <c r="AU546" s="61">
        <f t="shared" si="353"/>
        <v>133.62815097061886</v>
      </c>
    </row>
    <row r="547" spans="14:47" x14ac:dyDescent="0.3">
      <c r="N547" s="10">
        <v>29</v>
      </c>
      <c r="O547" s="50">
        <f t="shared" si="321"/>
        <v>1949844.5997580495</v>
      </c>
      <c r="P547" s="48" t="str">
        <f t="shared" si="322"/>
        <v>51201.9230769231</v>
      </c>
      <c r="Q547" s="17" t="str">
        <f t="shared" si="323"/>
        <v>1+572509.632795657i</v>
      </c>
      <c r="R547" s="17">
        <f t="shared" si="331"/>
        <v>572509.63279653038</v>
      </c>
      <c r="S547" s="17">
        <f t="shared" si="332"/>
        <v>1.5707945800993954</v>
      </c>
      <c r="T547" s="17" t="str">
        <f t="shared" si="324"/>
        <v>1+0.0000367537048214496i</v>
      </c>
      <c r="U547" s="17">
        <f t="shared" si="333"/>
        <v>1.0000000006754173</v>
      </c>
      <c r="V547" s="17">
        <f t="shared" si="334"/>
        <v>3.6753704804900205E-5</v>
      </c>
      <c r="W547" s="31" t="str">
        <f t="shared" si="325"/>
        <v>1-19.8470006035828i</v>
      </c>
      <c r="X547" s="17">
        <f t="shared" si="335"/>
        <v>19.872177358271941</v>
      </c>
      <c r="Y547" s="17">
        <f t="shared" si="336"/>
        <v>-1.5204534525479578</v>
      </c>
      <c r="Z547" s="31" t="str">
        <f t="shared" si="326"/>
        <v>-1519.75758528224+1211.13553311766i</v>
      </c>
      <c r="AA547" s="17">
        <f t="shared" si="337"/>
        <v>1943.3250879878806</v>
      </c>
      <c r="AB547" s="17">
        <f t="shared" si="338"/>
        <v>2.4687284315057445</v>
      </c>
      <c r="AC547" s="66" t="str">
        <f t="shared" si="339"/>
        <v>0.000685596799847859+0.000605263077145735i</v>
      </c>
      <c r="AD547" s="64">
        <f t="shared" si="340"/>
        <v>-60.7759305603497</v>
      </c>
      <c r="AE547" s="61">
        <f t="shared" si="341"/>
        <v>41.438920244123842</v>
      </c>
      <c r="AF547" s="31" t="str">
        <f t="shared" si="327"/>
        <v>-1.33333333333333E-06</v>
      </c>
      <c r="AG547" s="31" t="str">
        <f t="shared" si="328"/>
        <v>12.2634861754237i</v>
      </c>
      <c r="AH547" s="31">
        <f t="shared" si="342"/>
        <v>12.263486175423701</v>
      </c>
      <c r="AI547" s="31">
        <f t="shared" si="343"/>
        <v>1.5707963267948966</v>
      </c>
      <c r="AJ547" s="31" t="str">
        <f t="shared" si="329"/>
        <v>1+39.6543468603052i</v>
      </c>
      <c r="AK547" s="31">
        <f t="shared" si="344"/>
        <v>39.666953814446067</v>
      </c>
      <c r="AL547" s="31">
        <f t="shared" si="345"/>
        <v>1.5455837541791049</v>
      </c>
      <c r="AM547" s="31" t="str">
        <f t="shared" si="330"/>
        <v>1+39694.0012071656i</v>
      </c>
      <c r="AN547" s="31">
        <f t="shared" si="346"/>
        <v>39694.001219761973</v>
      </c>
      <c r="AO547" s="31">
        <f t="shared" si="347"/>
        <v>1.5707711340713268</v>
      </c>
      <c r="AP547" s="58" t="str">
        <f t="shared" si="348"/>
        <v>-2.74004623322733E-06+0.000108763467587671i</v>
      </c>
      <c r="AQ547" s="49">
        <f t="shared" si="349"/>
        <v>-79.267583621087368</v>
      </c>
      <c r="AR547" s="61">
        <f t="shared" si="350"/>
        <v>91.443130564816997</v>
      </c>
      <c r="AS547" s="58" t="str">
        <f t="shared" si="351"/>
        <v>-6.770907800209E-08+7.29094365038188E-08i</v>
      </c>
      <c r="AT547" s="64">
        <f t="shared" si="352"/>
        <v>-140.04351418143705</v>
      </c>
      <c r="AU547" s="61">
        <f t="shared" si="353"/>
        <v>132.88205080894085</v>
      </c>
    </row>
    <row r="548" spans="14:47" x14ac:dyDescent="0.3">
      <c r="N548" s="10">
        <v>30</v>
      </c>
      <c r="O548" s="50">
        <f t="shared" si="321"/>
        <v>1995262.31496888</v>
      </c>
      <c r="P548" s="48" t="str">
        <f t="shared" si="322"/>
        <v>51201.9230769231</v>
      </c>
      <c r="Q548" s="17" t="str">
        <f t="shared" si="323"/>
        <v>1+585845.095253025i</v>
      </c>
      <c r="R548" s="17">
        <f t="shared" si="331"/>
        <v>585845.09525387839</v>
      </c>
      <c r="S548" s="17">
        <f t="shared" si="332"/>
        <v>1.5707946198590392</v>
      </c>
      <c r="T548" s="17" t="str">
        <f t="shared" si="324"/>
        <v>1+0.0000376098085841448i</v>
      </c>
      <c r="U548" s="17">
        <f t="shared" si="333"/>
        <v>1.0000000007072487</v>
      </c>
      <c r="V548" s="17">
        <f t="shared" si="334"/>
        <v>3.7609808566411808E-5</v>
      </c>
      <c r="W548" s="31" t="str">
        <f t="shared" si="325"/>
        <v>1-20.3092966354382i</v>
      </c>
      <c r="X548" s="17">
        <f t="shared" si="335"/>
        <v>20.333900998731682</v>
      </c>
      <c r="Y548" s="17">
        <f t="shared" si="336"/>
        <v>-1.5215975265086166</v>
      </c>
      <c r="Z548" s="31" t="str">
        <f t="shared" si="326"/>
        <v>-1591.42868221399+1239.34650374152i</v>
      </c>
      <c r="AA548" s="17">
        <f t="shared" si="337"/>
        <v>2017.083292010939</v>
      </c>
      <c r="AB548" s="17">
        <f t="shared" si="338"/>
        <v>2.4799356234350456</v>
      </c>
      <c r="AC548" s="66" t="str">
        <f t="shared" si="339"/>
        <v>0.000667640062062393+0.000574895735250933i</v>
      </c>
      <c r="AD548" s="64">
        <f t="shared" si="340"/>
        <v>-61.099993049859862</v>
      </c>
      <c r="AE548" s="61">
        <f t="shared" si="341"/>
        <v>40.731291610057824</v>
      </c>
      <c r="AF548" s="31" t="str">
        <f t="shared" si="327"/>
        <v>-1.33333333333333E-06</v>
      </c>
      <c r="AG548" s="31" t="str">
        <f t="shared" si="328"/>
        <v>12.549139464243i</v>
      </c>
      <c r="AH548" s="31">
        <f t="shared" si="342"/>
        <v>12.549139464243</v>
      </c>
      <c r="AI548" s="31">
        <f t="shared" si="343"/>
        <v>1.5707963267948966</v>
      </c>
      <c r="AJ548" s="31" t="str">
        <f t="shared" si="329"/>
        <v>1+40.5780152556207i</v>
      </c>
      <c r="AK548" s="31">
        <f t="shared" si="344"/>
        <v>40.590335328565416</v>
      </c>
      <c r="AL548" s="31">
        <f t="shared" si="345"/>
        <v>1.5461574274535184</v>
      </c>
      <c r="AM548" s="31" t="str">
        <f t="shared" si="330"/>
        <v>1+40618.5932708764i</v>
      </c>
      <c r="AN548" s="31">
        <f t="shared" si="346"/>
        <v>40618.593283186026</v>
      </c>
      <c r="AO548" s="31">
        <f t="shared" si="347"/>
        <v>1.5707717075277268</v>
      </c>
      <c r="AP548" s="58" t="str">
        <f t="shared" si="348"/>
        <v>-2.61679868892702E-06+0.000106290746105379i</v>
      </c>
      <c r="AQ548" s="49">
        <f t="shared" si="349"/>
        <v>-79.467459393958478</v>
      </c>
      <c r="AR548" s="61">
        <f t="shared" si="350"/>
        <v>91.410294364005097</v>
      </c>
      <c r="AS548" s="58" t="str">
        <f t="shared" si="351"/>
        <v>-6.28531762717021E-08+6.94595739201789E-08i</v>
      </c>
      <c r="AT548" s="64">
        <f t="shared" si="352"/>
        <v>-140.56745244381833</v>
      </c>
      <c r="AU548" s="61">
        <f t="shared" si="353"/>
        <v>132.14158597406291</v>
      </c>
    </row>
    <row r="549" spans="14:47" x14ac:dyDescent="0.3">
      <c r="N549" s="10">
        <v>31</v>
      </c>
      <c r="O549" s="50">
        <f t="shared" si="321"/>
        <v>2041737.9446695296</v>
      </c>
      <c r="P549" s="48" t="str">
        <f t="shared" si="322"/>
        <v>51201.9230769231</v>
      </c>
      <c r="Q549" s="17" t="str">
        <f t="shared" si="323"/>
        <v>1+599491.180534469i</v>
      </c>
      <c r="R549" s="17">
        <f t="shared" si="331"/>
        <v>599491.18053530308</v>
      </c>
      <c r="S549" s="17">
        <f t="shared" si="332"/>
        <v>1.570794658713643</v>
      </c>
      <c r="T549" s="17" t="str">
        <f t="shared" si="324"/>
        <v>1+0.0000384858535651758i</v>
      </c>
      <c r="U549" s="17">
        <f t="shared" si="333"/>
        <v>1.0000000007405805</v>
      </c>
      <c r="V549" s="17">
        <f t="shared" si="334"/>
        <v>3.8485853546174551E-5</v>
      </c>
      <c r="W549" s="31" t="str">
        <f t="shared" si="325"/>
        <v>1-20.7823609251949i</v>
      </c>
      <c r="X549" s="17">
        <f t="shared" si="335"/>
        <v>20.806405879561897</v>
      </c>
      <c r="Y549" s="17">
        <f t="shared" si="336"/>
        <v>-1.5227156827317356</v>
      </c>
      <c r="Z549" s="31" t="str">
        <f t="shared" si="326"/>
        <v>-1666.47753388133+1268.21459228634i</v>
      </c>
      <c r="AA549" s="17">
        <f t="shared" si="337"/>
        <v>2094.1622723703163</v>
      </c>
      <c r="AB549" s="17">
        <f t="shared" si="338"/>
        <v>2.4910790634565814</v>
      </c>
      <c r="AC549" s="66" t="str">
        <f t="shared" si="339"/>
        <v>0.000649771854183691+0.000545780167993179i</v>
      </c>
      <c r="AD549" s="64">
        <f t="shared" si="340"/>
        <v>-61.426195804512389</v>
      </c>
      <c r="AE549" s="61">
        <f t="shared" si="341"/>
        <v>40.028801862620867</v>
      </c>
      <c r="AF549" s="31" t="str">
        <f t="shared" si="327"/>
        <v>-1.33333333333333E-06</v>
      </c>
      <c r="AG549" s="31" t="str">
        <f t="shared" si="328"/>
        <v>12.8414464729137i</v>
      </c>
      <c r="AH549" s="31">
        <f t="shared" si="342"/>
        <v>12.841446472913701</v>
      </c>
      <c r="AI549" s="31">
        <f t="shared" si="343"/>
        <v>1.5707963267948966</v>
      </c>
      <c r="AJ549" s="31" t="str">
        <f t="shared" si="329"/>
        <v>1+41.5231986517381i</v>
      </c>
      <c r="AK549" s="31">
        <f t="shared" si="344"/>
        <v>41.535238367820945</v>
      </c>
      <c r="AL549" s="31">
        <f t="shared" si="345"/>
        <v>1.5467180580041653</v>
      </c>
      <c r="AM549" s="31" t="str">
        <f t="shared" si="330"/>
        <v>1+41564.7218503899i</v>
      </c>
      <c r="AN549" s="31">
        <f t="shared" si="346"/>
        <v>41564.721862419334</v>
      </c>
      <c r="AO549" s="31">
        <f t="shared" si="347"/>
        <v>1.5707722679306655</v>
      </c>
      <c r="AP549" s="58" t="str">
        <f t="shared" si="348"/>
        <v>-2.49909161563003E-06+0.000103874108067735i</v>
      </c>
      <c r="AQ549" s="49">
        <f t="shared" si="349"/>
        <v>-79.667340754654148</v>
      </c>
      <c r="AR549" s="61">
        <f t="shared" si="350"/>
        <v>91.378204708310136</v>
      </c>
      <c r="AS549" s="58" t="str">
        <f t="shared" si="351"/>
        <v>-5.83162675442129E-08+6.61305171590404E-08i</v>
      </c>
      <c r="AT549" s="64">
        <f t="shared" si="352"/>
        <v>-141.09353655916652</v>
      </c>
      <c r="AU549" s="61">
        <f t="shared" si="353"/>
        <v>131.407006570931</v>
      </c>
    </row>
    <row r="550" spans="14:47" x14ac:dyDescent="0.3">
      <c r="N550" s="10">
        <v>32</v>
      </c>
      <c r="O550" s="50">
        <f t="shared" si="321"/>
        <v>2089296.1308540432</v>
      </c>
      <c r="P550" s="48" t="str">
        <f t="shared" si="322"/>
        <v>51201.9230769231</v>
      </c>
      <c r="Q550" s="17" t="str">
        <f t="shared" si="323"/>
        <v>1+613455.123975043i</v>
      </c>
      <c r="R550" s="17">
        <f t="shared" si="331"/>
        <v>613455.12397585809</v>
      </c>
      <c r="S550" s="17">
        <f t="shared" si="332"/>
        <v>1.570794696683808</v>
      </c>
      <c r="T550" s="17" t="str">
        <f t="shared" si="324"/>
        <v>1+0.0000393823042551879i</v>
      </c>
      <c r="U550" s="17">
        <f t="shared" si="333"/>
        <v>1.0000000007754828</v>
      </c>
      <c r="V550" s="17">
        <f t="shared" si="334"/>
        <v>3.9382304234827696E-5</v>
      </c>
      <c r="W550" s="31" t="str">
        <f t="shared" si="325"/>
        <v>1-21.2664442978015i</v>
      </c>
      <c r="X550" s="17">
        <f t="shared" si="335"/>
        <v>21.289942533306515</v>
      </c>
      <c r="Y550" s="17">
        <f t="shared" si="336"/>
        <v>-1.5238085028881834</v>
      </c>
      <c r="Z550" s="31" t="str">
        <f t="shared" si="326"/>
        <v>-1745.06332896068+1297.75510499482i</v>
      </c>
      <c r="AA550" s="17">
        <f t="shared" si="337"/>
        <v>2174.7216683114752</v>
      </c>
      <c r="AB550" s="17">
        <f t="shared" si="338"/>
        <v>2.5021536451579269</v>
      </c>
      <c r="AC550" s="66" t="str">
        <f t="shared" si="339"/>
        <v>0.000632016958421947+0.00051788427321705i</v>
      </c>
      <c r="AD550" s="64">
        <f t="shared" si="340"/>
        <v>-61.754514353599177</v>
      </c>
      <c r="AE550" s="61">
        <f t="shared" si="341"/>
        <v>39.33171027584045</v>
      </c>
      <c r="AF550" s="31" t="str">
        <f t="shared" si="327"/>
        <v>-1.33333333333333E-06</v>
      </c>
      <c r="AG550" s="31" t="str">
        <f t="shared" si="328"/>
        <v>13.140562186481i</v>
      </c>
      <c r="AH550" s="31">
        <f t="shared" si="342"/>
        <v>13.140562186481</v>
      </c>
      <c r="AI550" s="31">
        <f t="shared" si="343"/>
        <v>1.5707963267948966</v>
      </c>
      <c r="AJ550" s="31" t="str">
        <f t="shared" si="329"/>
        <v>1+42.4903981974055i</v>
      </c>
      <c r="AK550" s="31">
        <f t="shared" si="344"/>
        <v>42.50216393284088</v>
      </c>
      <c r="AL550" s="31">
        <f t="shared" si="345"/>
        <v>1.547265941674298</v>
      </c>
      <c r="AM550" s="31" t="str">
        <f t="shared" si="330"/>
        <v>1+42532.8885956029i</v>
      </c>
      <c r="AN550" s="31">
        <f t="shared" si="346"/>
        <v>42532.888607358509</v>
      </c>
      <c r="AO550" s="31">
        <f t="shared" si="347"/>
        <v>1.5707728155772758</v>
      </c>
      <c r="AP550" s="58" t="str">
        <f t="shared" si="348"/>
        <v>-2.38667622973809E-06+0.000101512290363001i</v>
      </c>
      <c r="AQ550" s="49">
        <f t="shared" si="349"/>
        <v>-79.867227451972667</v>
      </c>
      <c r="AR550" s="61">
        <f t="shared" si="350"/>
        <v>91.346844664186861</v>
      </c>
      <c r="AS550" s="58" t="str">
        <f t="shared" si="351"/>
        <v>-5.4080038568698E-08+6.29214669130271E-08i</v>
      </c>
      <c r="AT550" s="64">
        <f t="shared" si="352"/>
        <v>-141.62174180557184</v>
      </c>
      <c r="AU550" s="61">
        <f t="shared" si="353"/>
        <v>130.67855494002734</v>
      </c>
    </row>
    <row r="551" spans="14:47" x14ac:dyDescent="0.3">
      <c r="N551" s="10">
        <v>33</v>
      </c>
      <c r="O551" s="50">
        <f t="shared" si="321"/>
        <v>2137962.0895022359</v>
      </c>
      <c r="P551" s="48" t="str">
        <f t="shared" si="322"/>
        <v>51201.9230769231</v>
      </c>
      <c r="Q551" s="17" t="str">
        <f t="shared" si="323"/>
        <v>1+627744.329442381i</v>
      </c>
      <c r="R551" s="17">
        <f t="shared" si="331"/>
        <v>627744.32944317756</v>
      </c>
      <c r="S551" s="17">
        <f t="shared" si="332"/>
        <v>1.5707947337896664</v>
      </c>
      <c r="T551" s="17" t="str">
        <f t="shared" si="324"/>
        <v>1+0.0000402996359642022i</v>
      </c>
      <c r="U551" s="17">
        <f t="shared" si="333"/>
        <v>1.0000000008120302</v>
      </c>
      <c r="V551" s="17">
        <f t="shared" si="334"/>
        <v>4.029963594238585E-5</v>
      </c>
      <c r="W551" s="31" t="str">
        <f t="shared" si="325"/>
        <v>1-21.7618034206692i</v>
      </c>
      <c r="X551" s="17">
        <f t="shared" si="335"/>
        <v>21.784767341421155</v>
      </c>
      <c r="Y551" s="17">
        <f t="shared" si="336"/>
        <v>-1.5248765559588793</v>
      </c>
      <c r="Z551" s="31" t="str">
        <f t="shared" si="326"/>
        <v>-1827.35275845951+1327.98370463777i</v>
      </c>
      <c r="AA551" s="17">
        <f t="shared" si="337"/>
        <v>2258.9286893642829</v>
      </c>
      <c r="AB551" s="17">
        <f t="shared" si="338"/>
        <v>2.5131544275718429</v>
      </c>
      <c r="AC551" s="66" t="str">
        <f t="shared" si="339"/>
        <v>0.000614398869847985+0.00049117554004772i</v>
      </c>
      <c r="AD551" s="64">
        <f t="shared" si="340"/>
        <v>-62.084922405021643</v>
      </c>
      <c r="AE551" s="61">
        <f t="shared" si="341"/>
        <v>38.640267372160515</v>
      </c>
      <c r="AF551" s="31" t="str">
        <f t="shared" si="327"/>
        <v>-1.33333333333333E-06</v>
      </c>
      <c r="AG551" s="31" t="str">
        <f t="shared" si="328"/>
        <v>13.4466452000555i</v>
      </c>
      <c r="AH551" s="31">
        <f t="shared" si="342"/>
        <v>13.446645200055499</v>
      </c>
      <c r="AI551" s="31">
        <f t="shared" si="343"/>
        <v>1.5707963267948966</v>
      </c>
      <c r="AJ551" s="31" t="str">
        <f t="shared" si="329"/>
        <v>1+43.4801267146237i</v>
      </c>
      <c r="AK551" s="31">
        <f t="shared" si="344"/>
        <v>43.491624700851695</v>
      </c>
      <c r="AL551" s="31">
        <f t="shared" si="345"/>
        <v>1.5478013676426416</v>
      </c>
      <c r="AM551" s="31" t="str">
        <f t="shared" si="330"/>
        <v>1+43523.6068413384i</v>
      </c>
      <c r="AN551" s="31">
        <f t="shared" si="346"/>
        <v>43523.606852826415</v>
      </c>
      <c r="AO551" s="31">
        <f t="shared" si="347"/>
        <v>1.5707733507579273</v>
      </c>
      <c r="AP551" s="58" t="str">
        <f t="shared" si="348"/>
        <v>-2.27931489390586E-06+0.0000992040577319583i</v>
      </c>
      <c r="AQ551" s="49">
        <f t="shared" si="349"/>
        <v>-80.06711924599233</v>
      </c>
      <c r="AR551" s="61">
        <f t="shared" si="350"/>
        <v>91.316197679551664</v>
      </c>
      <c r="AS551" s="58" t="str">
        <f t="shared" si="351"/>
        <v>-5.01270151262633E-08+5.98313172308964E-08i</v>
      </c>
      <c r="AT551" s="64">
        <f t="shared" si="352"/>
        <v>-142.15204165101397</v>
      </c>
      <c r="AU551" s="61">
        <f t="shared" si="353"/>
        <v>129.9564650517122</v>
      </c>
    </row>
    <row r="552" spans="14:47" x14ac:dyDescent="0.3">
      <c r="N552" s="10">
        <v>34</v>
      </c>
      <c r="O552" s="50">
        <f t="shared" si="321"/>
        <v>2187761.6239495561</v>
      </c>
      <c r="P552" s="48" t="str">
        <f t="shared" si="322"/>
        <v>51201.9230769231</v>
      </c>
      <c r="Q552" s="17" t="str">
        <f t="shared" si="323"/>
        <v>1+642366.37326237i</v>
      </c>
      <c r="R552" s="17">
        <f t="shared" si="331"/>
        <v>642366.37326314836</v>
      </c>
      <c r="S552" s="17">
        <f t="shared" si="332"/>
        <v>1.5707947700508926</v>
      </c>
      <c r="T552" s="17" t="str">
        <f t="shared" si="324"/>
        <v>1+0.0000412383350736336i</v>
      </c>
      <c r="U552" s="17">
        <f t="shared" si="333"/>
        <v>1.0000000008503001</v>
      </c>
      <c r="V552" s="17">
        <f t="shared" si="334"/>
        <v>4.1238335050256962E-5</v>
      </c>
      <c r="W552" s="31" t="str">
        <f t="shared" si="325"/>
        <v>1-22.2687009397621i</v>
      </c>
      <c r="X552" s="17">
        <f t="shared" si="335"/>
        <v>22.291142670230286</v>
      </c>
      <c r="Y552" s="17">
        <f t="shared" si="336"/>
        <v>-1.5259203984872112</v>
      </c>
      <c r="Z552" s="31" t="str">
        <f t="shared" si="326"/>
        <v>-1913.52036929056+1358.91641881886i</v>
      </c>
      <c r="AA552" s="17">
        <f t="shared" si="337"/>
        <v>2346.9584651257369</v>
      </c>
      <c r="AB552" s="17">
        <f t="shared" si="338"/>
        <v>2.524076644406974</v>
      </c>
      <c r="AC552" s="66" t="str">
        <f t="shared" si="339"/>
        <v>0.000596939766924407+0.000465621120436425i</v>
      </c>
      <c r="AD552" s="64">
        <f t="shared" si="340"/>
        <v>-62.417391949232702</v>
      </c>
      <c r="AE552" s="61">
        <f t="shared" si="341"/>
        <v>37.954714379113099</v>
      </c>
      <c r="AF552" s="31" t="str">
        <f t="shared" si="327"/>
        <v>-1.33333333333333E-06</v>
      </c>
      <c r="AG552" s="31" t="str">
        <f t="shared" si="328"/>
        <v>13.7598578029024i</v>
      </c>
      <c r="AH552" s="31">
        <f t="shared" si="342"/>
        <v>13.759857802902401</v>
      </c>
      <c r="AI552" s="31">
        <f t="shared" si="343"/>
        <v>1.5707963267948966</v>
      </c>
      <c r="AJ552" s="31" t="str">
        <f t="shared" si="329"/>
        <v>1+44.4929089705537i</v>
      </c>
      <c r="AK552" s="31">
        <f t="shared" si="344"/>
        <v>44.504145297511087</v>
      </c>
      <c r="AL552" s="31">
        <f t="shared" si="345"/>
        <v>1.5483246185704571</v>
      </c>
      <c r="AM552" s="31" t="str">
        <f t="shared" si="330"/>
        <v>1+44537.4018795243i</v>
      </c>
      <c r="AN552" s="31">
        <f t="shared" si="346"/>
        <v>44537.401890750822</v>
      </c>
      <c r="AO552" s="31">
        <f t="shared" si="347"/>
        <v>1.5707738737563799</v>
      </c>
      <c r="AP552" s="58" t="str">
        <f t="shared" si="348"/>
        <v>-2.17678061984318E-06+0.00009694820219373i</v>
      </c>
      <c r="AQ552" s="49">
        <f t="shared" si="349"/>
        <v>-80.267015907566588</v>
      </c>
      <c r="AR552" s="61">
        <f t="shared" si="350"/>
        <v>91.28624757536555</v>
      </c>
      <c r="AS552" s="58" t="str">
        <f t="shared" si="351"/>
        <v>-4.64405374455964E-08+5.68586821901098E-08i</v>
      </c>
      <c r="AT552" s="64">
        <f t="shared" si="352"/>
        <v>-142.68440785679931</v>
      </c>
      <c r="AU552" s="61">
        <f t="shared" si="353"/>
        <v>129.24096195447868</v>
      </c>
    </row>
    <row r="553" spans="14:47" x14ac:dyDescent="0.3">
      <c r="N553" s="10">
        <v>35</v>
      </c>
      <c r="O553" s="50">
        <f t="shared" si="321"/>
        <v>2238721.1385683389</v>
      </c>
      <c r="P553" s="48" t="str">
        <f t="shared" si="322"/>
        <v>51201.9230769231</v>
      </c>
      <c r="Q553" s="17" t="str">
        <f t="shared" si="323"/>
        <v>1+657329.008236183i</v>
      </c>
      <c r="R553" s="17">
        <f t="shared" si="331"/>
        <v>657329.00823694374</v>
      </c>
      <c r="S553" s="17">
        <f t="shared" si="332"/>
        <v>1.5707948054867122</v>
      </c>
      <c r="T553" s="17" t="str">
        <f t="shared" si="324"/>
        <v>1+0.0000421988992941747i</v>
      </c>
      <c r="U553" s="17">
        <f t="shared" si="333"/>
        <v>1.0000000008903736</v>
      </c>
      <c r="V553" s="17">
        <f t="shared" si="334"/>
        <v>4.2198899269126183E-5</v>
      </c>
      <c r="W553" s="31" t="str">
        <f t="shared" si="325"/>
        <v>1-22.7874056188543i</v>
      </c>
      <c r="X553" s="17">
        <f t="shared" si="335"/>
        <v>22.809337010053419</v>
      </c>
      <c r="Y553" s="17">
        <f t="shared" si="336"/>
        <v>-1.5269405748280998</v>
      </c>
      <c r="Z553" s="31" t="str">
        <f t="shared" si="326"/>
        <v>-2003.74893450908+1390.56964847259i</v>
      </c>
      <c r="AA553" s="17">
        <f t="shared" si="337"/>
        <v>2438.9944115966023</v>
      </c>
      <c r="AB553" s="17">
        <f t="shared" si="338"/>
        <v>2.5349157123154726</v>
      </c>
      <c r="AC553" s="66" t="str">
        <f t="shared" si="339"/>
        <v>0.000579660489015601+0.000441187902940443i</v>
      </c>
      <c r="AD553" s="64">
        <f t="shared" si="340"/>
        <v>-62.751893367121987</v>
      </c>
      <c r="AE553" s="61">
        <f t="shared" si="341"/>
        <v>37.275282741361302</v>
      </c>
      <c r="AF553" s="31" t="str">
        <f t="shared" si="327"/>
        <v>-1.33333333333333E-06</v>
      </c>
      <c r="AG553" s="31" t="str">
        <f t="shared" si="328"/>
        <v>14.0803660644897i</v>
      </c>
      <c r="AH553" s="31">
        <f t="shared" si="342"/>
        <v>14.0803660644897</v>
      </c>
      <c r="AI553" s="31">
        <f t="shared" si="343"/>
        <v>1.5707963267948966</v>
      </c>
      <c r="AJ553" s="31" t="str">
        <f t="shared" si="329"/>
        <v>1+45.5292819557529i</v>
      </c>
      <c r="AK553" s="31">
        <f t="shared" si="344"/>
        <v>45.540262575071374</v>
      </c>
      <c r="AL553" s="31">
        <f t="shared" si="345"/>
        <v>1.5488359707455617</v>
      </c>
      <c r="AM553" s="31" t="str">
        <f t="shared" si="330"/>
        <v>1+45574.8112377087i</v>
      </c>
      <c r="AN553" s="31">
        <f t="shared" si="346"/>
        <v>45574.811248679667</v>
      </c>
      <c r="AO553" s="31">
        <f t="shared" si="347"/>
        <v>1.5707743848499345</v>
      </c>
      <c r="AP553" s="58" t="str">
        <f t="shared" si="348"/>
        <v>-2.07885659310311E-06+0.0000947435424807119i</v>
      </c>
      <c r="AQ553" s="49">
        <f t="shared" si="349"/>
        <v>-80.466917217840731</v>
      </c>
      <c r="AR553" s="61">
        <f t="shared" si="350"/>
        <v>91.256978537390822</v>
      </c>
      <c r="AS553" s="58" t="str">
        <f t="shared" si="351"/>
        <v>-4.30047358535655E-08+5.40019217846148E-08i</v>
      </c>
      <c r="AT553" s="64">
        <f t="shared" si="352"/>
        <v>-143.21881058496271</v>
      </c>
      <c r="AU553" s="61">
        <f t="shared" si="353"/>
        <v>128.53226127875209</v>
      </c>
    </row>
    <row r="554" spans="14:47" x14ac:dyDescent="0.3">
      <c r="N554" s="10">
        <v>36</v>
      </c>
      <c r="O554" s="50">
        <f t="shared" si="321"/>
        <v>2290867.6527677765</v>
      </c>
      <c r="P554" s="48" t="str">
        <f t="shared" si="322"/>
        <v>51201.9230769231</v>
      </c>
      <c r="Q554" s="17" t="str">
        <f t="shared" si="323"/>
        <v>1+672640.167750948i</v>
      </c>
      <c r="R554" s="17">
        <f t="shared" si="331"/>
        <v>672640.1677516913</v>
      </c>
      <c r="S554" s="17">
        <f t="shared" si="332"/>
        <v>1.5707948401159144</v>
      </c>
      <c r="T554" s="17" t="str">
        <f t="shared" si="324"/>
        <v>1+0.0000431818379296905i</v>
      </c>
      <c r="U554" s="17">
        <f t="shared" si="333"/>
        <v>1.0000000009323355</v>
      </c>
      <c r="V554" s="17">
        <f t="shared" si="334"/>
        <v>4.318183790285053E-5</v>
      </c>
      <c r="W554" s="31" t="str">
        <f t="shared" si="325"/>
        <v>1-23.3181924820329i</v>
      </c>
      <c r="X554" s="17">
        <f t="shared" si="335"/>
        <v>23.339625117579235</v>
      </c>
      <c r="Y554" s="17">
        <f t="shared" si="336"/>
        <v>-1.5279376173936416</v>
      </c>
      <c r="Z554" s="31" t="str">
        <f t="shared" si="326"/>
        <v>-2098.22984099911+1422.96017656033i</v>
      </c>
      <c r="AA554" s="17">
        <f t="shared" si="337"/>
        <v>2535.2286148857966</v>
      </c>
      <c r="AB554" s="17">
        <f t="shared" si="338"/>
        <v>2.5456672381785199</v>
      </c>
      <c r="AC554" s="66" t="str">
        <f t="shared" si="339"/>
        <v>0.000562580520918016+0.000417842587949369i</v>
      </c>
      <c r="AD554" s="64">
        <f t="shared" si="340"/>
        <v>-63.088395541076636</v>
      </c>
      <c r="AE554" s="61">
        <f t="shared" si="341"/>
        <v>36.602193689210488</v>
      </c>
      <c r="AF554" s="31" t="str">
        <f t="shared" si="327"/>
        <v>-1.33333333333333E-06</v>
      </c>
      <c r="AG554" s="31" t="str">
        <f t="shared" si="328"/>
        <v>14.40833992254i</v>
      </c>
      <c r="AH554" s="31">
        <f t="shared" si="342"/>
        <v>14.40833992254</v>
      </c>
      <c r="AI554" s="31">
        <f t="shared" si="343"/>
        <v>1.5707963267948966</v>
      </c>
      <c r="AJ554" s="31" t="str">
        <f t="shared" si="329"/>
        <v>1+46.5897951688968i</v>
      </c>
      <c r="AK554" s="31">
        <f t="shared" si="344"/>
        <v>46.600525897029961</v>
      </c>
      <c r="AL554" s="31">
        <f t="shared" si="345"/>
        <v>1.5493356942233634</v>
      </c>
      <c r="AM554" s="31" t="str">
        <f t="shared" si="330"/>
        <v>1+46636.3849640657i</v>
      </c>
      <c r="AN554" s="31">
        <f t="shared" si="346"/>
        <v>46636.384974786939</v>
      </c>
      <c r="AO554" s="31">
        <f t="shared" si="347"/>
        <v>1.5707748843095792</v>
      </c>
      <c r="AP554" s="58" t="str">
        <f t="shared" si="348"/>
        <v>-1.98533571890041E-06+0.000092588923482652i</v>
      </c>
      <c r="AQ554" s="49">
        <f t="shared" si="349"/>
        <v>-80.666822967790651</v>
      </c>
      <c r="AR554" s="61">
        <f t="shared" si="350"/>
        <v>91.228375108118883</v>
      </c>
      <c r="AS554" s="58" t="str">
        <f t="shared" si="351"/>
        <v>-3.98045066063736E-08+5.1259166989375E-08i</v>
      </c>
      <c r="AT554" s="64">
        <f t="shared" si="352"/>
        <v>-143.7552185088673</v>
      </c>
      <c r="AU554" s="61">
        <f t="shared" si="353"/>
        <v>127.83056879732941</v>
      </c>
    </row>
    <row r="555" spans="14:47" x14ac:dyDescent="0.3">
      <c r="N555" s="10">
        <v>37</v>
      </c>
      <c r="O555" s="50">
        <f t="shared" si="321"/>
        <v>2344228.8153199251</v>
      </c>
      <c r="P555" s="48" t="str">
        <f t="shared" si="322"/>
        <v>51201.9230769231</v>
      </c>
      <c r="Q555" s="17" t="str">
        <f t="shared" si="323"/>
        <v>1+688307.969986097i</v>
      </c>
      <c r="R555" s="17">
        <f t="shared" si="331"/>
        <v>688307.96998682339</v>
      </c>
      <c r="S555" s="17">
        <f t="shared" si="332"/>
        <v>1.5707948739568596</v>
      </c>
      <c r="T555" s="17" t="str">
        <f t="shared" si="324"/>
        <v>1+0.0000441876721472556i</v>
      </c>
      <c r="U555" s="17">
        <f t="shared" si="333"/>
        <v>1.0000000009762751</v>
      </c>
      <c r="V555" s="17">
        <f t="shared" si="334"/>
        <v>4.4187672118496047E-5</v>
      </c>
      <c r="W555" s="31" t="str">
        <f t="shared" si="325"/>
        <v>1-23.861342959518i</v>
      </c>
      <c r="X555" s="17">
        <f t="shared" si="335"/>
        <v>23.882288161558964</v>
      </c>
      <c r="Y555" s="17">
        <f t="shared" si="336"/>
        <v>-1.5289120468952544</v>
      </c>
      <c r="Z555" s="31" t="str">
        <f t="shared" si="326"/>
        <v>-2197.16349543052+1456.10517696877i</v>
      </c>
      <c r="AA555" s="17">
        <f t="shared" si="337"/>
        <v>2635.8622331312604</v>
      </c>
      <c r="AB555" s="17">
        <f t="shared" si="338"/>
        <v>2.5563270253996233</v>
      </c>
      <c r="AC555" s="66" t="str">
        <f t="shared" si="339"/>
        <v>0.000545717984365141+0.000395551763591278i</v>
      </c>
      <c r="AD555" s="64">
        <f t="shared" si="340"/>
        <v>-63.426865968442819</v>
      </c>
      <c r="AE555" s="61">
        <f t="shared" si="341"/>
        <v>35.93565786417058</v>
      </c>
      <c r="AF555" s="31" t="str">
        <f t="shared" si="327"/>
        <v>-1.33333333333333E-06</v>
      </c>
      <c r="AG555" s="31" t="str">
        <f t="shared" si="328"/>
        <v>14.7439532731342i</v>
      </c>
      <c r="AH555" s="31">
        <f t="shared" si="342"/>
        <v>14.743953273134199</v>
      </c>
      <c r="AI555" s="31">
        <f t="shared" si="343"/>
        <v>1.5707963267948966</v>
      </c>
      <c r="AJ555" s="31" t="str">
        <f t="shared" si="329"/>
        <v>1+47.6750109081279i</v>
      </c>
      <c r="AK555" s="31">
        <f t="shared" si="344"/>
        <v>47.685497429408393</v>
      </c>
      <c r="AL555" s="31">
        <f t="shared" si="345"/>
        <v>1.5498240529649503</v>
      </c>
      <c r="AM555" s="31" t="str">
        <f t="shared" si="330"/>
        <v>1+47722.685919036i</v>
      </c>
      <c r="AN555" s="31">
        <f t="shared" si="346"/>
        <v>47722.685929513202</v>
      </c>
      <c r="AO555" s="31">
        <f t="shared" si="347"/>
        <v>1.5707753724001345</v>
      </c>
      <c r="AP555" s="58" t="str">
        <f t="shared" si="348"/>
        <v>-1.89602018804529E-06+0.0000904832156999222i</v>
      </c>
      <c r="AQ555" s="49">
        <f t="shared" si="349"/>
        <v>-80.866732957782176</v>
      </c>
      <c r="AR555" s="61">
        <f t="shared" si="350"/>
        <v>91.200422178866475</v>
      </c>
      <c r="AS555" s="58" t="str">
        <f t="shared" si="351"/>
        <v>-3.68254878608499E-08+4.86283439614518E-08i</v>
      </c>
      <c r="AT555" s="64">
        <f t="shared" si="352"/>
        <v>-144.293598926225</v>
      </c>
      <c r="AU555" s="61">
        <f t="shared" si="353"/>
        <v>127.13608004303705</v>
      </c>
    </row>
    <row r="556" spans="14:47" x14ac:dyDescent="0.3">
      <c r="N556" s="10">
        <v>38</v>
      </c>
      <c r="O556" s="50">
        <f t="shared" si="321"/>
        <v>2398832.9190194933</v>
      </c>
      <c r="P556" s="48" t="str">
        <f t="shared" si="322"/>
        <v>51201.9230769231</v>
      </c>
      <c r="Q556" s="17" t="str">
        <f t="shared" si="323"/>
        <v>1+704340.722217763i</v>
      </c>
      <c r="R556" s="17">
        <f t="shared" si="331"/>
        <v>704340.72221847286</v>
      </c>
      <c r="S556" s="17">
        <f t="shared" si="332"/>
        <v>1.5707949070274907</v>
      </c>
      <c r="T556" s="17" t="str">
        <f t="shared" si="324"/>
        <v>1+0.000045216935253486i</v>
      </c>
      <c r="U556" s="17">
        <f t="shared" si="333"/>
        <v>1.0000000010222856</v>
      </c>
      <c r="V556" s="17">
        <f t="shared" si="334"/>
        <v>4.5216935222669586E-5</v>
      </c>
      <c r="W556" s="31" t="str">
        <f t="shared" si="325"/>
        <v>1-24.4171450368824i</v>
      </c>
      <c r="X556" s="17">
        <f t="shared" si="335"/>
        <v>24.437613871901462</v>
      </c>
      <c r="Y556" s="17">
        <f t="shared" si="336"/>
        <v>-1.529864372582274</v>
      </c>
      <c r="Z556" s="31" t="str">
        <f t="shared" si="326"/>
        <v>-2300.75974934864+1490.02222361586i</v>
      </c>
      <c r="AA556" s="17">
        <f t="shared" si="337"/>
        <v>2741.1059175252549</v>
      </c>
      <c r="AB556" s="17">
        <f t="shared" si="338"/>
        <v>2.5668910792044852</v>
      </c>
      <c r="AC556" s="66" t="str">
        <f t="shared" si="339"/>
        <v>0.000529089636379016+0.000374281981582796i</v>
      </c>
      <c r="AD556" s="64">
        <f t="shared" si="340"/>
        <v>-63.767270876635081</v>
      </c>
      <c r="AE556" s="61">
        <f t="shared" si="341"/>
        <v>35.275875001638859</v>
      </c>
      <c r="AF556" s="31" t="str">
        <f t="shared" si="327"/>
        <v>-1.33333333333333E-06</v>
      </c>
      <c r="AG556" s="31" t="str">
        <f t="shared" si="328"/>
        <v>15.0873840629132i</v>
      </c>
      <c r="AH556" s="31">
        <f t="shared" si="342"/>
        <v>15.0873840629132</v>
      </c>
      <c r="AI556" s="31">
        <f t="shared" si="343"/>
        <v>1.5707963267948966</v>
      </c>
      <c r="AJ556" s="31" t="str">
        <f t="shared" si="329"/>
        <v>1+48.7855045691956i</v>
      </c>
      <c r="AK556" s="31">
        <f t="shared" si="344"/>
        <v>48.795752438824067</v>
      </c>
      <c r="AL556" s="31">
        <f t="shared" si="345"/>
        <v>1.5503013049722911</v>
      </c>
      <c r="AM556" s="31" t="str">
        <f t="shared" si="330"/>
        <v>1+48834.2900737649i</v>
      </c>
      <c r="AN556" s="31">
        <f t="shared" si="346"/>
        <v>48834.290084003609</v>
      </c>
      <c r="AO556" s="31">
        <f t="shared" si="347"/>
        <v>1.5707758493803925</v>
      </c>
      <c r="AP556" s="58" t="str">
        <f t="shared" si="348"/>
        <v>-1.81072106211576E-06+0.0000884253147060011i</v>
      </c>
      <c r="AQ556" s="49">
        <f t="shared" si="349"/>
        <v>-81.066646997149945</v>
      </c>
      <c r="AR556" s="61">
        <f t="shared" si="350"/>
        <v>91.173104982037373</v>
      </c>
      <c r="AS556" s="58" t="str">
        <f t="shared" si="351"/>
        <v>-3.40540357585831E-08+4.61071973372758E-08i</v>
      </c>
      <c r="AT556" s="64">
        <f t="shared" si="352"/>
        <v>-144.83391787378503</v>
      </c>
      <c r="AU556" s="61">
        <f t="shared" si="353"/>
        <v>126.44897998367624</v>
      </c>
    </row>
    <row r="557" spans="14:47" x14ac:dyDescent="0.3">
      <c r="N557" s="10">
        <v>39</v>
      </c>
      <c r="O557" s="50">
        <f t="shared" si="321"/>
        <v>2454708.915685033</v>
      </c>
      <c r="P557" s="48" t="str">
        <f t="shared" si="322"/>
        <v>51201.9230769231</v>
      </c>
      <c r="Q557" s="17" t="str">
        <f t="shared" si="323"/>
        <v>1+720746.9252234i</v>
      </c>
      <c r="R557" s="17">
        <f t="shared" si="331"/>
        <v>720746.92522409372</v>
      </c>
      <c r="S557" s="17">
        <f t="shared" si="332"/>
        <v>1.5707949393453426</v>
      </c>
      <c r="T557" s="17" t="str">
        <f t="shared" si="324"/>
        <v>1+0.0000462701729773047i</v>
      </c>
      <c r="U557" s="17">
        <f t="shared" si="333"/>
        <v>1.0000000010704644</v>
      </c>
      <c r="V557" s="17">
        <f t="shared" si="334"/>
        <v>4.6270172944284316E-5</v>
      </c>
      <c r="W557" s="31" t="str">
        <f t="shared" si="325"/>
        <v>1-24.9858934077445i</v>
      </c>
      <c r="X557" s="17">
        <f t="shared" si="335"/>
        <v>25.005896692243816</v>
      </c>
      <c r="Y557" s="17">
        <f t="shared" si="336"/>
        <v>-1.5307950924769498</v>
      </c>
      <c r="Z557" s="31" t="str">
        <f t="shared" si="326"/>
        <v>-2409.23834429743+1524.7292997687i</v>
      </c>
      <c r="AA557" s="17">
        <f t="shared" si="337"/>
        <v>2851.1802533698519</v>
      </c>
      <c r="AB557" s="17">
        <f t="shared" si="338"/>
        <v>2.5773556109544806</v>
      </c>
      <c r="AC557" s="66" t="str">
        <f t="shared" si="339"/>
        <v>0.00051271087426526+0.000353999832327497i</v>
      </c>
      <c r="AD557" s="64">
        <f t="shared" si="340"/>
        <v>-64.10957533915051</v>
      </c>
      <c r="AE557" s="61">
        <f t="shared" si="341"/>
        <v>34.623033670309354</v>
      </c>
      <c r="AF557" s="31" t="str">
        <f t="shared" si="327"/>
        <v>-1.33333333333333E-06</v>
      </c>
      <c r="AG557" s="31" t="str">
        <f t="shared" si="328"/>
        <v>15.4388143834274i</v>
      </c>
      <c r="AH557" s="31">
        <f t="shared" si="342"/>
        <v>15.438814383427401</v>
      </c>
      <c r="AI557" s="31">
        <f t="shared" si="343"/>
        <v>1.5707963267948966</v>
      </c>
      <c r="AJ557" s="31" t="str">
        <f t="shared" si="329"/>
        <v>1+49.9218649505385i</v>
      </c>
      <c r="AK557" s="31">
        <f t="shared" si="344"/>
        <v>49.931879597505684</v>
      </c>
      <c r="AL557" s="31">
        <f t="shared" si="345"/>
        <v>1.5507677024205913</v>
      </c>
      <c r="AM557" s="31" t="str">
        <f t="shared" si="330"/>
        <v>1+49971.7868154891i</v>
      </c>
      <c r="AN557" s="31">
        <f t="shared" si="346"/>
        <v>49971.786825494753</v>
      </c>
      <c r="AO557" s="31">
        <f t="shared" si="347"/>
        <v>1.5707763155032539</v>
      </c>
      <c r="AP557" s="58" t="str">
        <f t="shared" si="348"/>
        <v>-1.72925787702876E-06+0.0000864141406191742i</v>
      </c>
      <c r="AQ557" s="49">
        <f t="shared" si="349"/>
        <v>-81.266564903795114</v>
      </c>
      <c r="AR557" s="61">
        <f t="shared" si="350"/>
        <v>91.146409083546828</v>
      </c>
      <c r="AS557" s="58" t="str">
        <f t="shared" si="351"/>
        <v>-3.14772006078739E-08+4.36933125872187E-08i</v>
      </c>
      <c r="AT557" s="64">
        <f t="shared" si="352"/>
        <v>-145.37614024294561</v>
      </c>
      <c r="AU557" s="61">
        <f t="shared" si="353"/>
        <v>125.76944275385618</v>
      </c>
    </row>
    <row r="558" spans="14:47" x14ac:dyDescent="0.3">
      <c r="N558" s="10">
        <v>40</v>
      </c>
      <c r="O558" s="50">
        <f t="shared" si="321"/>
        <v>2511886.431509587</v>
      </c>
      <c r="P558" s="48" t="str">
        <f t="shared" si="322"/>
        <v>51201.9230769231</v>
      </c>
      <c r="Q558" s="17" t="str">
        <f t="shared" si="323"/>
        <v>1+737535.277789009i</v>
      </c>
      <c r="R558" s="17">
        <f t="shared" si="331"/>
        <v>737535.27778968704</v>
      </c>
      <c r="S558" s="17">
        <f t="shared" si="332"/>
        <v>1.5707949709275502</v>
      </c>
      <c r="T558" s="17" t="str">
        <f t="shared" si="324"/>
        <v>1+0.0000473479437592944i</v>
      </c>
      <c r="U558" s="17">
        <f t="shared" si="333"/>
        <v>1.0000000011209138</v>
      </c>
      <c r="V558" s="17">
        <f t="shared" si="334"/>
        <v>4.7347943723912424E-5</v>
      </c>
      <c r="W558" s="31" t="str">
        <f t="shared" si="325"/>
        <v>1-25.567889630019i</v>
      </c>
      <c r="X558" s="17">
        <f t="shared" si="335"/>
        <v>25.587437936081706</v>
      </c>
      <c r="Y558" s="17">
        <f t="shared" si="336"/>
        <v>-1.5317046936058012</v>
      </c>
      <c r="Z558" s="31" t="str">
        <f t="shared" si="326"/>
        <v>-2522.82937792079+1560.24480757845i</v>
      </c>
      <c r="AA558" s="17">
        <f t="shared" si="337"/>
        <v>2966.3162221306948</v>
      </c>
      <c r="AB558" s="17">
        <f t="shared" si="338"/>
        <v>2.5877170414887192</v>
      </c>
      <c r="AC558" s="66" t="str">
        <f t="shared" si="339"/>
        <v>0.000496595746980652+0.000334672018613839i</v>
      </c>
      <c r="AD558" s="64">
        <f t="shared" si="340"/>
        <v>-64.453743391776825</v>
      </c>
      <c r="AE558" s="61">
        <f t="shared" si="341"/>
        <v>33.977311067445811</v>
      </c>
      <c r="AF558" s="31" t="str">
        <f t="shared" si="327"/>
        <v>-1.33333333333333E-06</v>
      </c>
      <c r="AG558" s="31" t="str">
        <f t="shared" si="328"/>
        <v>15.7984305676846i</v>
      </c>
      <c r="AH558" s="31">
        <f t="shared" si="342"/>
        <v>15.7984305676846</v>
      </c>
      <c r="AI558" s="31">
        <f t="shared" si="343"/>
        <v>1.5707963267948966</v>
      </c>
      <c r="AJ558" s="31" t="str">
        <f t="shared" si="329"/>
        <v>1+51.0846945654724i</v>
      </c>
      <c r="AK558" s="31">
        <f t="shared" si="344"/>
        <v>51.094481295415896</v>
      </c>
      <c r="AL558" s="31">
        <f t="shared" si="345"/>
        <v>1.5512234917878553</v>
      </c>
      <c r="AM558" s="31" t="str">
        <f t="shared" si="330"/>
        <v>1+51135.779260038i</v>
      </c>
      <c r="AN558" s="31">
        <f t="shared" si="346"/>
        <v>51135.779269815881</v>
      </c>
      <c r="AO558" s="31">
        <f t="shared" si="347"/>
        <v>1.570776771015864</v>
      </c>
      <c r="AP558" s="58" t="str">
        <f t="shared" si="348"/>
        <v>-1.65145826420569E-06+0.0000844486375834359i</v>
      </c>
      <c r="AQ558" s="49">
        <f t="shared" si="349"/>
        <v>-81.466486503801264</v>
      </c>
      <c r="AR558" s="61">
        <f t="shared" si="350"/>
        <v>91.120320375405711</v>
      </c>
      <c r="AS558" s="58" t="str">
        <f t="shared" si="351"/>
        <v>-2.90827031595576E-08+4.13841373913065E-08i</v>
      </c>
      <c r="AT558" s="64">
        <f t="shared" si="352"/>
        <v>-145.92022989557807</v>
      </c>
      <c r="AU558" s="61">
        <f t="shared" si="353"/>
        <v>125.09763144285151</v>
      </c>
    </row>
    <row r="559" spans="14:47" x14ac:dyDescent="0.3">
      <c r="N559" s="10">
        <v>41</v>
      </c>
      <c r="O559" s="50">
        <f t="shared" si="321"/>
        <v>2570395.782768866</v>
      </c>
      <c r="P559" s="48" t="str">
        <f t="shared" si="322"/>
        <v>51201.9230769231</v>
      </c>
      <c r="Q559" s="17" t="str">
        <f t="shared" si="323"/>
        <v>1+754714.681321331i</v>
      </c>
      <c r="R559" s="17">
        <f t="shared" si="331"/>
        <v>754714.68132199359</v>
      </c>
      <c r="S559" s="17">
        <f t="shared" si="332"/>
        <v>1.570795001790859</v>
      </c>
      <c r="T559" s="17" t="str">
        <f t="shared" si="324"/>
        <v>1+0.0000484508190477892i</v>
      </c>
      <c r="U559" s="17">
        <f t="shared" si="333"/>
        <v>1.0000000011737409</v>
      </c>
      <c r="V559" s="17">
        <f t="shared" si="334"/>
        <v>4.8450819009876728E-5</v>
      </c>
      <c r="W559" s="31" t="str">
        <f t="shared" si="325"/>
        <v>1-26.1634422858061i</v>
      </c>
      <c r="X559" s="17">
        <f t="shared" si="335"/>
        <v>26.182545946540543</v>
      </c>
      <c r="Y559" s="17">
        <f t="shared" si="336"/>
        <v>-1.5325936522273078</v>
      </c>
      <c r="Z559" s="31" t="str">
        <f t="shared" si="326"/>
        <v>-2641.77379203039+1596.58757783746i</v>
      </c>
      <c r="AA559" s="17">
        <f t="shared" si="337"/>
        <v>3086.7556854995041</v>
      </c>
      <c r="AB559" s="17">
        <f t="shared" si="338"/>
        <v>2.5979720035167739</v>
      </c>
      <c r="AC559" s="66" t="str">
        <f t="shared" si="339"/>
        <v>0.000480756972542765+0.000316265427317527i</v>
      </c>
      <c r="AD559" s="64">
        <f t="shared" si="340"/>
        <v>-64.799738148314717</v>
      </c>
      <c r="AE559" s="61">
        <f t="shared" si="341"/>
        <v>33.338872868759324</v>
      </c>
      <c r="AF559" s="31" t="str">
        <f t="shared" si="327"/>
        <v>-1.33333333333333E-06</v>
      </c>
      <c r="AG559" s="31" t="str">
        <f t="shared" si="328"/>
        <v>16.1664232889456i</v>
      </c>
      <c r="AH559" s="31">
        <f t="shared" si="342"/>
        <v>16.166423288945602</v>
      </c>
      <c r="AI559" s="31">
        <f t="shared" si="343"/>
        <v>1.5707963267948966</v>
      </c>
      <c r="AJ559" s="31" t="str">
        <f t="shared" si="329"/>
        <v>1+52.2746099616505i</v>
      </c>
      <c r="AK559" s="31">
        <f t="shared" si="344"/>
        <v>52.284173959647568</v>
      </c>
      <c r="AL559" s="31">
        <f t="shared" si="345"/>
        <v>1.5516689139817044</v>
      </c>
      <c r="AM559" s="31" t="str">
        <f t="shared" si="330"/>
        <v>1+52326.8845716122i</v>
      </c>
      <c r="AN559" s="31">
        <f t="shared" si="346"/>
        <v>52326.88458116752</v>
      </c>
      <c r="AO559" s="31">
        <f t="shared" si="347"/>
        <v>1.5707772161597411</v>
      </c>
      <c r="AP559" s="58" t="str">
        <f t="shared" si="348"/>
        <v>-1.57715758856256E-06+0.000082527773258579i</v>
      </c>
      <c r="AQ559" s="49">
        <f t="shared" si="349"/>
        <v>-81.666411631067149</v>
      </c>
      <c r="AR559" s="61">
        <f t="shared" si="350"/>
        <v>91.094825068462129</v>
      </c>
      <c r="AS559" s="58" t="str">
        <f t="shared" si="351"/>
        <v>-2.68589109826886E-08+3.91770020037964E-08i</v>
      </c>
      <c r="AT559" s="64">
        <f t="shared" si="352"/>
        <v>-146.46614977938188</v>
      </c>
      <c r="AU559" s="61">
        <f t="shared" si="353"/>
        <v>124.43369793722141</v>
      </c>
    </row>
    <row r="560" spans="14:47" ht="15" thickBot="1" x14ac:dyDescent="0.35">
      <c r="N560" s="10">
        <v>42</v>
      </c>
      <c r="O560" s="50">
        <f t="shared" si="321"/>
        <v>2630267.9918953842</v>
      </c>
      <c r="P560" s="48" t="str">
        <f t="shared" si="322"/>
        <v>51201.9230769231</v>
      </c>
      <c r="Q560" s="17" t="str">
        <f t="shared" si="323"/>
        <v>1+772294.244567519i</v>
      </c>
      <c r="R560" s="17">
        <f t="shared" si="331"/>
        <v>772294.24456816656</v>
      </c>
      <c r="S560" s="17">
        <f t="shared" si="332"/>
        <v>1.5707950319516331</v>
      </c>
      <c r="T560" s="17" t="str">
        <f t="shared" si="324"/>
        <v>1+0.0000495793836018654i</v>
      </c>
      <c r="U560" s="17">
        <f t="shared" si="333"/>
        <v>1.0000000012290575</v>
      </c>
      <c r="V560" s="17">
        <f t="shared" si="334"/>
        <v>4.9579383561241458E-5</v>
      </c>
      <c r="W560" s="31" t="str">
        <f t="shared" si="325"/>
        <v>1-26.7728671450073i</v>
      </c>
      <c r="X560" s="17">
        <f t="shared" si="335"/>
        <v>26.791536259875269</v>
      </c>
      <c r="Y560" s="17">
        <f t="shared" si="336"/>
        <v>-1.5334624340559138</v>
      </c>
      <c r="Z560" s="31" t="str">
        <f t="shared" si="326"/>
        <v>-2766.32388367575+1633.77687996357i</v>
      </c>
      <c r="AA560" s="17">
        <f t="shared" si="337"/>
        <v>3212.7518925211734</v>
      </c>
      <c r="AB560" s="17">
        <f t="shared" si="338"/>
        <v>2.6081173430910001</v>
      </c>
      <c r="AC560" s="59" t="str">
        <f t="shared" si="339"/>
        <v>0.000465205961100432+0.000298747198571166i</v>
      </c>
      <c r="AD560" s="65">
        <f t="shared" si="340"/>
        <v>-65.147521915174224</v>
      </c>
      <c r="AE560" s="63">
        <f t="shared" si="341"/>
        <v>32.707873131232908</v>
      </c>
      <c r="AF560" s="31" t="str">
        <f t="shared" si="327"/>
        <v>-1.33333333333333E-06</v>
      </c>
      <c r="AG560" s="31" t="str">
        <f t="shared" si="328"/>
        <v>16.5429876618225i</v>
      </c>
      <c r="AH560" s="31">
        <f t="shared" si="342"/>
        <v>16.542987661822501</v>
      </c>
      <c r="AI560" s="31">
        <f t="shared" si="343"/>
        <v>1.5707963267948966</v>
      </c>
      <c r="AJ560" s="31" t="str">
        <f t="shared" si="329"/>
        <v>1+53.4922420479666i</v>
      </c>
      <c r="AK560" s="31">
        <f t="shared" si="344"/>
        <v>53.501588381264398</v>
      </c>
      <c r="AL560" s="31">
        <f t="shared" si="345"/>
        <v>1.5521042044634987</v>
      </c>
      <c r="AM560" s="31" t="str">
        <f t="shared" si="330"/>
        <v>1+53545.7342900146i</v>
      </c>
      <c r="AN560" s="31">
        <f t="shared" si="346"/>
        <v>53545.734299352414</v>
      </c>
      <c r="AO560" s="31">
        <f t="shared" si="347"/>
        <v>1.5707776511709064</v>
      </c>
      <c r="AP560" s="62" t="str">
        <f t="shared" si="348"/>
        <v>-1.50619860258674E-06+0.0000806505383194289i</v>
      </c>
      <c r="AQ560" s="55">
        <f t="shared" si="349"/>
        <v>-81.86634012695626</v>
      </c>
      <c r="AR560" s="63">
        <f t="shared" si="350"/>
        <v>91.069909685296906</v>
      </c>
      <c r="AS560" s="62" t="str">
        <f t="shared" si="351"/>
        <v>-2.47948149547104E-08+3.70691385791426E-08i</v>
      </c>
      <c r="AT560" s="65">
        <f t="shared" si="352"/>
        <v>-147.01386204213048</v>
      </c>
      <c r="AU560" s="63">
        <f t="shared" si="353"/>
        <v>123.77778281652982</v>
      </c>
    </row>
    <row r="561" spans="14:31" x14ac:dyDescent="0.3">
      <c r="N561" s="10"/>
      <c r="P561" s="48"/>
      <c r="Q561" s="17"/>
      <c r="R561" s="17"/>
      <c r="S561" s="17"/>
      <c r="T561" s="17"/>
      <c r="U561" s="17"/>
      <c r="V561" s="17"/>
      <c r="W561" s="31"/>
      <c r="X561" s="17"/>
      <c r="Y561" s="17"/>
      <c r="Z561" s="31"/>
      <c r="AA561" s="17"/>
      <c r="AB561" s="17"/>
      <c r="AC561" s="17"/>
      <c r="AD561" s="32"/>
      <c r="AE561" s="31"/>
    </row>
    <row r="562" spans="14:31" x14ac:dyDescent="0.3">
      <c r="N562" s="10"/>
      <c r="P562" s="48"/>
      <c r="Q562" s="17"/>
      <c r="R562" s="17"/>
      <c r="S562" s="17"/>
      <c r="T562" s="17"/>
      <c r="U562" s="17"/>
      <c r="V562" s="17"/>
      <c r="W562" s="31"/>
      <c r="X562" s="17"/>
      <c r="Y562" s="17"/>
      <c r="Z562" s="31"/>
      <c r="AA562" s="17"/>
      <c r="AB562" s="17"/>
      <c r="AC562" s="17"/>
      <c r="AD562" s="32"/>
      <c r="AE562" s="31"/>
    </row>
    <row r="563" spans="14:31" x14ac:dyDescent="0.3">
      <c r="N563" s="10"/>
      <c r="P563" s="48"/>
      <c r="Q563" s="17"/>
      <c r="R563" s="17"/>
      <c r="S563" s="17"/>
      <c r="T563" s="17"/>
      <c r="U563" s="17"/>
      <c r="V563" s="17"/>
      <c r="W563" s="31"/>
      <c r="X563" s="17"/>
      <c r="Y563" s="17"/>
      <c r="Z563" s="31"/>
      <c r="AA563" s="17"/>
      <c r="AB563" s="17"/>
      <c r="AC563" s="17"/>
      <c r="AD563" s="32"/>
      <c r="AE563" s="31"/>
    </row>
    <row r="564" spans="14:31" x14ac:dyDescent="0.3">
      <c r="N564" s="10"/>
      <c r="P564" s="48"/>
      <c r="Q564" s="17"/>
      <c r="R564" s="17"/>
      <c r="S564" s="17"/>
      <c r="T564" s="17"/>
      <c r="U564" s="17"/>
      <c r="V564" s="17"/>
      <c r="W564" s="31"/>
      <c r="X564" s="17"/>
      <c r="Y564" s="17"/>
      <c r="Z564" s="31"/>
      <c r="AA564" s="17"/>
      <c r="AB564" s="17"/>
      <c r="AC564" s="17"/>
      <c r="AD564" s="32"/>
      <c r="AE564" s="31"/>
    </row>
    <row r="565" spans="14:31" x14ac:dyDescent="0.3">
      <c r="N565" s="10"/>
      <c r="P565" s="48"/>
      <c r="Q565" s="17"/>
      <c r="R565" s="17"/>
      <c r="S565" s="17"/>
      <c r="T565" s="17"/>
      <c r="U565" s="17"/>
      <c r="V565" s="17"/>
      <c r="W565" s="31"/>
      <c r="X565" s="17"/>
      <c r="Y565" s="17"/>
      <c r="Z565" s="31"/>
      <c r="AA565" s="17"/>
      <c r="AB565" s="17"/>
      <c r="AC565" s="17"/>
      <c r="AD565" s="32"/>
      <c r="AE565" s="31"/>
    </row>
    <row r="566" spans="14:31" x14ac:dyDescent="0.3">
      <c r="N566" s="10"/>
      <c r="P566" s="48"/>
      <c r="Q566" s="17"/>
      <c r="R566" s="17"/>
      <c r="S566" s="17"/>
      <c r="T566" s="17"/>
      <c r="U566" s="17"/>
      <c r="V566" s="17"/>
      <c r="W566" s="31"/>
      <c r="X566" s="17"/>
      <c r="Y566" s="17"/>
      <c r="Z566" s="31"/>
      <c r="AA566" s="17"/>
      <c r="AB566" s="17"/>
      <c r="AC566" s="17"/>
      <c r="AD566" s="32"/>
      <c r="AE566" s="31"/>
    </row>
    <row r="567" spans="14:31" x14ac:dyDescent="0.3">
      <c r="N567" s="10"/>
      <c r="P567" s="48"/>
      <c r="Q567" s="17"/>
      <c r="R567" s="17"/>
      <c r="S567" s="17"/>
      <c r="T567" s="17"/>
      <c r="U567" s="17"/>
      <c r="V567" s="17"/>
      <c r="W567" s="31"/>
      <c r="X567" s="17"/>
      <c r="Y567" s="17"/>
      <c r="Z567" s="31"/>
      <c r="AA567" s="17"/>
      <c r="AB567" s="17"/>
      <c r="AC567" s="17"/>
      <c r="AD567" s="32"/>
      <c r="AE567" s="31"/>
    </row>
    <row r="568" spans="14:31" x14ac:dyDescent="0.3">
      <c r="N568" s="10"/>
      <c r="P568" s="48"/>
      <c r="Q568" s="17"/>
      <c r="R568" s="17"/>
      <c r="S568" s="17"/>
      <c r="T568" s="17"/>
      <c r="U568" s="17"/>
      <c r="V568" s="17"/>
      <c r="W568" s="31"/>
      <c r="X568" s="17"/>
      <c r="Y568" s="17"/>
      <c r="Z568" s="31"/>
      <c r="AA568" s="17"/>
      <c r="AB568" s="17"/>
      <c r="AC568" s="17"/>
      <c r="AD568" s="32"/>
      <c r="AE568" s="31"/>
    </row>
    <row r="569" spans="14:31" x14ac:dyDescent="0.3">
      <c r="N569" s="10"/>
      <c r="P569" s="48"/>
      <c r="Q569" s="17"/>
      <c r="R569" s="17"/>
      <c r="S569" s="17"/>
      <c r="T569" s="17"/>
      <c r="U569" s="17"/>
      <c r="V569" s="17"/>
      <c r="W569" s="31"/>
      <c r="X569" s="17"/>
      <c r="Y569" s="17"/>
      <c r="Z569" s="31"/>
      <c r="AA569" s="17"/>
      <c r="AB569" s="17"/>
      <c r="AC569" s="17"/>
      <c r="AD569" s="32"/>
      <c r="AE569" s="31"/>
    </row>
    <row r="570" spans="14:31" x14ac:dyDescent="0.3">
      <c r="N570" s="10"/>
      <c r="P570" s="48"/>
      <c r="Q570" s="17"/>
      <c r="R570" s="17"/>
      <c r="S570" s="17"/>
      <c r="T570" s="17"/>
      <c r="U570" s="17"/>
      <c r="V570" s="17"/>
      <c r="W570" s="31"/>
      <c r="X570" s="17"/>
      <c r="Y570" s="17"/>
      <c r="Z570" s="31"/>
      <c r="AA570" s="17"/>
      <c r="AB570" s="17"/>
      <c r="AC570" s="17"/>
      <c r="AD570" s="32"/>
      <c r="AE570" s="31"/>
    </row>
    <row r="571" spans="14:31" x14ac:dyDescent="0.3">
      <c r="N571" s="10"/>
      <c r="P571" s="48"/>
      <c r="Q571" s="17"/>
      <c r="R571" s="17"/>
      <c r="S571" s="17"/>
      <c r="T571" s="17"/>
      <c r="U571" s="17"/>
      <c r="V571" s="17"/>
      <c r="W571" s="31"/>
      <c r="X571" s="17"/>
      <c r="Y571" s="17"/>
      <c r="Z571" s="31"/>
      <c r="AA571" s="17"/>
      <c r="AB571" s="17"/>
      <c r="AC571" s="17"/>
      <c r="AD571" s="32"/>
      <c r="AE571" s="31"/>
    </row>
    <row r="572" spans="14:31" x14ac:dyDescent="0.3">
      <c r="N572" s="10"/>
      <c r="P572" s="48"/>
      <c r="Q572" s="17"/>
      <c r="R572" s="17"/>
      <c r="S572" s="17"/>
      <c r="T572" s="17"/>
      <c r="U572" s="17"/>
      <c r="V572" s="17"/>
      <c r="W572" s="31"/>
      <c r="X572" s="17"/>
      <c r="Y572" s="17"/>
      <c r="Z572" s="31"/>
      <c r="AA572" s="17"/>
      <c r="AB572" s="17"/>
      <c r="AC572" s="17"/>
      <c r="AD572" s="32"/>
      <c r="AE572" s="31"/>
    </row>
    <row r="573" spans="14:31" x14ac:dyDescent="0.3">
      <c r="N573" s="10"/>
      <c r="P573" s="48"/>
      <c r="Q573" s="17"/>
      <c r="R573" s="17"/>
      <c r="S573" s="17"/>
      <c r="T573" s="17"/>
      <c r="U573" s="17"/>
      <c r="V573" s="17"/>
      <c r="W573" s="31"/>
      <c r="X573" s="17"/>
      <c r="Y573" s="17"/>
      <c r="Z573" s="31"/>
      <c r="AA573" s="17"/>
      <c r="AB573" s="17"/>
      <c r="AC573" s="17"/>
      <c r="AD573" s="32"/>
      <c r="AE573" s="31"/>
    </row>
    <row r="574" spans="14:31" x14ac:dyDescent="0.3">
      <c r="N574" s="10"/>
      <c r="P574" s="48"/>
      <c r="Q574" s="17"/>
      <c r="R574" s="17"/>
      <c r="S574" s="17"/>
      <c r="T574" s="17"/>
      <c r="U574" s="17"/>
      <c r="V574" s="17"/>
      <c r="W574" s="31"/>
      <c r="X574" s="17"/>
      <c r="Y574" s="17"/>
      <c r="Z574" s="31"/>
      <c r="AA574" s="17"/>
      <c r="AB574" s="17"/>
      <c r="AC574" s="17"/>
      <c r="AD574" s="32"/>
      <c r="AE574" s="31"/>
    </row>
    <row r="575" spans="14:31" x14ac:dyDescent="0.3">
      <c r="N575" s="10"/>
      <c r="P575" s="48"/>
      <c r="Q575" s="17"/>
      <c r="R575" s="17"/>
      <c r="S575" s="17"/>
      <c r="T575" s="17"/>
      <c r="U575" s="17"/>
      <c r="V575" s="17"/>
      <c r="W575" s="31"/>
      <c r="X575" s="17"/>
      <c r="Y575" s="17"/>
      <c r="Z575" s="31"/>
      <c r="AA575" s="17"/>
      <c r="AB575" s="17"/>
      <c r="AC575" s="17"/>
      <c r="AD575" s="32"/>
      <c r="AE575" s="31"/>
    </row>
    <row r="576" spans="14:31" x14ac:dyDescent="0.3">
      <c r="N576" s="10"/>
      <c r="P576" s="48"/>
      <c r="Q576" s="17"/>
      <c r="R576" s="17"/>
      <c r="S576" s="17"/>
      <c r="T576" s="17"/>
      <c r="U576" s="17"/>
      <c r="V576" s="17"/>
      <c r="W576" s="31"/>
      <c r="X576" s="17"/>
      <c r="Y576" s="17"/>
      <c r="Z576" s="31"/>
      <c r="AA576" s="17"/>
      <c r="AB576" s="17"/>
      <c r="AC576" s="17"/>
      <c r="AD576" s="32"/>
      <c r="AE576" s="31"/>
    </row>
    <row r="577" spans="14:31" x14ac:dyDescent="0.3">
      <c r="N577" s="10"/>
      <c r="P577" s="48"/>
      <c r="Q577" s="17"/>
      <c r="R577" s="17"/>
      <c r="S577" s="17"/>
      <c r="T577" s="17"/>
      <c r="U577" s="17"/>
      <c r="V577" s="17"/>
      <c r="W577" s="31"/>
      <c r="X577" s="17"/>
      <c r="Y577" s="17"/>
      <c r="Z577" s="31"/>
      <c r="AA577" s="17"/>
      <c r="AB577" s="17"/>
      <c r="AC577" s="17"/>
      <c r="AD577" s="32"/>
      <c r="AE577" s="31"/>
    </row>
    <row r="578" spans="14:31" x14ac:dyDescent="0.3">
      <c r="N578" s="10"/>
      <c r="P578" s="48"/>
      <c r="Q578" s="17"/>
      <c r="R578" s="17"/>
      <c r="S578" s="17"/>
      <c r="T578" s="17"/>
      <c r="U578" s="17"/>
      <c r="V578" s="17"/>
      <c r="W578" s="31"/>
      <c r="X578" s="17"/>
      <c r="Y578" s="17"/>
      <c r="Z578" s="31"/>
      <c r="AA578" s="17"/>
      <c r="AB578" s="17"/>
      <c r="AC578" s="17"/>
      <c r="AD578" s="32"/>
      <c r="AE578" s="31"/>
    </row>
    <row r="579" spans="14:31" x14ac:dyDescent="0.3">
      <c r="N579" s="10"/>
      <c r="P579" s="48"/>
      <c r="Q579" s="17"/>
      <c r="R579" s="17"/>
      <c r="S579" s="17"/>
      <c r="T579" s="17"/>
      <c r="U579" s="17"/>
      <c r="V579" s="17"/>
      <c r="W579" s="31"/>
      <c r="X579" s="17"/>
      <c r="Y579" s="17"/>
      <c r="Z579" s="31"/>
      <c r="AA579" s="17"/>
      <c r="AB579" s="17"/>
      <c r="AC579" s="17"/>
      <c r="AD579" s="32"/>
      <c r="AE579" s="31"/>
    </row>
    <row r="580" spans="14:31" x14ac:dyDescent="0.3">
      <c r="N580" s="10"/>
      <c r="P580" s="48"/>
      <c r="Q580" s="17"/>
      <c r="R580" s="17"/>
      <c r="S580" s="17"/>
      <c r="T580" s="17"/>
      <c r="U580" s="17"/>
      <c r="V580" s="17"/>
      <c r="W580" s="31"/>
      <c r="X580" s="17"/>
      <c r="Y580" s="17"/>
      <c r="Z580" s="31"/>
      <c r="AA580" s="17"/>
      <c r="AB580" s="17"/>
      <c r="AC580" s="17"/>
      <c r="AD580" s="32"/>
      <c r="AE580" s="31"/>
    </row>
    <row r="581" spans="14:31" x14ac:dyDescent="0.3">
      <c r="N581" s="10"/>
      <c r="P581" s="48"/>
      <c r="Q581" s="17"/>
      <c r="R581" s="17"/>
      <c r="S581" s="17"/>
      <c r="T581" s="17"/>
      <c r="U581" s="17"/>
      <c r="V581" s="17"/>
      <c r="W581" s="31"/>
      <c r="X581" s="17"/>
      <c r="Y581" s="17"/>
      <c r="Z581" s="31"/>
      <c r="AA581" s="17"/>
      <c r="AB581" s="17"/>
      <c r="AC581" s="17"/>
      <c r="AD581" s="32"/>
      <c r="AE581" s="31"/>
    </row>
    <row r="582" spans="14:31" x14ac:dyDescent="0.3">
      <c r="N582" s="10"/>
      <c r="P582" s="48"/>
      <c r="Q582" s="17"/>
      <c r="R582" s="17"/>
      <c r="S582" s="17"/>
      <c r="T582" s="17"/>
      <c r="U582" s="17"/>
      <c r="V582" s="17"/>
      <c r="W582" s="31"/>
      <c r="X582" s="17"/>
      <c r="Y582" s="17"/>
      <c r="Z582" s="31"/>
      <c r="AA582" s="17"/>
      <c r="AB582" s="17"/>
      <c r="AC582" s="17"/>
      <c r="AD582" s="32"/>
      <c r="AE582" s="31"/>
    </row>
    <row r="583" spans="14:31" x14ac:dyDescent="0.3">
      <c r="N583" s="10"/>
      <c r="P583" s="48"/>
      <c r="Q583" s="17"/>
      <c r="R583" s="17"/>
      <c r="S583" s="17"/>
      <c r="T583" s="17"/>
      <c r="U583" s="17"/>
      <c r="V583" s="17"/>
      <c r="W583" s="31"/>
      <c r="X583" s="17"/>
      <c r="Y583" s="17"/>
      <c r="Z583" s="31"/>
      <c r="AA583" s="17"/>
      <c r="AB583" s="17"/>
      <c r="AC583" s="17"/>
      <c r="AD583" s="32"/>
      <c r="AE583" s="31"/>
    </row>
    <row r="584" spans="14:31" x14ac:dyDescent="0.3">
      <c r="N584" s="10"/>
      <c r="P584" s="48"/>
      <c r="Q584" s="17"/>
      <c r="R584" s="17"/>
      <c r="S584" s="17"/>
      <c r="T584" s="17"/>
      <c r="U584" s="17"/>
      <c r="V584" s="17"/>
      <c r="W584" s="31"/>
      <c r="X584" s="17"/>
      <c r="Y584" s="17"/>
      <c r="Z584" s="31"/>
      <c r="AA584" s="17"/>
      <c r="AB584" s="17"/>
      <c r="AC584" s="17"/>
      <c r="AD584" s="32"/>
      <c r="AE584" s="31"/>
    </row>
    <row r="585" spans="14:31" x14ac:dyDescent="0.3">
      <c r="N585" s="10"/>
      <c r="P585" s="48"/>
      <c r="Q585" s="17"/>
      <c r="R585" s="17"/>
      <c r="S585" s="17"/>
      <c r="T585" s="17"/>
      <c r="U585" s="17"/>
      <c r="V585" s="17"/>
      <c r="W585" s="31"/>
      <c r="X585" s="17"/>
      <c r="Y585" s="17"/>
      <c r="Z585" s="31"/>
      <c r="AA585" s="17"/>
      <c r="AB585" s="17"/>
      <c r="AC585" s="17"/>
      <c r="AD585" s="32"/>
      <c r="AE585" s="31"/>
    </row>
    <row r="586" spans="14:31" x14ac:dyDescent="0.3">
      <c r="N586" s="10"/>
      <c r="P586" s="48"/>
      <c r="Q586" s="17"/>
      <c r="R586" s="17"/>
      <c r="S586" s="17"/>
      <c r="T586" s="17"/>
      <c r="U586" s="17"/>
      <c r="V586" s="17"/>
      <c r="W586" s="31"/>
      <c r="X586" s="17"/>
      <c r="Y586" s="17"/>
      <c r="Z586" s="31"/>
      <c r="AA586" s="17"/>
      <c r="AB586" s="17"/>
      <c r="AC586" s="17"/>
      <c r="AD586" s="32"/>
      <c r="AE586" s="31"/>
    </row>
    <row r="587" spans="14:31" x14ac:dyDescent="0.3">
      <c r="N587" s="10"/>
      <c r="P587" s="48"/>
      <c r="Q587" s="17"/>
      <c r="R587" s="17"/>
      <c r="S587" s="17"/>
      <c r="T587" s="17"/>
      <c r="U587" s="17"/>
      <c r="V587" s="17"/>
      <c r="W587" s="31"/>
      <c r="X587" s="17"/>
      <c r="Y587" s="17"/>
      <c r="Z587" s="31"/>
      <c r="AA587" s="17"/>
      <c r="AB587" s="17"/>
      <c r="AC587" s="17"/>
      <c r="AD587" s="32"/>
      <c r="AE587" s="31"/>
    </row>
    <row r="588" spans="14:31" x14ac:dyDescent="0.3">
      <c r="N588" s="10"/>
      <c r="P588" s="48"/>
      <c r="Q588" s="17"/>
      <c r="R588" s="17"/>
      <c r="S588" s="17"/>
      <c r="T588" s="17"/>
      <c r="U588" s="17"/>
      <c r="V588" s="17"/>
      <c r="W588" s="31"/>
      <c r="X588" s="17"/>
      <c r="Y588" s="17"/>
      <c r="Z588" s="31"/>
      <c r="AA588" s="17"/>
      <c r="AB588" s="17"/>
      <c r="AC588" s="17"/>
      <c r="AD588" s="32"/>
      <c r="AE588" s="31"/>
    </row>
    <row r="589" spans="14:31" x14ac:dyDescent="0.3">
      <c r="N589" s="10"/>
      <c r="P589" s="48"/>
      <c r="Q589" s="17"/>
      <c r="R589" s="17"/>
      <c r="S589" s="17"/>
      <c r="T589" s="17"/>
      <c r="U589" s="17"/>
      <c r="V589" s="17"/>
      <c r="W589" s="31"/>
      <c r="X589" s="17"/>
      <c r="Y589" s="17"/>
      <c r="Z589" s="31"/>
      <c r="AA589" s="17"/>
      <c r="AB589" s="17"/>
      <c r="AC589" s="17"/>
      <c r="AD589" s="32"/>
      <c r="AE589" s="31"/>
    </row>
    <row r="590" spans="14:31" x14ac:dyDescent="0.3">
      <c r="N590" s="10"/>
      <c r="P590" s="48"/>
      <c r="Q590" s="17"/>
      <c r="R590" s="17"/>
      <c r="S590" s="17"/>
      <c r="T590" s="17"/>
      <c r="U590" s="17"/>
      <c r="V590" s="17"/>
      <c r="W590" s="31"/>
      <c r="X590" s="17"/>
      <c r="Y590" s="17"/>
      <c r="Z590" s="31"/>
      <c r="AA590" s="17"/>
      <c r="AB590" s="17"/>
      <c r="AC590" s="17"/>
      <c r="AD590" s="32"/>
      <c r="AE590" s="31"/>
    </row>
    <row r="591" spans="14:31" x14ac:dyDescent="0.3">
      <c r="N591" s="10"/>
      <c r="P591" s="48"/>
      <c r="Q591" s="17"/>
      <c r="R591" s="17"/>
      <c r="S591" s="17"/>
      <c r="T591" s="17"/>
      <c r="U591" s="17"/>
      <c r="V591" s="17"/>
      <c r="W591" s="31"/>
      <c r="X591" s="17"/>
      <c r="Y591" s="17"/>
      <c r="Z591" s="31"/>
      <c r="AA591" s="17"/>
      <c r="AB591" s="17"/>
      <c r="AC591" s="17"/>
      <c r="AD591" s="32"/>
      <c r="AE591" s="31"/>
    </row>
    <row r="592" spans="14:31" x14ac:dyDescent="0.3">
      <c r="N592" s="10"/>
      <c r="P592" s="48"/>
      <c r="Q592" s="17"/>
      <c r="R592" s="17"/>
      <c r="S592" s="17"/>
      <c r="T592" s="17"/>
      <c r="U592" s="17"/>
      <c r="V592" s="17"/>
      <c r="W592" s="31"/>
      <c r="X592" s="17"/>
      <c r="Y592" s="17"/>
      <c r="Z592" s="31"/>
      <c r="AA592" s="17"/>
      <c r="AB592" s="17"/>
      <c r="AC592" s="17"/>
      <c r="AD592" s="32"/>
      <c r="AE592" s="31"/>
    </row>
    <row r="593" spans="14:31" x14ac:dyDescent="0.3">
      <c r="N593" s="10"/>
      <c r="P593" s="48"/>
      <c r="Q593" s="17"/>
      <c r="R593" s="17"/>
      <c r="S593" s="17"/>
      <c r="T593" s="17"/>
      <c r="U593" s="17"/>
      <c r="V593" s="17"/>
      <c r="W593" s="31"/>
      <c r="X593" s="17"/>
      <c r="Y593" s="17"/>
      <c r="Z593" s="31"/>
      <c r="AA593" s="17"/>
      <c r="AB593" s="17"/>
      <c r="AC593" s="17"/>
      <c r="AD593" s="32"/>
      <c r="AE593" s="31"/>
    </row>
    <row r="594" spans="14:31" x14ac:dyDescent="0.3">
      <c r="N594" s="10"/>
      <c r="P594" s="48"/>
      <c r="Q594" s="17"/>
      <c r="R594" s="17"/>
      <c r="S594" s="17"/>
      <c r="T594" s="17"/>
      <c r="U594" s="17"/>
      <c r="V594" s="17"/>
      <c r="W594" s="31"/>
      <c r="X594" s="17"/>
      <c r="Y594" s="17"/>
      <c r="Z594" s="31"/>
      <c r="AA594" s="17"/>
      <c r="AB594" s="17"/>
      <c r="AC594" s="17"/>
      <c r="AD594" s="32"/>
      <c r="AE594" s="31"/>
    </row>
    <row r="595" spans="14:31" x14ac:dyDescent="0.3">
      <c r="N595" s="10"/>
      <c r="P595" s="48"/>
      <c r="Q595" s="17"/>
      <c r="R595" s="17"/>
      <c r="S595" s="17"/>
      <c r="T595" s="17"/>
      <c r="U595" s="17"/>
      <c r="V595" s="17"/>
      <c r="W595" s="31"/>
      <c r="X595" s="17"/>
      <c r="Y595" s="17"/>
      <c r="Z595" s="31"/>
      <c r="AA595" s="17"/>
      <c r="AB595" s="17"/>
      <c r="AC595" s="17"/>
      <c r="AD595" s="32"/>
      <c r="AE595" s="31"/>
    </row>
    <row r="596" spans="14:31" x14ac:dyDescent="0.3">
      <c r="N596" s="10"/>
      <c r="P596" s="48"/>
      <c r="Q596" s="17"/>
      <c r="R596" s="17"/>
      <c r="S596" s="17"/>
      <c r="T596" s="17"/>
      <c r="U596" s="17"/>
      <c r="V596" s="17"/>
      <c r="W596" s="31"/>
      <c r="X596" s="17"/>
      <c r="Y596" s="17"/>
      <c r="Z596" s="31"/>
      <c r="AA596" s="17"/>
      <c r="AB596" s="17"/>
      <c r="AC596" s="17"/>
      <c r="AD596" s="32"/>
      <c r="AE596" s="31"/>
    </row>
    <row r="597" spans="14:31" x14ac:dyDescent="0.3">
      <c r="N597" s="10"/>
      <c r="P597" s="48"/>
      <c r="Q597" s="17"/>
      <c r="R597" s="17"/>
      <c r="S597" s="17"/>
      <c r="T597" s="17"/>
      <c r="U597" s="17"/>
      <c r="V597" s="17"/>
      <c r="W597" s="31"/>
      <c r="X597" s="17"/>
      <c r="Y597" s="17"/>
      <c r="Z597" s="31"/>
      <c r="AA597" s="17"/>
      <c r="AB597" s="17"/>
      <c r="AC597" s="17"/>
      <c r="AD597" s="32"/>
      <c r="AE597" s="31"/>
    </row>
    <row r="598" spans="14:31" x14ac:dyDescent="0.3">
      <c r="N598" s="10"/>
      <c r="P598" s="48"/>
      <c r="Q598" s="17"/>
      <c r="R598" s="17"/>
      <c r="S598" s="17"/>
      <c r="T598" s="17"/>
      <c r="U598" s="17"/>
      <c r="V598" s="17"/>
      <c r="W598" s="31"/>
      <c r="X598" s="17"/>
      <c r="Y598" s="17"/>
      <c r="Z598" s="31"/>
      <c r="AA598" s="17"/>
      <c r="AB598" s="17"/>
      <c r="AC598" s="17"/>
      <c r="AD598" s="32"/>
      <c r="AE598" s="31"/>
    </row>
    <row r="599" spans="14:31" x14ac:dyDescent="0.3">
      <c r="N599" s="10"/>
      <c r="P599" s="48"/>
      <c r="Q599" s="17"/>
      <c r="R599" s="17"/>
      <c r="S599" s="17"/>
      <c r="T599" s="17"/>
      <c r="U599" s="17"/>
      <c r="V599" s="17"/>
      <c r="W599" s="31"/>
      <c r="X599" s="17"/>
      <c r="Y599" s="17"/>
      <c r="Z599" s="31"/>
      <c r="AA599" s="17"/>
      <c r="AB599" s="17"/>
      <c r="AC599" s="17"/>
      <c r="AD599" s="32"/>
      <c r="AE599" s="31"/>
    </row>
    <row r="600" spans="14:31" x14ac:dyDescent="0.3">
      <c r="N600" s="10"/>
      <c r="P600" s="48"/>
      <c r="Q600" s="17"/>
      <c r="R600" s="17"/>
      <c r="S600" s="17"/>
      <c r="T600" s="17"/>
      <c r="U600" s="17"/>
      <c r="V600" s="17"/>
      <c r="W600" s="31"/>
      <c r="X600" s="17"/>
      <c r="Y600" s="17"/>
      <c r="Z600" s="31"/>
      <c r="AA600" s="17"/>
      <c r="AB600" s="17"/>
      <c r="AC600" s="17"/>
      <c r="AD600" s="32"/>
      <c r="AE600" s="31"/>
    </row>
    <row r="601" spans="14:31" x14ac:dyDescent="0.3">
      <c r="N601" s="10"/>
      <c r="P601" s="48"/>
      <c r="Q601" s="17"/>
      <c r="R601" s="17"/>
      <c r="S601" s="17"/>
      <c r="T601" s="17"/>
      <c r="U601" s="17"/>
      <c r="V601" s="17"/>
      <c r="W601" s="31"/>
      <c r="X601" s="17"/>
      <c r="Y601" s="17"/>
      <c r="Z601" s="31"/>
      <c r="AA601" s="17"/>
      <c r="AB601" s="17"/>
      <c r="AC601" s="17"/>
      <c r="AD601" s="32"/>
      <c r="AE601" s="31"/>
    </row>
    <row r="602" spans="14:31" x14ac:dyDescent="0.3">
      <c r="N602" s="10"/>
      <c r="P602" s="48"/>
      <c r="Q602" s="17"/>
      <c r="R602" s="17"/>
      <c r="S602" s="17"/>
      <c r="T602" s="17"/>
      <c r="U602" s="17"/>
      <c r="V602" s="17"/>
      <c r="W602" s="31"/>
      <c r="X602" s="17"/>
      <c r="Y602" s="17"/>
      <c r="Z602" s="31"/>
      <c r="AA602" s="17"/>
      <c r="AB602" s="17"/>
      <c r="AC602" s="17"/>
      <c r="AD602" s="32"/>
      <c r="AE602" s="31"/>
    </row>
    <row r="603" spans="14:31" x14ac:dyDescent="0.3">
      <c r="N603" s="10"/>
      <c r="P603" s="48"/>
      <c r="Q603" s="17"/>
      <c r="R603" s="17"/>
      <c r="S603" s="17"/>
      <c r="T603" s="17"/>
      <c r="U603" s="17"/>
      <c r="V603" s="17"/>
      <c r="W603" s="31"/>
      <c r="X603" s="17"/>
      <c r="Y603" s="17"/>
      <c r="Z603" s="31"/>
      <c r="AA603" s="17"/>
      <c r="AB603" s="17"/>
      <c r="AC603" s="17"/>
      <c r="AD603" s="32"/>
      <c r="AE603" s="31"/>
    </row>
    <row r="604" spans="14:31" x14ac:dyDescent="0.3">
      <c r="N604" s="10"/>
      <c r="P604" s="48"/>
      <c r="Q604" s="17"/>
      <c r="R604" s="17"/>
      <c r="S604" s="17"/>
      <c r="T604" s="17"/>
      <c r="U604" s="17"/>
      <c r="V604" s="17"/>
      <c r="W604" s="31"/>
      <c r="X604" s="17"/>
      <c r="Y604" s="17"/>
      <c r="Z604" s="31"/>
      <c r="AA604" s="17"/>
      <c r="AB604" s="17"/>
      <c r="AC604" s="17"/>
      <c r="AD604" s="32"/>
      <c r="AE604" s="31"/>
    </row>
    <row r="605" spans="14:31" x14ac:dyDescent="0.3">
      <c r="N605" s="10"/>
      <c r="P605" s="48"/>
      <c r="Q605" s="17"/>
      <c r="R605" s="17"/>
      <c r="S605" s="17"/>
      <c r="T605" s="17"/>
      <c r="U605" s="17"/>
      <c r="V605" s="17"/>
      <c r="W605" s="31"/>
      <c r="X605" s="17"/>
      <c r="Y605" s="17"/>
      <c r="Z605" s="31"/>
      <c r="AA605" s="17"/>
      <c r="AB605" s="17"/>
      <c r="AC605" s="17"/>
      <c r="AD605" s="32"/>
      <c r="AE605" s="31"/>
    </row>
    <row r="606" spans="14:31" x14ac:dyDescent="0.3">
      <c r="N606" s="10"/>
      <c r="P606" s="48"/>
      <c r="Q606" s="17"/>
      <c r="R606" s="17"/>
      <c r="S606" s="17"/>
      <c r="T606" s="17"/>
      <c r="U606" s="17"/>
      <c r="V606" s="17"/>
      <c r="W606" s="31"/>
      <c r="X606" s="17"/>
      <c r="Y606" s="17"/>
      <c r="Z606" s="31"/>
      <c r="AA606" s="17"/>
      <c r="AB606" s="17"/>
      <c r="AC606" s="17"/>
      <c r="AD606" s="32"/>
      <c r="AE606" s="31"/>
    </row>
    <row r="607" spans="14:31" x14ac:dyDescent="0.3">
      <c r="N607" s="10"/>
      <c r="P607" s="48"/>
      <c r="Q607" s="17"/>
      <c r="R607" s="17"/>
      <c r="S607" s="17"/>
      <c r="T607" s="17"/>
      <c r="U607" s="17"/>
      <c r="V607" s="17"/>
      <c r="W607" s="31"/>
      <c r="X607" s="17"/>
      <c r="Y607" s="17"/>
      <c r="Z607" s="31"/>
      <c r="AA607" s="17"/>
      <c r="AB607" s="17"/>
      <c r="AC607" s="17"/>
      <c r="AD607" s="32"/>
      <c r="AE607" s="31"/>
    </row>
    <row r="608" spans="14:31" x14ac:dyDescent="0.3">
      <c r="N608" s="10"/>
      <c r="P608" s="48"/>
      <c r="Q608" s="17"/>
      <c r="R608" s="17"/>
      <c r="S608" s="17"/>
      <c r="T608" s="17"/>
      <c r="U608" s="17"/>
      <c r="V608" s="17"/>
      <c r="W608" s="31"/>
      <c r="X608" s="17"/>
      <c r="Y608" s="17"/>
      <c r="Z608" s="31"/>
      <c r="AA608" s="17"/>
      <c r="AB608" s="17"/>
      <c r="AC608" s="17"/>
      <c r="AD608" s="32"/>
      <c r="AE608" s="31"/>
    </row>
    <row r="609" spans="14:31" x14ac:dyDescent="0.3">
      <c r="N609" s="10"/>
      <c r="P609" s="48"/>
      <c r="Q609" s="17"/>
      <c r="R609" s="17"/>
      <c r="S609" s="17"/>
      <c r="T609" s="17"/>
      <c r="U609" s="17"/>
      <c r="V609" s="17"/>
      <c r="W609" s="31"/>
      <c r="X609" s="17"/>
      <c r="Y609" s="17"/>
      <c r="Z609" s="31"/>
      <c r="AA609" s="17"/>
      <c r="AB609" s="17"/>
      <c r="AC609" s="17"/>
      <c r="AD609" s="32"/>
      <c r="AE609" s="31"/>
    </row>
    <row r="610" spans="14:31" x14ac:dyDescent="0.3">
      <c r="N610" s="10"/>
      <c r="P610" s="48"/>
      <c r="Q610" s="17"/>
      <c r="R610" s="17"/>
      <c r="S610" s="17"/>
      <c r="T610" s="17"/>
      <c r="U610" s="17"/>
      <c r="V610" s="17"/>
      <c r="W610" s="31"/>
      <c r="X610" s="17"/>
      <c r="Y610" s="17"/>
      <c r="Z610" s="31"/>
      <c r="AA610" s="17"/>
      <c r="AB610" s="17"/>
      <c r="AC610" s="17"/>
      <c r="AD610" s="32"/>
      <c r="AE610" s="31"/>
    </row>
    <row r="611" spans="14:31" x14ac:dyDescent="0.3">
      <c r="N611" s="10"/>
      <c r="P611" s="48"/>
      <c r="Q611" s="17"/>
      <c r="R611" s="17"/>
      <c r="S611" s="17"/>
      <c r="T611" s="17"/>
      <c r="U611" s="17"/>
      <c r="V611" s="17"/>
      <c r="W611" s="31"/>
      <c r="X611" s="17"/>
      <c r="Y611" s="17"/>
      <c r="Z611" s="31"/>
      <c r="AA611" s="17"/>
      <c r="AB611" s="17"/>
      <c r="AC611" s="17"/>
      <c r="AD611" s="32"/>
      <c r="AE611" s="31"/>
    </row>
    <row r="612" spans="14:31" x14ac:dyDescent="0.3">
      <c r="N612" s="10"/>
      <c r="P612" s="48"/>
      <c r="Q612" s="17"/>
      <c r="R612" s="17"/>
      <c r="S612" s="17"/>
      <c r="T612" s="17"/>
      <c r="U612" s="17"/>
      <c r="V612" s="17"/>
      <c r="W612" s="31"/>
      <c r="X612" s="17"/>
      <c r="Y612" s="17"/>
      <c r="Z612" s="31"/>
      <c r="AA612" s="17"/>
      <c r="AB612" s="17"/>
      <c r="AC612" s="17"/>
      <c r="AD612" s="32"/>
      <c r="AE612" s="31"/>
    </row>
    <row r="613" spans="14:31" x14ac:dyDescent="0.3">
      <c r="N613" s="10"/>
      <c r="P613" s="48"/>
      <c r="Q613" s="17"/>
      <c r="R613" s="17"/>
      <c r="S613" s="17"/>
      <c r="T613" s="17"/>
      <c r="U613" s="17"/>
      <c r="V613" s="17"/>
      <c r="W613" s="31"/>
      <c r="X613" s="17"/>
      <c r="Y613" s="17"/>
      <c r="Z613" s="31"/>
      <c r="AA613" s="17"/>
      <c r="AB613" s="17"/>
      <c r="AC613" s="17"/>
      <c r="AD613" s="32"/>
      <c r="AE613" s="31"/>
    </row>
    <row r="614" spans="14:31" x14ac:dyDescent="0.3">
      <c r="N614" s="10"/>
      <c r="P614" s="48"/>
      <c r="Q614" s="17"/>
      <c r="R614" s="17"/>
      <c r="S614" s="17"/>
      <c r="T614" s="17"/>
      <c r="U614" s="17"/>
      <c r="V614" s="17"/>
      <c r="W614" s="31"/>
      <c r="X614" s="17"/>
      <c r="Y614" s="17"/>
      <c r="Z614" s="31"/>
      <c r="AA614" s="17"/>
      <c r="AB614" s="17"/>
      <c r="AC614" s="17"/>
      <c r="AD614" s="32"/>
      <c r="AE614" s="31"/>
    </row>
    <row r="615" spans="14:31" x14ac:dyDescent="0.3">
      <c r="N615" s="10"/>
      <c r="P615" s="48"/>
      <c r="Q615" s="17"/>
      <c r="R615" s="17"/>
      <c r="S615" s="17"/>
      <c r="T615" s="17"/>
      <c r="U615" s="17"/>
      <c r="V615" s="17"/>
      <c r="W615" s="31"/>
      <c r="X615" s="17"/>
      <c r="Y615" s="17"/>
      <c r="Z615" s="31"/>
      <c r="AA615" s="17"/>
      <c r="AB615" s="17"/>
      <c r="AC615" s="17"/>
      <c r="AD615" s="32"/>
      <c r="AE615" s="31"/>
    </row>
    <row r="616" spans="14:31" x14ac:dyDescent="0.3">
      <c r="N616" s="10"/>
      <c r="P616" s="48"/>
      <c r="Q616" s="17"/>
      <c r="R616" s="17"/>
      <c r="S616" s="17"/>
      <c r="T616" s="17"/>
      <c r="U616" s="17"/>
      <c r="V616" s="17"/>
      <c r="W616" s="31"/>
      <c r="X616" s="17"/>
      <c r="Y616" s="17"/>
      <c r="Z616" s="31"/>
      <c r="AA616" s="17"/>
      <c r="AB616" s="17"/>
      <c r="AC616" s="17"/>
      <c r="AD616" s="32"/>
      <c r="AE616" s="31"/>
    </row>
    <row r="617" spans="14:31" x14ac:dyDescent="0.3">
      <c r="N617" s="10"/>
      <c r="P617" s="48"/>
      <c r="Q617" s="17"/>
      <c r="R617" s="17"/>
      <c r="S617" s="17"/>
      <c r="T617" s="17"/>
      <c r="U617" s="17"/>
      <c r="V617" s="17"/>
      <c r="W617" s="31"/>
      <c r="X617" s="17"/>
      <c r="Y617" s="17"/>
      <c r="Z617" s="31"/>
      <c r="AA617" s="17"/>
      <c r="AB617" s="17"/>
      <c r="AC617" s="17"/>
      <c r="AD617" s="32"/>
      <c r="AE617" s="31"/>
    </row>
    <row r="618" spans="14:31" x14ac:dyDescent="0.3">
      <c r="N618" s="10"/>
      <c r="P618" s="48"/>
      <c r="Q618" s="17"/>
      <c r="R618" s="17"/>
      <c r="S618" s="17"/>
      <c r="T618" s="17"/>
      <c r="U618" s="17"/>
      <c r="V618" s="17"/>
      <c r="W618" s="31"/>
      <c r="X618" s="17"/>
      <c r="Y618" s="17"/>
      <c r="Z618" s="31"/>
      <c r="AA618" s="17"/>
      <c r="AB618" s="17"/>
      <c r="AC618" s="17"/>
      <c r="AD618" s="32"/>
      <c r="AE618" s="31"/>
    </row>
    <row r="619" spans="14:31" x14ac:dyDescent="0.3">
      <c r="N619" s="10"/>
      <c r="P619" s="48"/>
      <c r="Q619" s="17"/>
      <c r="R619" s="17"/>
      <c r="S619" s="17"/>
      <c r="T619" s="17"/>
      <c r="U619" s="17"/>
      <c r="V619" s="17"/>
      <c r="W619" s="31"/>
      <c r="X619" s="17"/>
      <c r="Y619" s="17"/>
      <c r="Z619" s="31"/>
      <c r="AA619" s="17"/>
      <c r="AB619" s="17"/>
      <c r="AC619" s="17"/>
      <c r="AD619" s="32"/>
      <c r="AE619" s="31"/>
    </row>
    <row r="620" spans="14:31" x14ac:dyDescent="0.3">
      <c r="N620" s="10"/>
      <c r="P620" s="48"/>
      <c r="Q620" s="17"/>
      <c r="R620" s="17"/>
      <c r="S620" s="17"/>
      <c r="T620" s="17"/>
      <c r="U620" s="17"/>
      <c r="V620" s="17"/>
      <c r="W620" s="31"/>
      <c r="X620" s="17"/>
      <c r="Y620" s="17"/>
      <c r="Z620" s="31"/>
      <c r="AA620" s="17"/>
      <c r="AB620" s="17"/>
      <c r="AC620" s="17"/>
      <c r="AD620" s="32"/>
      <c r="AE620" s="31"/>
    </row>
    <row r="621" spans="14:31" x14ac:dyDescent="0.3">
      <c r="N621" s="10"/>
      <c r="P621" s="48"/>
      <c r="Q621" s="17"/>
      <c r="R621" s="17"/>
      <c r="S621" s="17"/>
      <c r="T621" s="17"/>
      <c r="U621" s="17"/>
      <c r="V621" s="17"/>
      <c r="W621" s="31"/>
      <c r="X621" s="17"/>
      <c r="Y621" s="17"/>
      <c r="Z621" s="31"/>
      <c r="AA621" s="17"/>
      <c r="AB621" s="17"/>
      <c r="AC621" s="17"/>
      <c r="AD621" s="32"/>
      <c r="AE621" s="31"/>
    </row>
    <row r="622" spans="14:31" x14ac:dyDescent="0.3">
      <c r="N622" s="10"/>
      <c r="P622" s="48"/>
      <c r="Q622" s="17"/>
      <c r="R622" s="17"/>
      <c r="S622" s="17"/>
      <c r="T622" s="17"/>
      <c r="U622" s="17"/>
      <c r="V622" s="17"/>
      <c r="W622" s="31"/>
      <c r="X622" s="17"/>
      <c r="Y622" s="17"/>
      <c r="Z622" s="31"/>
      <c r="AA622" s="17"/>
      <c r="AB622" s="17"/>
      <c r="AC622" s="17"/>
      <c r="AD622" s="32"/>
      <c r="AE622" s="31"/>
    </row>
    <row r="623" spans="14:31" x14ac:dyDescent="0.3">
      <c r="N623" s="10"/>
      <c r="P623" s="48"/>
      <c r="Q623" s="17"/>
      <c r="R623" s="17"/>
      <c r="S623" s="17"/>
      <c r="T623" s="17"/>
      <c r="U623" s="17"/>
      <c r="V623" s="17"/>
      <c r="W623" s="31"/>
      <c r="X623" s="17"/>
      <c r="Y623" s="17"/>
      <c r="Z623" s="31"/>
      <c r="AA623" s="17"/>
      <c r="AB623" s="17"/>
      <c r="AC623" s="17"/>
      <c r="AD623" s="32"/>
      <c r="AE623" s="31"/>
    </row>
    <row r="624" spans="14:31" x14ac:dyDescent="0.3">
      <c r="N624" s="10"/>
      <c r="P624" s="48"/>
      <c r="Q624" s="17"/>
      <c r="R624" s="17"/>
      <c r="S624" s="17"/>
      <c r="T624" s="17"/>
      <c r="U624" s="17"/>
      <c r="V624" s="17"/>
      <c r="W624" s="31"/>
      <c r="X624" s="17"/>
      <c r="Y624" s="17"/>
      <c r="Z624" s="31"/>
      <c r="AA624" s="17"/>
      <c r="AB624" s="17"/>
      <c r="AC624" s="17"/>
      <c r="AD624" s="32"/>
      <c r="AE624" s="31"/>
    </row>
    <row r="625" spans="14:31" x14ac:dyDescent="0.3">
      <c r="N625" s="10"/>
      <c r="P625" s="48"/>
      <c r="Q625" s="17"/>
      <c r="R625" s="17"/>
      <c r="S625" s="17"/>
      <c r="T625" s="17"/>
      <c r="U625" s="17"/>
      <c r="V625" s="17"/>
      <c r="W625" s="31"/>
      <c r="X625" s="17"/>
      <c r="Y625" s="17"/>
      <c r="Z625" s="31"/>
      <c r="AA625" s="17"/>
      <c r="AB625" s="17"/>
      <c r="AC625" s="17"/>
      <c r="AD625" s="32"/>
      <c r="AE625" s="31"/>
    </row>
    <row r="626" spans="14:31" x14ac:dyDescent="0.3">
      <c r="N626" s="10"/>
      <c r="P626" s="48"/>
      <c r="Q626" s="17"/>
      <c r="R626" s="17"/>
      <c r="S626" s="17"/>
      <c r="T626" s="17"/>
      <c r="U626" s="17"/>
      <c r="V626" s="17"/>
      <c r="W626" s="31"/>
      <c r="X626" s="17"/>
      <c r="Y626" s="17"/>
      <c r="Z626" s="31"/>
      <c r="AA626" s="17"/>
      <c r="AB626" s="17"/>
      <c r="AC626" s="17"/>
      <c r="AD626" s="32"/>
      <c r="AE626" s="31"/>
    </row>
    <row r="627" spans="14:31" x14ac:dyDescent="0.3">
      <c r="N627" s="10"/>
      <c r="P627" s="48"/>
      <c r="Q627" s="17"/>
      <c r="R627" s="17"/>
      <c r="S627" s="17"/>
      <c r="T627" s="17"/>
      <c r="U627" s="17"/>
      <c r="V627" s="17"/>
      <c r="W627" s="31"/>
      <c r="X627" s="17"/>
      <c r="Y627" s="17"/>
      <c r="Z627" s="31"/>
      <c r="AA627" s="17"/>
      <c r="AB627" s="17"/>
      <c r="AC627" s="17"/>
      <c r="AD627" s="32"/>
      <c r="AE627" s="31"/>
    </row>
    <row r="628" spans="14:31" x14ac:dyDescent="0.3">
      <c r="N628" s="10"/>
      <c r="P628" s="48"/>
      <c r="Q628" s="17"/>
      <c r="R628" s="17"/>
      <c r="S628" s="17"/>
      <c r="T628" s="17"/>
      <c r="U628" s="17"/>
      <c r="V628" s="17"/>
      <c r="W628" s="31"/>
      <c r="X628" s="17"/>
      <c r="Y628" s="17"/>
      <c r="Z628" s="31"/>
      <c r="AA628" s="17"/>
      <c r="AB628" s="17"/>
      <c r="AC628" s="17"/>
      <c r="AD628" s="32"/>
      <c r="AE628" s="31"/>
    </row>
    <row r="629" spans="14:31" x14ac:dyDescent="0.3">
      <c r="N629" s="10"/>
      <c r="P629" s="48"/>
      <c r="Q629" s="17"/>
      <c r="R629" s="17"/>
      <c r="S629" s="17"/>
      <c r="T629" s="17"/>
      <c r="U629" s="17"/>
      <c r="V629" s="17"/>
      <c r="W629" s="31"/>
      <c r="X629" s="17"/>
      <c r="Y629" s="17"/>
      <c r="Z629" s="31"/>
      <c r="AA629" s="17"/>
      <c r="AB629" s="17"/>
      <c r="AC629" s="17"/>
      <c r="AD629" s="32"/>
      <c r="AE629" s="31"/>
    </row>
    <row r="630" spans="14:31" x14ac:dyDescent="0.3">
      <c r="N630" s="10"/>
      <c r="P630" s="48"/>
      <c r="Q630" s="17"/>
      <c r="R630" s="17"/>
      <c r="S630" s="17"/>
      <c r="T630" s="17"/>
      <c r="U630" s="17"/>
      <c r="V630" s="17"/>
      <c r="W630" s="31"/>
      <c r="X630" s="17"/>
      <c r="Y630" s="17"/>
      <c r="Z630" s="31"/>
      <c r="AA630" s="17"/>
      <c r="AB630" s="17"/>
      <c r="AC630" s="17"/>
      <c r="AD630" s="32"/>
      <c r="AE630" s="31"/>
    </row>
    <row r="631" spans="14:31" x14ac:dyDescent="0.3">
      <c r="N631" s="10"/>
      <c r="P631" s="48"/>
      <c r="Q631" s="17"/>
      <c r="R631" s="17"/>
      <c r="S631" s="17"/>
      <c r="T631" s="17"/>
      <c r="U631" s="17"/>
      <c r="V631" s="17"/>
      <c r="W631" s="31"/>
      <c r="X631" s="17"/>
      <c r="Y631" s="17"/>
      <c r="Z631" s="31"/>
      <c r="AA631" s="17"/>
      <c r="AB631" s="17"/>
      <c r="AC631" s="17"/>
      <c r="AD631" s="32"/>
      <c r="AE631" s="31"/>
    </row>
    <row r="632" spans="14:31" x14ac:dyDescent="0.3">
      <c r="N632" s="10"/>
      <c r="P632" s="48"/>
      <c r="Q632" s="17"/>
      <c r="R632" s="17"/>
      <c r="S632" s="17"/>
      <c r="T632" s="17"/>
      <c r="U632" s="17"/>
      <c r="V632" s="17"/>
      <c r="W632" s="31"/>
      <c r="X632" s="17"/>
      <c r="Y632" s="17"/>
      <c r="Z632" s="31"/>
      <c r="AA632" s="17"/>
      <c r="AB632" s="17"/>
      <c r="AC632" s="17"/>
      <c r="AD632" s="32"/>
      <c r="AE632" s="31"/>
    </row>
    <row r="633" spans="14:31" x14ac:dyDescent="0.3">
      <c r="N633" s="10"/>
      <c r="P633" s="48"/>
      <c r="Q633" s="17"/>
      <c r="R633" s="17"/>
      <c r="S633" s="17"/>
      <c r="T633" s="17"/>
      <c r="U633" s="17"/>
      <c r="V633" s="17"/>
      <c r="W633" s="31"/>
      <c r="X633" s="17"/>
      <c r="Y633" s="17"/>
      <c r="Z633" s="31"/>
      <c r="AA633" s="17"/>
      <c r="AB633" s="17"/>
      <c r="AC633" s="17"/>
      <c r="AD633" s="32"/>
      <c r="AE633" s="31"/>
    </row>
    <row r="634" spans="14:31" x14ac:dyDescent="0.3">
      <c r="N634" s="10"/>
      <c r="P634" s="48"/>
      <c r="Q634" s="17"/>
      <c r="R634" s="17"/>
      <c r="S634" s="17"/>
      <c r="T634" s="17"/>
      <c r="U634" s="17"/>
      <c r="V634" s="17"/>
      <c r="W634" s="31"/>
      <c r="X634" s="17"/>
      <c r="Y634" s="17"/>
      <c r="Z634" s="31"/>
      <c r="AA634" s="17"/>
      <c r="AB634" s="17"/>
      <c r="AC634" s="17"/>
      <c r="AD634" s="32"/>
      <c r="AE634" s="31"/>
    </row>
    <row r="635" spans="14:31" x14ac:dyDescent="0.3">
      <c r="N635" s="10"/>
      <c r="P635" s="48"/>
      <c r="Q635" s="17"/>
      <c r="R635" s="17"/>
      <c r="S635" s="17"/>
      <c r="T635" s="17"/>
      <c r="U635" s="17"/>
      <c r="V635" s="17"/>
      <c r="W635" s="31"/>
      <c r="X635" s="17"/>
      <c r="Y635" s="17"/>
      <c r="Z635" s="31"/>
      <c r="AA635" s="17"/>
      <c r="AB635" s="17"/>
      <c r="AC635" s="17"/>
      <c r="AD635" s="32"/>
      <c r="AE635" s="31"/>
    </row>
    <row r="636" spans="14:31" x14ac:dyDescent="0.3">
      <c r="N636" s="10"/>
      <c r="P636" s="48"/>
      <c r="Q636" s="17"/>
      <c r="R636" s="17"/>
      <c r="S636" s="17"/>
      <c r="T636" s="17"/>
      <c r="U636" s="17"/>
      <c r="V636" s="17"/>
      <c r="W636" s="31"/>
      <c r="X636" s="17"/>
      <c r="Y636" s="17"/>
      <c r="Z636" s="31"/>
      <c r="AA636" s="17"/>
      <c r="AB636" s="17"/>
      <c r="AC636" s="17"/>
      <c r="AD636" s="32"/>
      <c r="AE636" s="31"/>
    </row>
    <row r="637" spans="14:31" x14ac:dyDescent="0.3">
      <c r="N637" s="10"/>
      <c r="P637" s="48"/>
      <c r="Q637" s="17"/>
      <c r="R637" s="17"/>
      <c r="S637" s="17"/>
      <c r="T637" s="17"/>
      <c r="U637" s="17"/>
      <c r="V637" s="17"/>
      <c r="W637" s="31"/>
      <c r="X637" s="17"/>
      <c r="Y637" s="17"/>
      <c r="Z637" s="31"/>
      <c r="AA637" s="17"/>
      <c r="AB637" s="17"/>
      <c r="AC637" s="17"/>
      <c r="AD637" s="32"/>
      <c r="AE637" s="31"/>
    </row>
    <row r="638" spans="14:31" x14ac:dyDescent="0.3">
      <c r="N638" s="10"/>
      <c r="P638" s="48"/>
      <c r="Q638" s="17"/>
      <c r="R638" s="17"/>
      <c r="S638" s="17"/>
      <c r="T638" s="17"/>
      <c r="U638" s="17"/>
      <c r="V638" s="17"/>
      <c r="W638" s="31"/>
      <c r="X638" s="17"/>
      <c r="Y638" s="17"/>
      <c r="Z638" s="31"/>
      <c r="AA638" s="17"/>
      <c r="AB638" s="17"/>
      <c r="AC638" s="17"/>
      <c r="AD638" s="32"/>
      <c r="AE638" s="31"/>
    </row>
    <row r="639" spans="14:31" x14ac:dyDescent="0.3">
      <c r="N639" s="10"/>
      <c r="P639" s="48"/>
      <c r="Q639" s="17"/>
      <c r="R639" s="17"/>
      <c r="S639" s="17"/>
      <c r="T639" s="17"/>
      <c r="U639" s="17"/>
      <c r="V639" s="17"/>
      <c r="W639" s="31"/>
      <c r="X639" s="17"/>
      <c r="Y639" s="17"/>
      <c r="Z639" s="31"/>
      <c r="AA639" s="17"/>
      <c r="AB639" s="17"/>
      <c r="AC639" s="17"/>
      <c r="AD639" s="32"/>
      <c r="AE639" s="31"/>
    </row>
    <row r="640" spans="14:31" x14ac:dyDescent="0.3">
      <c r="N640" s="10"/>
      <c r="P640" s="48"/>
      <c r="Q640" s="17"/>
      <c r="R640" s="17"/>
      <c r="S640" s="17"/>
      <c r="T640" s="17"/>
      <c r="U640" s="17"/>
      <c r="V640" s="17"/>
      <c r="W640" s="31"/>
      <c r="X640" s="17"/>
      <c r="Y640" s="17"/>
      <c r="Z640" s="31"/>
      <c r="AA640" s="17"/>
      <c r="AB640" s="17"/>
      <c r="AC640" s="17"/>
      <c r="AD640" s="32"/>
      <c r="AE640" s="31"/>
    </row>
    <row r="641" spans="14:31" x14ac:dyDescent="0.3">
      <c r="N641" s="10"/>
      <c r="P641" s="48"/>
      <c r="Q641" s="17"/>
      <c r="R641" s="17"/>
      <c r="S641" s="17"/>
      <c r="T641" s="17"/>
      <c r="U641" s="17"/>
      <c r="V641" s="17"/>
      <c r="W641" s="31"/>
      <c r="X641" s="17"/>
      <c r="Y641" s="17"/>
      <c r="Z641" s="31"/>
      <c r="AA641" s="17"/>
      <c r="AB641" s="17"/>
      <c r="AC641" s="17"/>
      <c r="AD641" s="32"/>
      <c r="AE641" s="31"/>
    </row>
    <row r="642" spans="14:31" x14ac:dyDescent="0.3">
      <c r="N642" s="10"/>
      <c r="P642" s="48"/>
      <c r="Q642" s="17"/>
      <c r="R642" s="17"/>
      <c r="S642" s="17"/>
      <c r="T642" s="17"/>
      <c r="U642" s="17"/>
      <c r="V642" s="17"/>
      <c r="W642" s="31"/>
      <c r="X642" s="17"/>
      <c r="Y642" s="17"/>
      <c r="Z642" s="31"/>
      <c r="AA642" s="17"/>
      <c r="AB642" s="17"/>
      <c r="AC642" s="17"/>
      <c r="AD642" s="32"/>
      <c r="AE642" s="31"/>
    </row>
    <row r="643" spans="14:31" x14ac:dyDescent="0.3">
      <c r="N643" s="10"/>
      <c r="P643" s="48"/>
      <c r="Q643" s="17"/>
      <c r="R643" s="17"/>
      <c r="S643" s="17"/>
      <c r="T643" s="17"/>
      <c r="U643" s="17"/>
      <c r="V643" s="17"/>
      <c r="W643" s="31"/>
      <c r="X643" s="17"/>
      <c r="Y643" s="17"/>
      <c r="Z643" s="31"/>
      <c r="AA643" s="17"/>
      <c r="AB643" s="17"/>
      <c r="AC643" s="17"/>
      <c r="AD643" s="32"/>
      <c r="AE643" s="31"/>
    </row>
    <row r="644" spans="14:31" x14ac:dyDescent="0.3">
      <c r="N644" s="10"/>
      <c r="P644" s="48"/>
      <c r="Q644" s="17"/>
      <c r="R644" s="17"/>
      <c r="S644" s="17"/>
      <c r="T644" s="17"/>
      <c r="U644" s="17"/>
      <c r="V644" s="17"/>
      <c r="W644" s="31"/>
      <c r="X644" s="17"/>
      <c r="Y644" s="17"/>
      <c r="Z644" s="31"/>
      <c r="AA644" s="17"/>
      <c r="AB644" s="17"/>
      <c r="AC644" s="17"/>
      <c r="AD644" s="32"/>
      <c r="AE644" s="31"/>
    </row>
    <row r="645" spans="14:31" x14ac:dyDescent="0.3">
      <c r="N645" s="10"/>
      <c r="P645" s="48"/>
      <c r="Q645" s="17"/>
      <c r="R645" s="17"/>
      <c r="S645" s="17"/>
      <c r="T645" s="17"/>
      <c r="U645" s="17"/>
      <c r="V645" s="17"/>
      <c r="W645" s="31"/>
      <c r="X645" s="17"/>
      <c r="Y645" s="17"/>
      <c r="Z645" s="31"/>
      <c r="AA645" s="17"/>
      <c r="AB645" s="17"/>
      <c r="AC645" s="17"/>
      <c r="AD645" s="32"/>
      <c r="AE645" s="31"/>
    </row>
    <row r="646" spans="14:31" x14ac:dyDescent="0.3">
      <c r="N646" s="10"/>
      <c r="P646" s="48"/>
      <c r="Q646" s="17"/>
      <c r="R646" s="17"/>
      <c r="S646" s="17"/>
      <c r="T646" s="17"/>
      <c r="U646" s="17"/>
      <c r="V646" s="17"/>
      <c r="W646" s="31"/>
      <c r="X646" s="17"/>
      <c r="Y646" s="17"/>
      <c r="Z646" s="31"/>
      <c r="AA646" s="17"/>
      <c r="AB646" s="17"/>
      <c r="AC646" s="17"/>
      <c r="AD646" s="32"/>
      <c r="AE646" s="31"/>
    </row>
    <row r="647" spans="14:31" x14ac:dyDescent="0.3">
      <c r="N647" s="10"/>
      <c r="P647" s="48"/>
      <c r="Q647" s="17"/>
      <c r="R647" s="17"/>
      <c r="S647" s="17"/>
      <c r="T647" s="17"/>
      <c r="U647" s="17"/>
      <c r="V647" s="17"/>
      <c r="W647" s="31"/>
      <c r="X647" s="17"/>
      <c r="Y647" s="17"/>
      <c r="Z647" s="31"/>
      <c r="AA647" s="17"/>
      <c r="AB647" s="17"/>
      <c r="AC647" s="17"/>
      <c r="AD647" s="32"/>
      <c r="AE647" s="31"/>
    </row>
    <row r="648" spans="14:31" x14ac:dyDescent="0.3">
      <c r="N648" s="10"/>
      <c r="P648" s="48"/>
      <c r="Q648" s="17"/>
      <c r="R648" s="17"/>
      <c r="S648" s="17"/>
      <c r="T648" s="17"/>
      <c r="U648" s="17"/>
      <c r="V648" s="17"/>
      <c r="W648" s="31"/>
      <c r="X648" s="17"/>
      <c r="Y648" s="17"/>
      <c r="Z648" s="31"/>
      <c r="AA648" s="17"/>
      <c r="AB648" s="17"/>
      <c r="AC648" s="17"/>
      <c r="AD648" s="32"/>
      <c r="AE648" s="31"/>
    </row>
    <row r="649" spans="14:31" x14ac:dyDescent="0.3">
      <c r="N649" s="10"/>
      <c r="P649" s="48"/>
      <c r="Q649" s="17"/>
      <c r="R649" s="17"/>
      <c r="S649" s="17"/>
      <c r="T649" s="17"/>
      <c r="U649" s="17"/>
      <c r="V649" s="17"/>
      <c r="W649" s="31"/>
      <c r="X649" s="17"/>
      <c r="Y649" s="17"/>
      <c r="Z649" s="31"/>
      <c r="AA649" s="17"/>
      <c r="AB649" s="17"/>
      <c r="AC649" s="17"/>
      <c r="AD649" s="32"/>
      <c r="AE649" s="31"/>
    </row>
    <row r="650" spans="14:31" x14ac:dyDescent="0.3">
      <c r="N650" s="10"/>
      <c r="P650" s="48"/>
      <c r="Q650" s="17"/>
      <c r="R650" s="17"/>
      <c r="S650" s="17"/>
      <c r="T650" s="17"/>
      <c r="U650" s="17"/>
      <c r="V650" s="17"/>
      <c r="W650" s="31"/>
      <c r="X650" s="17"/>
      <c r="Y650" s="17"/>
      <c r="Z650" s="31"/>
      <c r="AA650" s="17"/>
      <c r="AB650" s="17"/>
      <c r="AC650" s="17"/>
      <c r="AD650" s="32"/>
      <c r="AE650" s="31"/>
    </row>
    <row r="651" spans="14:31" x14ac:dyDescent="0.3">
      <c r="N651" s="10"/>
      <c r="P651" s="48"/>
      <c r="Q651" s="17"/>
      <c r="R651" s="17"/>
      <c r="S651" s="17"/>
      <c r="T651" s="17"/>
      <c r="U651" s="17"/>
      <c r="V651" s="17"/>
      <c r="W651" s="31"/>
      <c r="X651" s="17"/>
      <c r="Y651" s="17"/>
      <c r="Z651" s="31"/>
      <c r="AA651" s="17"/>
      <c r="AB651" s="17"/>
      <c r="AC651" s="17"/>
      <c r="AD651" s="32"/>
      <c r="AE651" s="31"/>
    </row>
    <row r="652" spans="14:31" x14ac:dyDescent="0.3">
      <c r="N652" s="10"/>
      <c r="P652" s="48"/>
      <c r="Q652" s="17"/>
      <c r="R652" s="17"/>
      <c r="S652" s="17"/>
      <c r="T652" s="17"/>
      <c r="U652" s="17"/>
      <c r="V652" s="17"/>
      <c r="W652" s="31"/>
      <c r="X652" s="17"/>
      <c r="Y652" s="17"/>
      <c r="Z652" s="31"/>
      <c r="AA652" s="17"/>
      <c r="AB652" s="17"/>
      <c r="AC652" s="17"/>
      <c r="AD652" s="32"/>
      <c r="AE652" s="31"/>
    </row>
    <row r="653" spans="14:31" x14ac:dyDescent="0.3">
      <c r="N653" s="10"/>
      <c r="P653" s="48"/>
      <c r="Q653" s="17"/>
      <c r="R653" s="17"/>
      <c r="S653" s="17"/>
      <c r="T653" s="17"/>
      <c r="U653" s="17"/>
      <c r="V653" s="17"/>
      <c r="W653" s="31"/>
      <c r="X653" s="17"/>
      <c r="Y653" s="17"/>
      <c r="Z653" s="31"/>
      <c r="AA653" s="17"/>
      <c r="AB653" s="17"/>
      <c r="AC653" s="17"/>
      <c r="AD653" s="32"/>
      <c r="AE653" s="31"/>
    </row>
    <row r="654" spans="14:31" x14ac:dyDescent="0.3">
      <c r="N654" s="10"/>
      <c r="P654" s="48"/>
      <c r="Q654" s="17"/>
      <c r="R654" s="17"/>
      <c r="S654" s="17"/>
      <c r="T654" s="17"/>
      <c r="U654" s="17"/>
      <c r="V654" s="17"/>
      <c r="W654" s="31"/>
      <c r="X654" s="17"/>
      <c r="Y654" s="17"/>
      <c r="Z654" s="31"/>
      <c r="AA654" s="17"/>
      <c r="AB654" s="17"/>
      <c r="AC654" s="17"/>
      <c r="AD654" s="32"/>
      <c r="AE654" s="31"/>
    </row>
    <row r="655" spans="14:31" x14ac:dyDescent="0.3">
      <c r="N655" s="10"/>
      <c r="P655" s="48"/>
      <c r="Q655" s="17"/>
      <c r="R655" s="17"/>
      <c r="S655" s="17"/>
      <c r="T655" s="17"/>
      <c r="U655" s="17"/>
      <c r="V655" s="17"/>
      <c r="W655" s="31"/>
      <c r="X655" s="17"/>
      <c r="Y655" s="17"/>
      <c r="Z655" s="31"/>
      <c r="AA655" s="17"/>
      <c r="AB655" s="17"/>
      <c r="AC655" s="17"/>
      <c r="AD655" s="32"/>
      <c r="AE655" s="31"/>
    </row>
    <row r="656" spans="14:31" x14ac:dyDescent="0.3">
      <c r="N656" s="10"/>
      <c r="P656" s="48"/>
      <c r="Q656" s="17"/>
      <c r="R656" s="17"/>
      <c r="S656" s="17"/>
      <c r="T656" s="17"/>
      <c r="U656" s="17"/>
      <c r="V656" s="17"/>
      <c r="W656" s="31"/>
      <c r="X656" s="17"/>
      <c r="Y656" s="17"/>
      <c r="Z656" s="31"/>
      <c r="AA656" s="17"/>
      <c r="AB656" s="17"/>
      <c r="AC656" s="17"/>
      <c r="AD656" s="32"/>
      <c r="AE656" s="31"/>
    </row>
    <row r="657" spans="14:31" x14ac:dyDescent="0.3">
      <c r="N657" s="10"/>
      <c r="P657" s="48"/>
      <c r="Q657" s="17"/>
      <c r="R657" s="17"/>
      <c r="S657" s="17"/>
      <c r="T657" s="17"/>
      <c r="U657" s="17"/>
      <c r="V657" s="17"/>
      <c r="W657" s="31"/>
      <c r="X657" s="17"/>
      <c r="Y657" s="17"/>
      <c r="Z657" s="31"/>
      <c r="AA657" s="17"/>
      <c r="AB657" s="17"/>
      <c r="AC657" s="17"/>
      <c r="AD657" s="32"/>
      <c r="AE657" s="31"/>
    </row>
    <row r="658" spans="14:31" x14ac:dyDescent="0.3">
      <c r="N658" s="10"/>
      <c r="P658" s="48"/>
      <c r="Q658" s="17"/>
      <c r="R658" s="17"/>
      <c r="S658" s="17"/>
      <c r="T658" s="17"/>
      <c r="U658" s="17"/>
      <c r="V658" s="17"/>
      <c r="W658" s="31"/>
      <c r="X658" s="17"/>
      <c r="Y658" s="17"/>
      <c r="Z658" s="31"/>
      <c r="AA658" s="17"/>
      <c r="AB658" s="17"/>
      <c r="AC658" s="17"/>
      <c r="AD658" s="32"/>
      <c r="AE658" s="31"/>
    </row>
    <row r="659" spans="14:31" x14ac:dyDescent="0.3">
      <c r="N659" s="10"/>
      <c r="P659" s="48"/>
      <c r="Q659" s="17"/>
      <c r="R659" s="17"/>
      <c r="S659" s="17"/>
      <c r="T659" s="17"/>
      <c r="U659" s="17"/>
      <c r="V659" s="17"/>
      <c r="W659" s="31"/>
      <c r="X659" s="17"/>
      <c r="Y659" s="17"/>
      <c r="Z659" s="31"/>
      <c r="AA659" s="17"/>
      <c r="AB659" s="17"/>
      <c r="AC659" s="17"/>
      <c r="AD659" s="32"/>
      <c r="AE659" s="31"/>
    </row>
    <row r="660" spans="14:31" x14ac:dyDescent="0.3">
      <c r="N660" s="10"/>
      <c r="P660" s="48"/>
      <c r="Q660" s="17"/>
      <c r="R660" s="17"/>
      <c r="S660" s="17"/>
      <c r="T660" s="17"/>
      <c r="U660" s="17"/>
      <c r="V660" s="17"/>
      <c r="W660" s="31"/>
      <c r="X660" s="17"/>
      <c r="Y660" s="17"/>
      <c r="Z660" s="31"/>
      <c r="AA660" s="17"/>
      <c r="AB660" s="17"/>
      <c r="AC660" s="17"/>
      <c r="AD660" s="32"/>
      <c r="AE660" s="31"/>
    </row>
    <row r="661" spans="14:31" x14ac:dyDescent="0.3">
      <c r="N661" s="10"/>
      <c r="P661" s="48"/>
      <c r="Q661" s="17"/>
      <c r="R661" s="17"/>
      <c r="S661" s="17"/>
      <c r="T661" s="17"/>
      <c r="U661" s="17"/>
      <c r="V661" s="17"/>
      <c r="W661" s="31"/>
      <c r="X661" s="17"/>
      <c r="Y661" s="17"/>
      <c r="Z661" s="31"/>
      <c r="AA661" s="17"/>
      <c r="AB661" s="17"/>
      <c r="AC661" s="17"/>
      <c r="AD661" s="32"/>
      <c r="AE661" s="31"/>
    </row>
    <row r="662" spans="14:31" x14ac:dyDescent="0.3">
      <c r="N662" s="10"/>
      <c r="P662" s="48"/>
      <c r="Q662" s="17"/>
      <c r="R662" s="17"/>
      <c r="S662" s="17"/>
      <c r="T662" s="17"/>
      <c r="U662" s="17"/>
      <c r="V662" s="17"/>
      <c r="W662" s="31"/>
      <c r="X662" s="17"/>
      <c r="Y662" s="17"/>
      <c r="Z662" s="31"/>
      <c r="AA662" s="17"/>
      <c r="AB662" s="17"/>
      <c r="AC662" s="17"/>
      <c r="AD662" s="32"/>
      <c r="AE662" s="31"/>
    </row>
    <row r="663" spans="14:31" x14ac:dyDescent="0.3">
      <c r="N663" s="10"/>
      <c r="P663" s="48"/>
      <c r="Q663" s="17"/>
      <c r="R663" s="17"/>
      <c r="S663" s="17"/>
      <c r="T663" s="17"/>
      <c r="U663" s="17"/>
      <c r="V663" s="17"/>
      <c r="W663" s="31"/>
      <c r="X663" s="17"/>
      <c r="Y663" s="17"/>
      <c r="Z663" s="31"/>
      <c r="AA663" s="17"/>
      <c r="AB663" s="17"/>
      <c r="AC663" s="17"/>
      <c r="AD663" s="32"/>
      <c r="AE663" s="31"/>
    </row>
    <row r="664" spans="14:31" x14ac:dyDescent="0.3">
      <c r="N664" s="10"/>
      <c r="P664" s="48"/>
      <c r="Q664" s="17"/>
      <c r="R664" s="17"/>
      <c r="S664" s="17"/>
      <c r="T664" s="17"/>
      <c r="U664" s="17"/>
      <c r="V664" s="17"/>
      <c r="W664" s="31"/>
      <c r="X664" s="17"/>
      <c r="Y664" s="17"/>
      <c r="Z664" s="31"/>
      <c r="AA664" s="17"/>
      <c r="AB664" s="17"/>
      <c r="AC664" s="17"/>
      <c r="AD664" s="32"/>
      <c r="AE664" s="31"/>
    </row>
    <row r="665" spans="14:31" x14ac:dyDescent="0.3">
      <c r="N665" s="10"/>
      <c r="P665" s="48"/>
      <c r="Q665" s="17"/>
      <c r="R665" s="17"/>
      <c r="S665" s="17"/>
      <c r="T665" s="17"/>
      <c r="U665" s="17"/>
      <c r="V665" s="17"/>
      <c r="W665" s="31"/>
      <c r="X665" s="17"/>
      <c r="Y665" s="17"/>
      <c r="Z665" s="31"/>
      <c r="AA665" s="17"/>
      <c r="AB665" s="17"/>
      <c r="AC665" s="17"/>
      <c r="AD665" s="32"/>
      <c r="AE665" s="31"/>
    </row>
    <row r="666" spans="14:31" x14ac:dyDescent="0.3">
      <c r="N666" s="10"/>
      <c r="P666" s="48"/>
      <c r="Q666" s="17"/>
      <c r="R666" s="17"/>
      <c r="S666" s="17"/>
      <c r="T666" s="17"/>
      <c r="U666" s="17"/>
      <c r="V666" s="17"/>
      <c r="W666" s="31"/>
      <c r="X666" s="17"/>
      <c r="Y666" s="17"/>
      <c r="Z666" s="31"/>
      <c r="AA666" s="17"/>
      <c r="AB666" s="17"/>
      <c r="AC666" s="17"/>
      <c r="AD666" s="32"/>
      <c r="AE666" s="31"/>
    </row>
    <row r="667" spans="14:31" x14ac:dyDescent="0.3">
      <c r="N667" s="10"/>
      <c r="P667" s="48"/>
      <c r="Q667" s="17"/>
      <c r="R667" s="17"/>
      <c r="S667" s="17"/>
      <c r="T667" s="17"/>
      <c r="U667" s="17"/>
      <c r="V667" s="17"/>
      <c r="W667" s="31"/>
      <c r="X667" s="17"/>
      <c r="Y667" s="17"/>
      <c r="Z667" s="31"/>
      <c r="AA667" s="17"/>
      <c r="AB667" s="17"/>
      <c r="AC667" s="17"/>
      <c r="AD667" s="32"/>
      <c r="AE667" s="31"/>
    </row>
    <row r="668" spans="14:31" x14ac:dyDescent="0.3">
      <c r="N668" s="10"/>
      <c r="P668" s="48"/>
      <c r="Q668" s="17"/>
      <c r="R668" s="17"/>
      <c r="S668" s="17"/>
      <c r="T668" s="17"/>
      <c r="U668" s="17"/>
      <c r="V668" s="17"/>
      <c r="W668" s="31"/>
      <c r="X668" s="17"/>
      <c r="Y668" s="17"/>
      <c r="Z668" s="31"/>
      <c r="AA668" s="17"/>
      <c r="AB668" s="17"/>
      <c r="AC668" s="17"/>
      <c r="AD668" s="32"/>
      <c r="AE668" s="31"/>
    </row>
    <row r="669" spans="14:31" x14ac:dyDescent="0.3">
      <c r="N669" s="10"/>
      <c r="P669" s="48"/>
      <c r="Q669" s="17"/>
      <c r="R669" s="17"/>
      <c r="S669" s="17"/>
      <c r="T669" s="17"/>
      <c r="U669" s="17"/>
      <c r="V669" s="17"/>
      <c r="W669" s="31"/>
      <c r="X669" s="17"/>
      <c r="Y669" s="17"/>
      <c r="Z669" s="31"/>
      <c r="AA669" s="17"/>
      <c r="AB669" s="17"/>
      <c r="AC669" s="17"/>
      <c r="AD669" s="32"/>
      <c r="AE669" s="31"/>
    </row>
    <row r="670" spans="14:31" x14ac:dyDescent="0.3">
      <c r="N670" s="10"/>
      <c r="P670" s="48"/>
      <c r="Q670" s="17"/>
      <c r="R670" s="17"/>
      <c r="S670" s="17"/>
      <c r="T670" s="17"/>
      <c r="U670" s="17"/>
      <c r="V670" s="17"/>
      <c r="W670" s="31"/>
      <c r="X670" s="17"/>
      <c r="Y670" s="17"/>
      <c r="Z670" s="31"/>
      <c r="AA670" s="17"/>
      <c r="AB670" s="17"/>
      <c r="AC670" s="17"/>
      <c r="AD670" s="32"/>
      <c r="AE670" s="31"/>
    </row>
    <row r="671" spans="14:31" x14ac:dyDescent="0.3">
      <c r="N671" s="10"/>
      <c r="P671" s="48"/>
      <c r="Q671" s="17"/>
      <c r="R671" s="17"/>
      <c r="S671" s="17"/>
      <c r="T671" s="17"/>
      <c r="U671" s="17"/>
      <c r="V671" s="17"/>
      <c r="W671" s="31"/>
      <c r="X671" s="17"/>
      <c r="Y671" s="17"/>
      <c r="Z671" s="31"/>
      <c r="AA671" s="17"/>
      <c r="AB671" s="17"/>
      <c r="AC671" s="17"/>
      <c r="AD671" s="32"/>
      <c r="AE671" s="31"/>
    </row>
    <row r="672" spans="14:31" x14ac:dyDescent="0.3">
      <c r="N672" s="10"/>
      <c r="P672" s="48"/>
      <c r="Q672" s="17"/>
      <c r="R672" s="17"/>
      <c r="S672" s="17"/>
      <c r="T672" s="17"/>
      <c r="U672" s="17"/>
      <c r="V672" s="17"/>
      <c r="W672" s="31"/>
      <c r="X672" s="17"/>
      <c r="Y672" s="17"/>
      <c r="Z672" s="31"/>
      <c r="AA672" s="17"/>
      <c r="AB672" s="17"/>
      <c r="AC672" s="17"/>
      <c r="AD672" s="32"/>
      <c r="AE672" s="31"/>
    </row>
    <row r="673" spans="14:31" x14ac:dyDescent="0.3">
      <c r="N673" s="10"/>
      <c r="P673" s="48"/>
      <c r="Q673" s="17"/>
      <c r="R673" s="17"/>
      <c r="S673" s="17"/>
      <c r="T673" s="17"/>
      <c r="U673" s="17"/>
      <c r="V673" s="17"/>
      <c r="W673" s="31"/>
      <c r="X673" s="17"/>
      <c r="Y673" s="17"/>
      <c r="Z673" s="31"/>
      <c r="AA673" s="17"/>
      <c r="AB673" s="17"/>
      <c r="AC673" s="17"/>
      <c r="AD673" s="32"/>
      <c r="AE673" s="31"/>
    </row>
    <row r="674" spans="14:31" x14ac:dyDescent="0.3">
      <c r="N674" s="10"/>
      <c r="P674" s="48"/>
      <c r="Q674" s="17"/>
      <c r="R674" s="17"/>
      <c r="S674" s="17"/>
      <c r="T674" s="17"/>
      <c r="U674" s="17"/>
      <c r="V674" s="17"/>
      <c r="W674" s="31"/>
      <c r="X674" s="17"/>
      <c r="Y674" s="17"/>
      <c r="Z674" s="31"/>
      <c r="AA674" s="17"/>
      <c r="AB674" s="17"/>
      <c r="AC674" s="17"/>
      <c r="AD674" s="32"/>
      <c r="AE674" s="31"/>
    </row>
    <row r="675" spans="14:31" x14ac:dyDescent="0.3">
      <c r="N675" s="10"/>
      <c r="P675" s="48"/>
      <c r="Q675" s="17"/>
      <c r="R675" s="17"/>
      <c r="S675" s="17"/>
      <c r="T675" s="17"/>
      <c r="U675" s="17"/>
      <c r="V675" s="17"/>
      <c r="W675" s="31"/>
      <c r="X675" s="17"/>
      <c r="Y675" s="17"/>
      <c r="Z675" s="31"/>
      <c r="AA675" s="17"/>
      <c r="AB675" s="17"/>
      <c r="AC675" s="17"/>
      <c r="AD675" s="32"/>
      <c r="AE675" s="31"/>
    </row>
    <row r="676" spans="14:31" x14ac:dyDescent="0.3">
      <c r="N676" s="10"/>
      <c r="P676" s="48"/>
      <c r="Q676" s="17"/>
      <c r="R676" s="17"/>
      <c r="S676" s="17"/>
      <c r="T676" s="17"/>
      <c r="U676" s="17"/>
      <c r="V676" s="17"/>
      <c r="W676" s="31"/>
      <c r="X676" s="17"/>
      <c r="Y676" s="17"/>
      <c r="Z676" s="31"/>
      <c r="AA676" s="17"/>
      <c r="AB676" s="17"/>
      <c r="AC676" s="17"/>
      <c r="AD676" s="32"/>
      <c r="AE676" s="31"/>
    </row>
    <row r="677" spans="14:31" x14ac:dyDescent="0.3">
      <c r="N677" s="10"/>
      <c r="P677" s="48"/>
      <c r="Q677" s="17"/>
      <c r="R677" s="17"/>
      <c r="S677" s="17"/>
      <c r="T677" s="17"/>
      <c r="U677" s="17"/>
      <c r="V677" s="17"/>
      <c r="W677" s="31"/>
      <c r="X677" s="17"/>
      <c r="Y677" s="17"/>
      <c r="Z677" s="31"/>
      <c r="AA677" s="17"/>
      <c r="AB677" s="17"/>
      <c r="AC677" s="17"/>
      <c r="AD677" s="32"/>
      <c r="AE677" s="31"/>
    </row>
    <row r="678" spans="14:31" x14ac:dyDescent="0.3">
      <c r="N678" s="10"/>
      <c r="P678" s="48"/>
      <c r="Q678" s="17"/>
      <c r="R678" s="17"/>
      <c r="S678" s="17"/>
      <c r="T678" s="17"/>
      <c r="U678" s="17"/>
      <c r="V678" s="17"/>
      <c r="W678" s="31"/>
      <c r="X678" s="17"/>
      <c r="Y678" s="17"/>
      <c r="Z678" s="31"/>
      <c r="AA678" s="17"/>
      <c r="AB678" s="17"/>
      <c r="AC678" s="17"/>
      <c r="AD678" s="32"/>
      <c r="AE678" s="31"/>
    </row>
    <row r="679" spans="14:31" x14ac:dyDescent="0.3">
      <c r="N679" s="10"/>
      <c r="P679" s="48"/>
      <c r="Q679" s="17"/>
      <c r="R679" s="17"/>
      <c r="S679" s="17"/>
      <c r="T679" s="17"/>
      <c r="U679" s="17"/>
      <c r="V679" s="17"/>
      <c r="W679" s="31"/>
      <c r="X679" s="17"/>
      <c r="Y679" s="17"/>
      <c r="Z679" s="31"/>
      <c r="AA679" s="17"/>
      <c r="AB679" s="17"/>
      <c r="AC679" s="17"/>
      <c r="AD679" s="32"/>
      <c r="AE679" s="31"/>
    </row>
    <row r="680" spans="14:31" x14ac:dyDescent="0.3">
      <c r="N680" s="10"/>
      <c r="P680" s="48"/>
      <c r="Q680" s="17"/>
      <c r="R680" s="17"/>
      <c r="S680" s="17"/>
      <c r="T680" s="17"/>
      <c r="U680" s="17"/>
      <c r="V680" s="17"/>
      <c r="W680" s="31"/>
      <c r="X680" s="17"/>
      <c r="Y680" s="17"/>
      <c r="Z680" s="31"/>
      <c r="AA680" s="17"/>
      <c r="AB680" s="17"/>
      <c r="AC680" s="17"/>
      <c r="AD680" s="32"/>
      <c r="AE680" s="31"/>
    </row>
    <row r="681" spans="14:31" x14ac:dyDescent="0.3">
      <c r="N681" s="10"/>
      <c r="P681" s="48"/>
      <c r="Q681" s="17"/>
      <c r="R681" s="17"/>
      <c r="S681" s="17"/>
      <c r="T681" s="17"/>
      <c r="U681" s="17"/>
      <c r="V681" s="17"/>
      <c r="W681" s="31"/>
      <c r="X681" s="17"/>
      <c r="Y681" s="17"/>
      <c r="Z681" s="31"/>
      <c r="AA681" s="17"/>
      <c r="AB681" s="17"/>
      <c r="AC681" s="17"/>
      <c r="AD681" s="32"/>
      <c r="AE681" s="31"/>
    </row>
    <row r="682" spans="14:31" x14ac:dyDescent="0.3">
      <c r="N682" s="10"/>
      <c r="P682" s="48"/>
      <c r="Q682" s="17"/>
      <c r="R682" s="17"/>
      <c r="S682" s="17"/>
      <c r="T682" s="17"/>
      <c r="U682" s="17"/>
      <c r="V682" s="17"/>
      <c r="W682" s="31"/>
      <c r="X682" s="17"/>
      <c r="Y682" s="17"/>
      <c r="Z682" s="31"/>
      <c r="AA682" s="17"/>
      <c r="AB682" s="17"/>
      <c r="AC682" s="17"/>
      <c r="AD682" s="32"/>
      <c r="AE682" s="31"/>
    </row>
    <row r="683" spans="14:31" x14ac:dyDescent="0.3">
      <c r="N683" s="10"/>
      <c r="P683" s="48"/>
      <c r="Q683" s="17"/>
      <c r="R683" s="17"/>
      <c r="S683" s="17"/>
      <c r="T683" s="17"/>
      <c r="U683" s="17"/>
      <c r="V683" s="17"/>
      <c r="W683" s="31"/>
      <c r="X683" s="17"/>
      <c r="Y683" s="17"/>
      <c r="Z683" s="31"/>
      <c r="AA683" s="17"/>
      <c r="AB683" s="17"/>
      <c r="AC683" s="17"/>
      <c r="AD683" s="32"/>
      <c r="AE683" s="31"/>
    </row>
    <row r="684" spans="14:31" x14ac:dyDescent="0.3">
      <c r="N684" s="10"/>
      <c r="P684" s="48"/>
      <c r="Q684" s="17"/>
      <c r="R684" s="17"/>
      <c r="S684" s="17"/>
      <c r="T684" s="17"/>
      <c r="U684" s="17"/>
      <c r="V684" s="17"/>
      <c r="W684" s="31"/>
      <c r="X684" s="17"/>
      <c r="Y684" s="17"/>
      <c r="Z684" s="31"/>
      <c r="AA684" s="17"/>
      <c r="AB684" s="17"/>
      <c r="AC684" s="17"/>
      <c r="AD684" s="32"/>
      <c r="AE684" s="31"/>
    </row>
    <row r="685" spans="14:31" x14ac:dyDescent="0.3">
      <c r="N685" s="10"/>
      <c r="P685" s="48"/>
      <c r="Q685" s="17"/>
      <c r="R685" s="17"/>
      <c r="S685" s="17"/>
      <c r="T685" s="17"/>
      <c r="U685" s="17"/>
      <c r="V685" s="17"/>
      <c r="W685" s="31"/>
      <c r="X685" s="17"/>
      <c r="Y685" s="17"/>
      <c r="Z685" s="31"/>
      <c r="AA685" s="17"/>
      <c r="AB685" s="17"/>
      <c r="AC685" s="17"/>
      <c r="AD685" s="32"/>
      <c r="AE685" s="31"/>
    </row>
    <row r="686" spans="14:31" x14ac:dyDescent="0.3">
      <c r="N686" s="10"/>
      <c r="P686" s="48"/>
      <c r="Q686" s="17"/>
      <c r="R686" s="17"/>
      <c r="S686" s="17"/>
      <c r="T686" s="17"/>
      <c r="U686" s="17"/>
      <c r="V686" s="17"/>
      <c r="W686" s="31"/>
      <c r="X686" s="17"/>
      <c r="Y686" s="17"/>
      <c r="Z686" s="31"/>
      <c r="AA686" s="17"/>
      <c r="AB686" s="17"/>
      <c r="AC686" s="17"/>
      <c r="AD686" s="32"/>
      <c r="AE686" s="31"/>
    </row>
    <row r="687" spans="14:31" x14ac:dyDescent="0.3">
      <c r="N687" s="10"/>
      <c r="P687" s="48"/>
      <c r="Q687" s="17"/>
      <c r="R687" s="17"/>
      <c r="S687" s="17"/>
      <c r="T687" s="17"/>
      <c r="U687" s="17"/>
      <c r="V687" s="17"/>
      <c r="W687" s="31"/>
      <c r="X687" s="17"/>
      <c r="Y687" s="17"/>
      <c r="Z687" s="31"/>
      <c r="AA687" s="17"/>
      <c r="AB687" s="17"/>
      <c r="AC687" s="17"/>
      <c r="AD687" s="32"/>
      <c r="AE687" s="31"/>
    </row>
    <row r="688" spans="14:31" x14ac:dyDescent="0.3">
      <c r="N688" s="10"/>
      <c r="P688" s="48"/>
      <c r="Q688" s="17"/>
      <c r="R688" s="17"/>
      <c r="S688" s="17"/>
      <c r="T688" s="17"/>
      <c r="U688" s="17"/>
      <c r="V688" s="17"/>
      <c r="W688" s="31"/>
      <c r="X688" s="17"/>
      <c r="Y688" s="17"/>
      <c r="Z688" s="31"/>
      <c r="AA688" s="17"/>
      <c r="AB688" s="17"/>
      <c r="AC688" s="17"/>
      <c r="AD688" s="32"/>
      <c r="AE688" s="31"/>
    </row>
    <row r="689" spans="14:31" x14ac:dyDescent="0.3">
      <c r="N689" s="10"/>
      <c r="P689" s="48"/>
      <c r="Q689" s="17"/>
      <c r="R689" s="17"/>
      <c r="S689" s="17"/>
      <c r="T689" s="17"/>
      <c r="U689" s="17"/>
      <c r="V689" s="17"/>
      <c r="W689" s="31"/>
      <c r="X689" s="17"/>
      <c r="Y689" s="17"/>
      <c r="Z689" s="31"/>
      <c r="AA689" s="17"/>
      <c r="AB689" s="17"/>
      <c r="AC689" s="17"/>
      <c r="AD689" s="32"/>
      <c r="AE689" s="31"/>
    </row>
    <row r="690" spans="14:31" x14ac:dyDescent="0.3">
      <c r="N690" s="10"/>
      <c r="P690" s="48"/>
      <c r="Q690" s="17"/>
      <c r="R690" s="17"/>
      <c r="S690" s="17"/>
      <c r="T690" s="17"/>
      <c r="U690" s="17"/>
      <c r="V690" s="17"/>
      <c r="W690" s="31"/>
      <c r="X690" s="17"/>
      <c r="Y690" s="17"/>
      <c r="Z690" s="31"/>
      <c r="AA690" s="17"/>
      <c r="AB690" s="17"/>
      <c r="AC690" s="17"/>
      <c r="AD690" s="32"/>
      <c r="AE690" s="31"/>
    </row>
    <row r="691" spans="14:31" x14ac:dyDescent="0.3">
      <c r="N691" s="10"/>
      <c r="P691" s="48"/>
      <c r="Q691" s="17"/>
      <c r="R691" s="17"/>
      <c r="S691" s="17"/>
      <c r="T691" s="17"/>
      <c r="U691" s="17"/>
      <c r="V691" s="17"/>
      <c r="W691" s="31"/>
      <c r="X691" s="17"/>
      <c r="Y691" s="17"/>
      <c r="Z691" s="31"/>
      <c r="AA691" s="17"/>
      <c r="AB691" s="17"/>
      <c r="AC691" s="17"/>
      <c r="AD691" s="32"/>
      <c r="AE691" s="31"/>
    </row>
    <row r="692" spans="14:31" x14ac:dyDescent="0.3">
      <c r="N692" s="10"/>
      <c r="P692" s="48"/>
      <c r="Q692" s="17"/>
      <c r="R692" s="17"/>
      <c r="S692" s="17"/>
      <c r="T692" s="17"/>
      <c r="U692" s="17"/>
      <c r="V692" s="17"/>
      <c r="W692" s="31"/>
      <c r="X692" s="17"/>
      <c r="Y692" s="17"/>
      <c r="Z692" s="31"/>
      <c r="AA692" s="17"/>
      <c r="AB692" s="17"/>
      <c r="AC692" s="17"/>
      <c r="AD692" s="32"/>
      <c r="AE692" s="31"/>
    </row>
    <row r="693" spans="14:31" x14ac:dyDescent="0.3">
      <c r="N693" s="10"/>
      <c r="P693" s="48"/>
      <c r="Q693" s="17"/>
      <c r="R693" s="17"/>
      <c r="S693" s="17"/>
      <c r="T693" s="17"/>
      <c r="U693" s="17"/>
      <c r="V693" s="17"/>
      <c r="W693" s="31"/>
      <c r="X693" s="17"/>
      <c r="Y693" s="17"/>
      <c r="Z693" s="31"/>
      <c r="AA693" s="17"/>
      <c r="AB693" s="17"/>
      <c r="AC693" s="17"/>
      <c r="AD693" s="32"/>
      <c r="AE693" s="31"/>
    </row>
    <row r="694" spans="14:31" x14ac:dyDescent="0.3">
      <c r="N694" s="10"/>
      <c r="P694" s="48"/>
      <c r="Q694" s="17"/>
      <c r="R694" s="17"/>
      <c r="S694" s="17"/>
      <c r="T694" s="17"/>
      <c r="U694" s="17"/>
      <c r="V694" s="17"/>
      <c r="W694" s="31"/>
      <c r="X694" s="17"/>
      <c r="Y694" s="17"/>
      <c r="Z694" s="31"/>
      <c r="AA694" s="17"/>
      <c r="AB694" s="17"/>
      <c r="AC694" s="17"/>
      <c r="AD694" s="32"/>
      <c r="AE694" s="31"/>
    </row>
    <row r="695" spans="14:31" x14ac:dyDescent="0.3">
      <c r="N695" s="10"/>
      <c r="P695" s="48"/>
      <c r="Q695" s="17"/>
      <c r="R695" s="17"/>
      <c r="S695" s="17"/>
      <c r="T695" s="17"/>
      <c r="U695" s="17"/>
      <c r="V695" s="17"/>
      <c r="W695" s="31"/>
      <c r="X695" s="17"/>
      <c r="Y695" s="17"/>
      <c r="Z695" s="31"/>
      <c r="AA695" s="17"/>
      <c r="AB695" s="17"/>
      <c r="AC695" s="17"/>
      <c r="AD695" s="32"/>
      <c r="AE695" s="31"/>
    </row>
    <row r="696" spans="14:31" x14ac:dyDescent="0.3">
      <c r="N696" s="10"/>
      <c r="P696" s="48"/>
      <c r="Q696" s="17"/>
      <c r="R696" s="17"/>
      <c r="S696" s="17"/>
      <c r="T696" s="17"/>
      <c r="U696" s="17"/>
      <c r="V696" s="17"/>
      <c r="W696" s="31"/>
      <c r="X696" s="17"/>
      <c r="Y696" s="17"/>
      <c r="Z696" s="31"/>
      <c r="AA696" s="17"/>
      <c r="AB696" s="17"/>
      <c r="AC696" s="17"/>
      <c r="AD696" s="32"/>
      <c r="AE696" s="31"/>
    </row>
    <row r="697" spans="14:31" x14ac:dyDescent="0.3">
      <c r="N697" s="10"/>
      <c r="P697" s="48"/>
      <c r="Q697" s="17"/>
      <c r="R697" s="17"/>
      <c r="S697" s="17"/>
      <c r="T697" s="17"/>
      <c r="U697" s="17"/>
      <c r="V697" s="17"/>
      <c r="W697" s="31"/>
      <c r="X697" s="17"/>
      <c r="Y697" s="17"/>
      <c r="Z697" s="31"/>
      <c r="AA697" s="17"/>
      <c r="AB697" s="17"/>
      <c r="AC697" s="17"/>
      <c r="AD697" s="32"/>
      <c r="AE697" s="31"/>
    </row>
    <row r="698" spans="14:31" x14ac:dyDescent="0.3">
      <c r="N698" s="10"/>
      <c r="P698" s="48"/>
      <c r="Q698" s="17"/>
      <c r="R698" s="17"/>
      <c r="S698" s="17"/>
      <c r="T698" s="17"/>
      <c r="U698" s="17"/>
      <c r="V698" s="17"/>
      <c r="W698" s="31"/>
      <c r="X698" s="17"/>
      <c r="Y698" s="17"/>
      <c r="Z698" s="31"/>
      <c r="AA698" s="17"/>
      <c r="AB698" s="17"/>
      <c r="AC698" s="17"/>
      <c r="AD698" s="32"/>
      <c r="AE698" s="31"/>
    </row>
    <row r="699" spans="14:31" x14ac:dyDescent="0.3">
      <c r="N699" s="10"/>
      <c r="P699" s="48"/>
      <c r="Q699" s="17"/>
      <c r="R699" s="17"/>
      <c r="S699" s="17"/>
      <c r="T699" s="17"/>
      <c r="U699" s="17"/>
      <c r="V699" s="17"/>
      <c r="W699" s="31"/>
      <c r="X699" s="17"/>
      <c r="Y699" s="17"/>
      <c r="Z699" s="31"/>
      <c r="AA699" s="17"/>
      <c r="AB699" s="17"/>
      <c r="AC699" s="17"/>
      <c r="AD699" s="32"/>
      <c r="AE699" s="31"/>
    </row>
    <row r="700" spans="14:31" x14ac:dyDescent="0.3">
      <c r="N700" s="10"/>
      <c r="P700" s="48"/>
      <c r="Q700" s="17"/>
      <c r="R700" s="17"/>
      <c r="S700" s="17"/>
      <c r="T700" s="17"/>
      <c r="U700" s="17"/>
      <c r="V700" s="17"/>
      <c r="W700" s="31"/>
      <c r="X700" s="17"/>
      <c r="Y700" s="17"/>
      <c r="Z700" s="31"/>
      <c r="AA700" s="17"/>
      <c r="AB700" s="17"/>
      <c r="AC700" s="17"/>
      <c r="AD700" s="32"/>
      <c r="AE700" s="31"/>
    </row>
    <row r="701" spans="14:31" x14ac:dyDescent="0.3">
      <c r="N701" s="10"/>
      <c r="P701" s="48"/>
      <c r="Q701" s="17"/>
      <c r="R701" s="17"/>
      <c r="S701" s="17"/>
      <c r="T701" s="17"/>
      <c r="U701" s="17"/>
      <c r="V701" s="17"/>
      <c r="W701" s="31"/>
      <c r="X701" s="17"/>
      <c r="Y701" s="17"/>
      <c r="Z701" s="31"/>
      <c r="AA701" s="17"/>
      <c r="AB701" s="17"/>
      <c r="AC701" s="17"/>
      <c r="AD701" s="32"/>
      <c r="AE701" s="31"/>
    </row>
    <row r="702" spans="14:31" x14ac:dyDescent="0.3">
      <c r="N702" s="10"/>
      <c r="P702" s="48"/>
      <c r="Q702" s="17"/>
      <c r="R702" s="17"/>
      <c r="S702" s="17"/>
      <c r="T702" s="17"/>
      <c r="U702" s="17"/>
      <c r="V702" s="17"/>
      <c r="W702" s="31"/>
      <c r="X702" s="17"/>
      <c r="Y702" s="17"/>
      <c r="Z702" s="31"/>
      <c r="AA702" s="17"/>
      <c r="AB702" s="17"/>
      <c r="AC702" s="17"/>
      <c r="AD702" s="32"/>
      <c r="AE702" s="31"/>
    </row>
    <row r="703" spans="14:31" x14ac:dyDescent="0.3">
      <c r="N703" s="10"/>
      <c r="P703" s="48"/>
      <c r="Q703" s="17"/>
      <c r="R703" s="17"/>
      <c r="S703" s="17"/>
      <c r="T703" s="17"/>
      <c r="U703" s="17"/>
      <c r="V703" s="17"/>
      <c r="W703" s="31"/>
      <c r="X703" s="17"/>
      <c r="Y703" s="17"/>
      <c r="Z703" s="31"/>
      <c r="AA703" s="17"/>
      <c r="AB703" s="17"/>
      <c r="AC703" s="17"/>
      <c r="AD703" s="32"/>
      <c r="AE703" s="31"/>
    </row>
    <row r="704" spans="14:31" x14ac:dyDescent="0.3">
      <c r="N704" s="10"/>
      <c r="P704" s="48"/>
      <c r="Q704" s="17"/>
      <c r="R704" s="17"/>
      <c r="S704" s="17"/>
      <c r="T704" s="17"/>
      <c r="U704" s="17"/>
      <c r="V704" s="17"/>
      <c r="W704" s="31"/>
      <c r="X704" s="17"/>
      <c r="Y704" s="17"/>
      <c r="Z704" s="31"/>
      <c r="AA704" s="17"/>
      <c r="AB704" s="17"/>
      <c r="AC704" s="17"/>
      <c r="AD704" s="32"/>
      <c r="AE704" s="31"/>
    </row>
    <row r="705" spans="14:31" x14ac:dyDescent="0.3">
      <c r="N705" s="10"/>
      <c r="P705" s="48"/>
      <c r="Q705" s="17"/>
      <c r="R705" s="17"/>
      <c r="S705" s="17"/>
      <c r="T705" s="17"/>
      <c r="U705" s="17"/>
      <c r="V705" s="17"/>
      <c r="W705" s="31"/>
      <c r="X705" s="17"/>
      <c r="Y705" s="17"/>
      <c r="Z705" s="31"/>
      <c r="AA705" s="17"/>
      <c r="AB705" s="17"/>
      <c r="AC705" s="17"/>
      <c r="AD705" s="32"/>
      <c r="AE705" s="31"/>
    </row>
    <row r="706" spans="14:31" x14ac:dyDescent="0.3">
      <c r="N706" s="10"/>
      <c r="P706" s="48"/>
      <c r="Q706" s="17"/>
      <c r="R706" s="17"/>
      <c r="S706" s="17"/>
      <c r="T706" s="17"/>
      <c r="U706" s="17"/>
      <c r="V706" s="17"/>
      <c r="W706" s="31"/>
      <c r="X706" s="17"/>
      <c r="Y706" s="17"/>
      <c r="Z706" s="31"/>
      <c r="AA706" s="17"/>
      <c r="AB706" s="17"/>
      <c r="AC706" s="17"/>
      <c r="AD706" s="32"/>
      <c r="AE706" s="31"/>
    </row>
    <row r="707" spans="14:31" x14ac:dyDescent="0.3">
      <c r="N707" s="10"/>
      <c r="P707" s="48"/>
      <c r="Q707" s="17"/>
      <c r="R707" s="17"/>
      <c r="S707" s="17"/>
      <c r="T707" s="17"/>
      <c r="U707" s="17"/>
      <c r="V707" s="17"/>
      <c r="W707" s="31"/>
      <c r="X707" s="17"/>
      <c r="Y707" s="17"/>
      <c r="Z707" s="31"/>
      <c r="AA707" s="17"/>
      <c r="AB707" s="17"/>
      <c r="AC707" s="17"/>
      <c r="AD707" s="32"/>
      <c r="AE707" s="31"/>
    </row>
    <row r="708" spans="14:31" x14ac:dyDescent="0.3">
      <c r="N708" s="10"/>
      <c r="P708" s="48"/>
      <c r="Q708" s="17"/>
      <c r="R708" s="17"/>
      <c r="S708" s="17"/>
      <c r="T708" s="17"/>
      <c r="U708" s="17"/>
      <c r="V708" s="17"/>
      <c r="W708" s="31"/>
      <c r="X708" s="17"/>
      <c r="Y708" s="17"/>
      <c r="Z708" s="31"/>
      <c r="AA708" s="17"/>
      <c r="AB708" s="17"/>
      <c r="AC708" s="17"/>
      <c r="AD708" s="32"/>
      <c r="AE708" s="31"/>
    </row>
  </sheetData>
  <mergeCells count="29">
    <mergeCell ref="A1:M1"/>
    <mergeCell ref="E6:K6"/>
    <mergeCell ref="Q17:S17"/>
    <mergeCell ref="T17:V17"/>
    <mergeCell ref="W17:Y17"/>
    <mergeCell ref="P16:AE16"/>
    <mergeCell ref="Z17:AB17"/>
    <mergeCell ref="N1:X1"/>
    <mergeCell ref="P4:AE4"/>
    <mergeCell ref="AF4:AR4"/>
    <mergeCell ref="AS4:AU4"/>
    <mergeCell ref="Q5:S5"/>
    <mergeCell ref="T5:V5"/>
    <mergeCell ref="W5:Y5"/>
    <mergeCell ref="Z5:AB5"/>
    <mergeCell ref="AC5:AE5"/>
    <mergeCell ref="AG5:AI5"/>
    <mergeCell ref="AJ5:AL5"/>
    <mergeCell ref="AM5:AO5"/>
    <mergeCell ref="AP5:AR5"/>
    <mergeCell ref="AS5:AU5"/>
    <mergeCell ref="AP17:AR17"/>
    <mergeCell ref="AC17:AE17"/>
    <mergeCell ref="AS16:AU16"/>
    <mergeCell ref="AS17:AU17"/>
    <mergeCell ref="AG17:AI17"/>
    <mergeCell ref="AJ17:AL17"/>
    <mergeCell ref="AM17:AO17"/>
    <mergeCell ref="AF16:AR16"/>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57"/>
  <sheetViews>
    <sheetView zoomScale="85" zoomScaleNormal="85" workbookViewId="0">
      <pane ySplit="6" topLeftCell="A7" activePane="bottomLeft" state="frozen"/>
      <selection activeCell="R1" sqref="R1"/>
      <selection pane="bottomLeft" activeCell="H9" sqref="H9"/>
    </sheetView>
  </sheetViews>
  <sheetFormatPr defaultColWidth="8.88671875" defaultRowHeight="14.4" x14ac:dyDescent="0.3"/>
  <cols>
    <col min="1" max="1" width="25.44140625" style="49" customWidth="1"/>
    <col min="2" max="2" width="14.6640625" style="49" customWidth="1"/>
    <col min="3" max="9" width="8.88671875" style="49"/>
    <col min="10" max="10" width="10" style="49" bestFit="1" customWidth="1"/>
    <col min="11" max="20" width="8.88671875" style="49"/>
    <col min="21" max="21" width="7.88671875" style="49" customWidth="1"/>
    <col min="22" max="25" width="8.88671875" style="49"/>
    <col min="26" max="26" width="12" style="49" bestFit="1" customWidth="1"/>
    <col min="27" max="46" width="8.88671875" style="49"/>
    <col min="47" max="47" width="11.88671875" style="49" bestFit="1" customWidth="1"/>
    <col min="48" max="56" width="8.88671875" style="49"/>
    <col min="57" max="58" width="14.6640625" style="49" bestFit="1" customWidth="1"/>
    <col min="59" max="59" width="9.6640625" style="49" customWidth="1"/>
    <col min="60" max="60" width="9.44140625" style="49" customWidth="1"/>
    <col min="61" max="62" width="11.88671875" style="49" customWidth="1"/>
    <col min="63" max="65" width="8.88671875" style="49"/>
    <col min="66" max="67" width="8.5546875" style="49" bestFit="1" customWidth="1"/>
    <col min="68" max="68" width="10.6640625" style="49" bestFit="1" customWidth="1"/>
    <col min="69" max="69" width="9.6640625" style="49" bestFit="1" customWidth="1"/>
    <col min="70" max="70" width="8.44140625" style="49" bestFit="1" customWidth="1"/>
    <col min="71" max="71" width="9.33203125" style="49" bestFit="1" customWidth="1"/>
    <col min="72" max="72" width="11.33203125" style="49" bestFit="1" customWidth="1"/>
    <col min="73" max="73" width="12.44140625" style="49" bestFit="1" customWidth="1"/>
    <col min="74" max="75" width="8.88671875" style="49"/>
    <col min="76" max="76" width="14.6640625" style="49" bestFit="1" customWidth="1"/>
    <col min="77" max="16384" width="8.88671875" style="49"/>
  </cols>
  <sheetData>
    <row r="1" spans="1:78" ht="28.2" x14ac:dyDescent="0.5">
      <c r="A1" s="294" t="s">
        <v>16</v>
      </c>
      <c r="B1" s="294"/>
      <c r="C1" s="294"/>
      <c r="D1" s="294"/>
      <c r="E1" s="294"/>
      <c r="F1" s="294"/>
      <c r="G1" s="294"/>
      <c r="H1" s="294"/>
      <c r="I1" s="294"/>
      <c r="J1" s="294"/>
      <c r="K1" s="294"/>
      <c r="L1" s="294"/>
      <c r="M1" s="294"/>
    </row>
    <row r="2" spans="1:78" x14ac:dyDescent="0.3">
      <c r="AN2" s="49" t="s">
        <v>602</v>
      </c>
      <c r="AO2" s="49">
        <f>((NS1_/Np)^2)*Lm</f>
        <v>2.8799999999999997E-3</v>
      </c>
    </row>
    <row r="3" spans="1:78" ht="15" thickBot="1" x14ac:dyDescent="0.35">
      <c r="AX3" s="49" t="s">
        <v>668</v>
      </c>
    </row>
    <row r="4" spans="1:78" ht="15" thickBot="1" x14ac:dyDescent="0.35">
      <c r="R4" s="295" t="s">
        <v>325</v>
      </c>
      <c r="S4" s="292"/>
      <c r="T4" s="293"/>
      <c r="U4" s="296" t="s">
        <v>599</v>
      </c>
      <c r="V4" s="297"/>
      <c r="W4" s="297"/>
      <c r="X4" s="297"/>
      <c r="Y4" s="297"/>
      <c r="Z4" s="297"/>
      <c r="AA4" s="297"/>
      <c r="AB4" s="297"/>
      <c r="AC4" s="297"/>
      <c r="AD4" s="297"/>
      <c r="AE4" s="298"/>
      <c r="AF4" s="208"/>
      <c r="AG4" s="208"/>
      <c r="AH4" s="74"/>
      <c r="AI4" s="74"/>
      <c r="AJ4" s="77"/>
      <c r="AK4" s="296" t="s">
        <v>614</v>
      </c>
      <c r="AL4" s="297"/>
      <c r="AM4" s="297"/>
      <c r="AN4" s="297"/>
      <c r="AO4" s="297"/>
      <c r="AP4" s="297"/>
      <c r="AQ4" s="297"/>
      <c r="AR4" s="297"/>
      <c r="AS4" s="297"/>
      <c r="AT4" s="297"/>
      <c r="AU4" s="297"/>
      <c r="AV4" s="297"/>
      <c r="AW4" s="297"/>
      <c r="AX4" s="297"/>
      <c r="AY4" s="298"/>
      <c r="AZ4" s="295" t="s">
        <v>487</v>
      </c>
      <c r="BA4" s="292"/>
      <c r="BB4" s="292"/>
      <c r="BC4" s="292"/>
      <c r="BD4" s="292"/>
      <c r="BE4" s="292"/>
      <c r="BF4" s="292"/>
      <c r="BG4" s="292"/>
      <c r="BH4" s="292"/>
      <c r="BI4" s="293"/>
      <c r="BJ4" s="208"/>
      <c r="BK4" s="295" t="s">
        <v>627</v>
      </c>
      <c r="BL4" s="292"/>
      <c r="BM4" s="292"/>
      <c r="BN4" s="292"/>
      <c r="BO4" s="292"/>
      <c r="BP4" s="292"/>
      <c r="BQ4" s="292"/>
      <c r="BR4" s="292"/>
      <c r="BS4" s="292"/>
      <c r="BT4" s="292"/>
      <c r="BU4" s="71"/>
      <c r="BV4" s="74"/>
      <c r="BW4" s="77"/>
      <c r="BY4" s="49" t="s">
        <v>632</v>
      </c>
    </row>
    <row r="5" spans="1:78" x14ac:dyDescent="0.3">
      <c r="R5" s="290"/>
      <c r="S5" s="289"/>
      <c r="T5" s="291"/>
      <c r="U5" s="224" t="s">
        <v>326</v>
      </c>
      <c r="V5" s="209"/>
      <c r="W5" s="207"/>
      <c r="X5" s="207"/>
      <c r="Y5" s="224" t="s">
        <v>596</v>
      </c>
      <c r="Z5" s="209"/>
      <c r="AA5" s="209"/>
      <c r="AB5" s="210"/>
      <c r="AC5" s="224"/>
      <c r="AD5" s="209"/>
      <c r="AE5" s="210"/>
      <c r="AF5" s="295" t="s">
        <v>629</v>
      </c>
      <c r="AG5" s="293"/>
      <c r="AH5" s="295" t="s">
        <v>628</v>
      </c>
      <c r="AI5" s="292"/>
      <c r="AJ5" s="293"/>
      <c r="AK5" s="295"/>
      <c r="AL5" s="292"/>
      <c r="AM5" s="293"/>
      <c r="AN5" s="295"/>
      <c r="AO5" s="292"/>
      <c r="AP5" s="292"/>
      <c r="AQ5" s="292"/>
      <c r="AR5" s="292"/>
      <c r="AS5" s="293"/>
      <c r="AT5" s="295" t="s">
        <v>615</v>
      </c>
      <c r="AU5" s="292"/>
      <c r="AV5" s="293"/>
      <c r="AW5" s="295" t="s">
        <v>616</v>
      </c>
      <c r="AX5" s="292"/>
      <c r="AY5" s="293"/>
      <c r="AZ5" s="295"/>
      <c r="BA5" s="292"/>
      <c r="BB5" s="292"/>
      <c r="BC5" s="293"/>
      <c r="BD5" s="295" t="s">
        <v>615</v>
      </c>
      <c r="BE5" s="292"/>
      <c r="BF5" s="293"/>
      <c r="BG5" s="295" t="s">
        <v>616</v>
      </c>
      <c r="BH5" s="292"/>
      <c r="BI5" s="293"/>
      <c r="BJ5" s="208"/>
      <c r="BK5" s="295"/>
      <c r="BL5" s="292"/>
      <c r="BM5" s="292"/>
      <c r="BN5" s="293"/>
      <c r="BO5" s="295" t="s">
        <v>615</v>
      </c>
      <c r="BP5" s="292"/>
      <c r="BQ5" s="293"/>
      <c r="BR5" s="295" t="s">
        <v>616</v>
      </c>
      <c r="BS5" s="292"/>
      <c r="BT5" s="293"/>
      <c r="BU5" s="299" t="s">
        <v>378</v>
      </c>
      <c r="BV5" s="300"/>
      <c r="BW5" s="301"/>
      <c r="BX5" s="212"/>
    </row>
    <row r="6" spans="1:78" ht="15.6" x14ac:dyDescent="0.35">
      <c r="R6" s="58" t="s">
        <v>597</v>
      </c>
      <c r="S6" s="49" t="s">
        <v>280</v>
      </c>
      <c r="T6" s="61" t="s">
        <v>283</v>
      </c>
      <c r="U6" s="58" t="s">
        <v>281</v>
      </c>
      <c r="V6" s="49" t="s">
        <v>282</v>
      </c>
      <c r="W6" s="49" t="s">
        <v>600</v>
      </c>
      <c r="X6" s="49" t="s">
        <v>601</v>
      </c>
      <c r="Y6" s="58" t="s">
        <v>598</v>
      </c>
      <c r="Z6" s="213" t="s">
        <v>327</v>
      </c>
      <c r="AA6" s="213" t="s">
        <v>329</v>
      </c>
      <c r="AB6" s="218" t="s">
        <v>328</v>
      </c>
      <c r="AC6" s="222" t="s">
        <v>331</v>
      </c>
      <c r="AD6" s="214" t="s">
        <v>332</v>
      </c>
      <c r="AE6" s="216" t="s">
        <v>371</v>
      </c>
      <c r="AF6" s="222" t="s">
        <v>630</v>
      </c>
      <c r="AG6" s="216" t="s">
        <v>631</v>
      </c>
      <c r="AH6" s="222" t="s">
        <v>369</v>
      </c>
      <c r="AI6" s="214" t="s">
        <v>368</v>
      </c>
      <c r="AJ6" s="216" t="s">
        <v>370</v>
      </c>
      <c r="AK6" s="58" t="s">
        <v>422</v>
      </c>
      <c r="AL6" s="49" t="s">
        <v>419</v>
      </c>
      <c r="AM6" s="61" t="s">
        <v>420</v>
      </c>
      <c r="AN6" s="222" t="s">
        <v>281</v>
      </c>
      <c r="AO6" s="214" t="s">
        <v>610</v>
      </c>
      <c r="AP6" s="214" t="s">
        <v>609</v>
      </c>
      <c r="AQ6" s="214" t="s">
        <v>611</v>
      </c>
      <c r="AR6" s="214" t="s">
        <v>612</v>
      </c>
      <c r="AS6" s="216" t="s">
        <v>613</v>
      </c>
      <c r="AT6" s="222" t="s">
        <v>331</v>
      </c>
      <c r="AU6" s="214" t="s">
        <v>332</v>
      </c>
      <c r="AV6" s="216" t="s">
        <v>371</v>
      </c>
      <c r="AW6" s="222" t="s">
        <v>617</v>
      </c>
      <c r="AX6" s="214" t="s">
        <v>618</v>
      </c>
      <c r="AY6" s="216" t="s">
        <v>619</v>
      </c>
      <c r="AZ6" s="58" t="s">
        <v>426</v>
      </c>
      <c r="BA6" s="49" t="s">
        <v>423</v>
      </c>
      <c r="BB6" s="49" t="s">
        <v>424</v>
      </c>
      <c r="BC6" s="216" t="s">
        <v>608</v>
      </c>
      <c r="BD6" s="222" t="s">
        <v>331</v>
      </c>
      <c r="BE6" s="214" t="s">
        <v>332</v>
      </c>
      <c r="BF6" s="216" t="s">
        <v>371</v>
      </c>
      <c r="BG6" s="222" t="s">
        <v>617</v>
      </c>
      <c r="BH6" s="214" t="s">
        <v>618</v>
      </c>
      <c r="BI6" s="216" t="s">
        <v>619</v>
      </c>
      <c r="BJ6" s="214"/>
      <c r="BK6" s="58" t="s">
        <v>430</v>
      </c>
      <c r="BL6" s="49" t="s">
        <v>427</v>
      </c>
      <c r="BM6" s="49" t="s">
        <v>428</v>
      </c>
      <c r="BN6" s="216" t="s">
        <v>626</v>
      </c>
      <c r="BO6" s="222" t="s">
        <v>331</v>
      </c>
      <c r="BP6" s="214" t="s">
        <v>332</v>
      </c>
      <c r="BQ6" s="216" t="s">
        <v>371</v>
      </c>
      <c r="BR6" s="222" t="s">
        <v>617</v>
      </c>
      <c r="BS6" s="214" t="s">
        <v>618</v>
      </c>
      <c r="BT6" s="216" t="s">
        <v>619</v>
      </c>
      <c r="BU6" s="217" t="s">
        <v>372</v>
      </c>
      <c r="BV6" s="213" t="s">
        <v>373</v>
      </c>
      <c r="BW6" s="218" t="s">
        <v>374</v>
      </c>
      <c r="BX6" s="213" t="s">
        <v>633</v>
      </c>
    </row>
    <row r="7" spans="1:78" x14ac:dyDescent="0.3">
      <c r="Q7" s="49">
        <v>0</v>
      </c>
      <c r="R7" s="58">
        <f t="shared" ref="R7:R38" si="0">AK7+AZ7+BK7</f>
        <v>0</v>
      </c>
      <c r="S7" s="49">
        <f t="shared" ref="S7:S70" si="1">VIN_var</f>
        <v>15</v>
      </c>
      <c r="T7" s="61">
        <f t="shared" ref="T7:T38" si="2">(R7)/(S7*EFF_est)</f>
        <v>0</v>
      </c>
      <c r="U7" s="58">
        <f t="shared" ref="U7:U38" si="3">IF(R7&lt;((((Np/NS1_)*(AL7)/((S7+((Np/NS1_)*(AL7)))))^2)*(S7^2))/(2*Lm*Fsw),1,2)</f>
        <v>1</v>
      </c>
      <c r="V7" s="49">
        <f t="shared" ref="V7:V38" si="4">CHOOSE(U7,SQRT((2*Lm*R7*Fsw)/((S7^2)*EFF_est)),(((Np/NS1_)*(AL7))/(S7+((Np/NS1_)*(AL7)))))</f>
        <v>0</v>
      </c>
      <c r="W7" s="49">
        <f t="shared" ref="W7:W38" si="5">CHOOSE(U7,(NS1_*S7*V7)/(Np*AL7),1-V7)</f>
        <v>0</v>
      </c>
      <c r="X7" s="49">
        <f>CHOOSE(U7,1-V7-W7,0)</f>
        <v>1</v>
      </c>
      <c r="Y7" s="58">
        <v>0</v>
      </c>
      <c r="Z7" s="49">
        <f t="shared" ref="Z7:Z38" si="6">(S7*V7)/(Lm*Fsw)</f>
        <v>0</v>
      </c>
      <c r="AA7" s="49">
        <f>Y7+(Z7/2)</f>
        <v>0</v>
      </c>
      <c r="AB7" s="61">
        <f t="shared" ref="AB7:AB38" si="7">CHOOSE(U7,AA7*SQRT(V7/3),SQRT(V7*((AA7^2)+((Z7^2)/(3))-(AA7*Z7))))</f>
        <v>0</v>
      </c>
      <c r="AC7" s="58">
        <v>0</v>
      </c>
      <c r="AD7" s="49">
        <f>(AB7^2)*Rdcr</f>
        <v>0</v>
      </c>
      <c r="AE7" s="61">
        <f>AC7+AD7</f>
        <v>0</v>
      </c>
      <c r="AF7" s="58">
        <f t="shared" ref="AF7:AF38" si="8">R7*0.02</f>
        <v>0</v>
      </c>
      <c r="AG7" s="61">
        <f t="shared" ref="AG7:AG38" si="9">R7*0.02</f>
        <v>0</v>
      </c>
      <c r="AH7" s="58">
        <f t="shared" ref="AH7:AH38" si="10">(AB7^2)*RDS_on</f>
        <v>0</v>
      </c>
      <c r="AI7" s="49">
        <f t="shared" ref="AI7:AI38" si="11">((Y7*(S7+((Np/NS1_)*VOUT1)))/2)*Fsw*(tr_sw+tf_sw)</f>
        <v>0</v>
      </c>
      <c r="AJ7" s="61">
        <f>AH7+AI7</f>
        <v>0</v>
      </c>
      <c r="AK7" s="58">
        <f t="shared" ref="AK7:AK38" si="12">Q7*$B$11</f>
        <v>0</v>
      </c>
      <c r="AL7" s="49">
        <f t="shared" ref="AL7:AL70" si="13">VOUT1</f>
        <v>1500</v>
      </c>
      <c r="AM7" s="61">
        <f>AK7/AL7</f>
        <v>0</v>
      </c>
      <c r="AN7" s="58"/>
      <c r="AS7" s="61"/>
      <c r="AT7" s="58"/>
      <c r="AV7" s="61"/>
      <c r="AW7" s="58"/>
      <c r="AY7" s="61"/>
      <c r="AZ7" s="58">
        <f t="shared" ref="AZ7:AZ38" si="14">IF(EN_OUT_2=1,Q7*$B$15,0)</f>
        <v>0</v>
      </c>
      <c r="BA7" s="49">
        <f t="shared" ref="BA7:BA38" si="15">IF(EN_OUT_2=1,VOUT2,0)</f>
        <v>0</v>
      </c>
      <c r="BB7" s="49">
        <f t="shared" ref="BB7:BB8" si="16">IF(EN_OUT_2=1,AZ7/BA7,0)</f>
        <v>0</v>
      </c>
      <c r="BC7" s="61"/>
      <c r="BD7" s="58"/>
      <c r="BF7" s="61"/>
      <c r="BG7" s="58"/>
      <c r="BI7" s="61"/>
      <c r="BK7" s="58">
        <f t="shared" ref="BK7:BK38" si="17">IF(EN_OUT_3=1,Q7*$B$19,0)</f>
        <v>0</v>
      </c>
      <c r="BL7" s="49">
        <f t="shared" ref="BL7:BL70" si="18">IF(EN_OUT_3=1,VOUT3,0)</f>
        <v>0</v>
      </c>
      <c r="BM7" s="49">
        <f t="shared" ref="BM7:BM38" si="19">IF(EN_OUT_3=1,BK7/BL7,0)</f>
        <v>0</v>
      </c>
      <c r="BN7" s="61"/>
      <c r="BO7" s="58"/>
      <c r="BQ7" s="61"/>
      <c r="BR7" s="58"/>
      <c r="BT7" s="61"/>
      <c r="BU7" s="58">
        <f t="shared" ref="BU7:BU38" si="20">(AB7^2)*R_cs</f>
        <v>0</v>
      </c>
      <c r="BV7" s="49">
        <f t="shared" ref="BV7:BV70" si="21">Qg_tot*Vcc*Fsw</f>
        <v>3.6450000000000007E-3</v>
      </c>
      <c r="BW7" s="61">
        <f t="shared" ref="BW7:BW38" si="22">IQ*S7</f>
        <v>6.7499999999999999E-3</v>
      </c>
      <c r="BX7" s="49">
        <f>BF7+BQ7+AE7+AG7</f>
        <v>0</v>
      </c>
      <c r="BY7" s="49">
        <f>BW7+BV7+BU7+BT7+BQ7+BI7+BF7++AY7+AV7+AJ7+AF7+AE7+AG7</f>
        <v>1.0395000000000001E-2</v>
      </c>
      <c r="BZ7" s="49">
        <f>R7/(R7+BY7)</f>
        <v>0</v>
      </c>
    </row>
    <row r="8" spans="1:78" x14ac:dyDescent="0.3">
      <c r="M8" s="49">
        <f>Fsw</f>
        <v>100000</v>
      </c>
      <c r="Q8" s="49">
        <v>1</v>
      </c>
      <c r="R8" s="217">
        <f t="shared" si="0"/>
        <v>0.05</v>
      </c>
      <c r="S8" s="213">
        <f t="shared" si="1"/>
        <v>15</v>
      </c>
      <c r="T8" s="218">
        <f t="shared" si="2"/>
        <v>3.3333333333333335E-3</v>
      </c>
      <c r="U8" s="217">
        <f t="shared" si="3"/>
        <v>1</v>
      </c>
      <c r="V8" s="213">
        <f t="shared" si="4"/>
        <v>4.4721359549995794E-2</v>
      </c>
      <c r="W8" s="213">
        <f t="shared" si="5"/>
        <v>3.5777087639996636E-3</v>
      </c>
      <c r="X8" s="213">
        <f t="shared" ref="X8:X71" si="23">CHOOSE(U8,1-V8-W8,0)</f>
        <v>0.95170093168600456</v>
      </c>
      <c r="Y8" s="217">
        <f t="shared" ref="Y8:Y39" si="24">R8/(S8*EFF_est*V8)</f>
        <v>7.4535599249992993E-2</v>
      </c>
      <c r="Z8" s="213">
        <f t="shared" si="6"/>
        <v>0.14907119849998599</v>
      </c>
      <c r="AA8" s="213">
        <f t="shared" ref="AA8:AA71" si="25">Y8+(Z8/2)</f>
        <v>0.14907119849998599</v>
      </c>
      <c r="AB8" s="218">
        <f>CHOOSE(U8,AA8*SQRT(V8/3),SQRT(V8*((AA8^2)+((Z8^2)/(3))-(AA8*Z8))))</f>
        <v>1.8200805751393778E-2</v>
      </c>
      <c r="AC8" s="217">
        <v>0</v>
      </c>
      <c r="AD8" s="213">
        <f t="shared" ref="AD8:AD38" si="26">(AB8^2)*Rdcr</f>
        <v>3.8095972949996418E-4</v>
      </c>
      <c r="AE8" s="218">
        <f t="shared" ref="AE8:AE71" si="27">AC8+AD8</f>
        <v>3.8095972949996418E-4</v>
      </c>
      <c r="AF8" s="58">
        <f t="shared" si="8"/>
        <v>1E-3</v>
      </c>
      <c r="AG8" s="61">
        <f t="shared" si="9"/>
        <v>1E-3</v>
      </c>
      <c r="AH8" s="58">
        <f>(AB8^2)*RDS_on</f>
        <v>2.3188853099997819E-5</v>
      </c>
      <c r="AI8" s="49">
        <f>((Y8*(S8+((Np/NS1_)*VOUT1)))/2)*Fsw*(tr_sw+tf_sw)</f>
        <v>8.8565722376750776E-4</v>
      </c>
      <c r="AJ8" s="61">
        <f>AH8+AI8</f>
        <v>9.0884607686750557E-4</v>
      </c>
      <c r="AK8" s="217">
        <f t="shared" si="12"/>
        <v>0.05</v>
      </c>
      <c r="AL8" s="213">
        <f t="shared" si="13"/>
        <v>1500</v>
      </c>
      <c r="AM8" s="218">
        <f t="shared" ref="AM8:AM71" si="28">AK8/AL8</f>
        <v>3.3333333333333335E-5</v>
      </c>
      <c r="AN8" s="217">
        <f t="shared" ref="AN8:AN39" si="29">IF(((AL8*AO8)/(Fsw*$AO$2))/2&gt;AP8,1,2)</f>
        <v>2</v>
      </c>
      <c r="AO8" s="213">
        <f t="shared" ref="AO8:AO39" si="30">AM8/AP8</f>
        <v>3.5777087639996636E-3</v>
      </c>
      <c r="AP8" s="213">
        <f t="shared" ref="AP8:AP39" si="31">Np*$Y8*AK8/(R8*NS1_)</f>
        <v>9.3169499062491241E-3</v>
      </c>
      <c r="AQ8" s="213">
        <f t="shared" ref="AQ8:AQ39" si="32">(AL8*AO8)/(Fsw*$AO$2)</f>
        <v>1.8633899812498248E-2</v>
      </c>
      <c r="AR8" s="213">
        <f>AP8+(AQ8/2)</f>
        <v>1.8633899812498248E-2</v>
      </c>
      <c r="AS8" s="218">
        <f>CHOOSE(AN8,AR8*SQRT(AO8/3),SQRT(AO8*((AR8^2)+((AQ8^2)/(3))-(AQ8*AR8))))</f>
        <v>6.4349565849348284E-4</v>
      </c>
      <c r="AT8" s="217"/>
      <c r="AU8" s="213">
        <f t="shared" ref="AU8:AU39" si="33">(AM8^2)*Rdcr1</f>
        <v>3.0000000000000004E-8</v>
      </c>
      <c r="AV8" s="218">
        <f>AT8+AU8</f>
        <v>3.0000000000000004E-8</v>
      </c>
      <c r="AW8" s="217">
        <f t="shared" ref="AW8:AW39" si="34">(VOUT1+((NS1_/Np)*S8))*QRR1_*Fsw</f>
        <v>0</v>
      </c>
      <c r="AX8" s="213">
        <f t="shared" ref="AX8:AX39" si="35">AM8*VD1_</f>
        <v>3.8333333333333334E-5</v>
      </c>
      <c r="AY8" s="218">
        <f>AW8+AX8</f>
        <v>3.8333333333333334E-5</v>
      </c>
      <c r="AZ8" s="217">
        <f t="shared" si="14"/>
        <v>0</v>
      </c>
      <c r="BA8" s="213">
        <f t="shared" si="15"/>
        <v>0</v>
      </c>
      <c r="BB8" s="213">
        <f t="shared" si="16"/>
        <v>0</v>
      </c>
      <c r="BC8" s="61">
        <f t="shared" ref="BC8:BC39" si="36">IF(EN_OUT_2=1,AZ8/BA8,0)</f>
        <v>0</v>
      </c>
      <c r="BD8" s="58">
        <v>0</v>
      </c>
      <c r="BE8" s="49">
        <f>(BB8^2)*Rdcr2</f>
        <v>0</v>
      </c>
      <c r="BF8" s="61">
        <f>BD8+BE8</f>
        <v>0</v>
      </c>
      <c r="BG8" s="58">
        <f t="shared" ref="BG8:BG39" si="37">(VOUT2+((NS2_/Np)*S8))*QRR2_*Fsw</f>
        <v>0</v>
      </c>
      <c r="BH8" s="49">
        <f t="shared" ref="BH8:BH39" si="38">BB8*VD2_</f>
        <v>0</v>
      </c>
      <c r="BI8" s="61">
        <f t="shared" ref="BI8:BI39" si="39">BH8+BG8</f>
        <v>0</v>
      </c>
      <c r="BK8" s="217">
        <f t="shared" si="17"/>
        <v>0</v>
      </c>
      <c r="BL8" s="213">
        <f t="shared" si="18"/>
        <v>0</v>
      </c>
      <c r="BM8" s="213">
        <f t="shared" si="19"/>
        <v>0</v>
      </c>
      <c r="BN8" s="61">
        <f t="shared" ref="BN8:BN39" si="40">Y8*(Np/NS3_)*(BK8/R8)</f>
        <v>0</v>
      </c>
      <c r="BO8" s="58">
        <v>0</v>
      </c>
      <c r="BP8" s="49">
        <f t="shared" ref="BP8:BP39" si="41">(BM8^2)*Rdcr3</f>
        <v>0</v>
      </c>
      <c r="BQ8" s="61">
        <f>BO8+BP8</f>
        <v>0</v>
      </c>
      <c r="BR8" s="58">
        <f t="shared" ref="BR8:BR39" si="42">(VOUT3+((NS3_/Np)*S8))*QRR3_*Fsw</f>
        <v>0</v>
      </c>
      <c r="BS8" s="49">
        <f>BM8*VD3_</f>
        <v>0</v>
      </c>
      <c r="BT8" s="61">
        <f>BS8+BR8</f>
        <v>0</v>
      </c>
      <c r="BU8" s="58">
        <f>(AB8^2)*R_cs</f>
        <v>1.3250773199998752E-6</v>
      </c>
      <c r="BV8" s="49">
        <f t="shared" si="21"/>
        <v>3.6450000000000007E-3</v>
      </c>
      <c r="BW8" s="61">
        <f t="shared" si="22"/>
        <v>6.7499999999999999E-3</v>
      </c>
      <c r="BX8" s="49">
        <f>BF8+BQ8+AE8</f>
        <v>3.8095972949996418E-4</v>
      </c>
      <c r="BY8" s="49">
        <f t="shared" ref="BY8:BY71" si="43">BW8+BV8+BU8+BT8+BQ8+BI8+BF8++AY8+AV8+AJ8+AF8+AE8+AG8</f>
        <v>1.3724494217020804E-2</v>
      </c>
      <c r="BZ8" s="49">
        <f t="shared" ref="BZ8:BZ39" si="44">(R8/(R8+BY8))*100</f>
        <v>78.462764772552731</v>
      </c>
    </row>
    <row r="9" spans="1:78" x14ac:dyDescent="0.3">
      <c r="N9" s="49" t="s">
        <v>187</v>
      </c>
      <c r="O9" s="49">
        <f>VIN_var</f>
        <v>15</v>
      </c>
      <c r="P9" s="49" t="s">
        <v>11</v>
      </c>
      <c r="Q9" s="49">
        <v>2</v>
      </c>
      <c r="R9" s="217">
        <f t="shared" si="0"/>
        <v>0.1</v>
      </c>
      <c r="S9" s="213">
        <f t="shared" si="1"/>
        <v>15</v>
      </c>
      <c r="T9" s="218">
        <f t="shared" si="2"/>
        <v>6.6666666666666671E-3</v>
      </c>
      <c r="U9" s="217">
        <f t="shared" si="3"/>
        <v>1</v>
      </c>
      <c r="V9" s="213">
        <f t="shared" si="4"/>
        <v>6.3245553203367583E-2</v>
      </c>
      <c r="W9" s="213">
        <f t="shared" si="5"/>
        <v>5.059644256269407E-3</v>
      </c>
      <c r="X9" s="213">
        <f t="shared" si="23"/>
        <v>0.93169480254036308</v>
      </c>
      <c r="Y9" s="217">
        <f t="shared" si="24"/>
        <v>0.10540925533894599</v>
      </c>
      <c r="Z9" s="213">
        <f t="shared" si="6"/>
        <v>0.21081851067789195</v>
      </c>
      <c r="AA9" s="213">
        <f t="shared" si="25"/>
        <v>0.21081851067789198</v>
      </c>
      <c r="AB9" s="218">
        <f t="shared" si="7"/>
        <v>3.0609984622152437E-2</v>
      </c>
      <c r="AC9" s="217">
        <v>0</v>
      </c>
      <c r="AD9" s="213">
        <f t="shared" si="26"/>
        <v>1.0775168323536701E-3</v>
      </c>
      <c r="AE9" s="218">
        <f t="shared" si="27"/>
        <v>1.0775168323536701E-3</v>
      </c>
      <c r="AF9" s="58">
        <f t="shared" si="8"/>
        <v>2E-3</v>
      </c>
      <c r="AG9" s="61">
        <f t="shared" si="9"/>
        <v>2E-3</v>
      </c>
      <c r="AH9" s="58">
        <f t="shared" si="10"/>
        <v>6.5587981099788617E-5</v>
      </c>
      <c r="AI9" s="49">
        <f t="shared" si="11"/>
        <v>1.2525084574657127E-3</v>
      </c>
      <c r="AJ9" s="61">
        <f t="shared" ref="AJ9:AJ71" si="45">AH9+AI9</f>
        <v>1.3180964385655013E-3</v>
      </c>
      <c r="AK9" s="217">
        <f t="shared" si="12"/>
        <v>0.1</v>
      </c>
      <c r="AL9" s="213">
        <f t="shared" si="13"/>
        <v>1500</v>
      </c>
      <c r="AM9" s="218">
        <f t="shared" si="28"/>
        <v>6.666666666666667E-5</v>
      </c>
      <c r="AN9" s="217">
        <f t="shared" si="29"/>
        <v>2</v>
      </c>
      <c r="AO9" s="213">
        <f t="shared" si="30"/>
        <v>5.059644256269407E-3</v>
      </c>
      <c r="AP9" s="213">
        <f t="shared" si="31"/>
        <v>1.3176156917368249E-2</v>
      </c>
      <c r="AQ9" s="213">
        <f t="shared" si="32"/>
        <v>2.6352313834736494E-2</v>
      </c>
      <c r="AR9" s="213">
        <f t="shared" ref="AR9:AR72" si="46">AP9+(AQ9/2)</f>
        <v>2.6352313834736497E-2</v>
      </c>
      <c r="AS9" s="218">
        <f t="shared" ref="AS9:AS72" si="47">CHOOSE(AN9,AR9*SQRT(AO9/3),SQRT(AO9*((AR9^2)+((AQ9^2)/(3))-(AQ9*AR9))))</f>
        <v>1.0822263849169966E-3</v>
      </c>
      <c r="AT9" s="217"/>
      <c r="AU9" s="213">
        <f t="shared" si="33"/>
        <v>1.2000000000000002E-7</v>
      </c>
      <c r="AV9" s="218">
        <f t="shared" ref="AV9:AV72" si="48">AT9+AU9</f>
        <v>1.2000000000000002E-7</v>
      </c>
      <c r="AW9" s="217">
        <f t="shared" si="34"/>
        <v>0</v>
      </c>
      <c r="AX9" s="213">
        <f t="shared" si="35"/>
        <v>7.6666666666666669E-5</v>
      </c>
      <c r="AY9" s="218">
        <f t="shared" ref="AY9:AY72" si="49">AW9+AX9</f>
        <v>7.6666666666666669E-5</v>
      </c>
      <c r="AZ9" s="217">
        <f t="shared" si="14"/>
        <v>0</v>
      </c>
      <c r="BA9" s="213">
        <f t="shared" si="15"/>
        <v>0</v>
      </c>
      <c r="BB9" s="213">
        <f t="shared" ref="BB9:BB72" si="50">IF(EN_OUT_2=1,AZ9/BA9,0)</f>
        <v>0</v>
      </c>
      <c r="BC9" s="61">
        <f t="shared" si="36"/>
        <v>0</v>
      </c>
      <c r="BD9" s="58">
        <v>0</v>
      </c>
      <c r="BE9" s="49">
        <f t="shared" ref="BE9:BE39" si="51">(BB9^2)*Rdcr2</f>
        <v>0</v>
      </c>
      <c r="BF9" s="61">
        <f t="shared" ref="BF9:BF72" si="52">BD9+BE9</f>
        <v>0</v>
      </c>
      <c r="BG9" s="58">
        <f t="shared" si="37"/>
        <v>0</v>
      </c>
      <c r="BH9" s="49">
        <f t="shared" si="38"/>
        <v>0</v>
      </c>
      <c r="BI9" s="61">
        <f t="shared" si="39"/>
        <v>0</v>
      </c>
      <c r="BK9" s="217">
        <f t="shared" si="17"/>
        <v>0</v>
      </c>
      <c r="BL9" s="213">
        <f t="shared" si="18"/>
        <v>0</v>
      </c>
      <c r="BM9" s="213">
        <f t="shared" si="19"/>
        <v>0</v>
      </c>
      <c r="BN9" s="61">
        <f t="shared" si="40"/>
        <v>0</v>
      </c>
      <c r="BO9" s="58">
        <v>0</v>
      </c>
      <c r="BP9" s="49">
        <f t="shared" si="41"/>
        <v>0</v>
      </c>
      <c r="BQ9" s="61">
        <f t="shared" ref="BQ9:BQ72" si="53">BO9+BP9</f>
        <v>0</v>
      </c>
      <c r="BR9" s="58">
        <f t="shared" si="42"/>
        <v>0</v>
      </c>
      <c r="BS9" s="49">
        <f t="shared" ref="BS9:BS39" si="54">BM9*VD3_</f>
        <v>0</v>
      </c>
      <c r="BT9" s="61">
        <f t="shared" ref="BT9:BT72" si="55">BS9+BR9</f>
        <v>0</v>
      </c>
      <c r="BU9" s="58">
        <f t="shared" si="20"/>
        <v>3.7478846342736349E-6</v>
      </c>
      <c r="BV9" s="49">
        <f t="shared" si="21"/>
        <v>3.6450000000000007E-3</v>
      </c>
      <c r="BW9" s="61">
        <f t="shared" si="22"/>
        <v>6.7499999999999999E-3</v>
      </c>
      <c r="BX9" s="49">
        <f t="shared" ref="BX9:BX71" si="56">BF9+BQ9+AE9+AG9</f>
        <v>3.0775168323536701E-3</v>
      </c>
      <c r="BY9" s="49">
        <f t="shared" si="43"/>
        <v>1.6871147822220114E-2</v>
      </c>
      <c r="BZ9" s="49">
        <f t="shared" si="44"/>
        <v>85.564317509840961</v>
      </c>
    </row>
    <row r="10" spans="1:78" x14ac:dyDescent="0.3">
      <c r="A10" s="49" t="s">
        <v>422</v>
      </c>
      <c r="B10" s="50">
        <f>VOUT1*IOUT1</f>
        <v>7.5</v>
      </c>
      <c r="Q10" s="49">
        <v>3</v>
      </c>
      <c r="R10" s="217">
        <f t="shared" si="0"/>
        <v>0.15000000000000002</v>
      </c>
      <c r="S10" s="213">
        <f t="shared" si="1"/>
        <v>15</v>
      </c>
      <c r="T10" s="218">
        <f t="shared" si="2"/>
        <v>1.0000000000000002E-2</v>
      </c>
      <c r="U10" s="217">
        <f t="shared" si="3"/>
        <v>1</v>
      </c>
      <c r="V10" s="213">
        <f t="shared" si="4"/>
        <v>7.7459666924148338E-2</v>
      </c>
      <c r="W10" s="213">
        <f t="shared" si="5"/>
        <v>6.1967733539318674E-3</v>
      </c>
      <c r="X10" s="213">
        <f t="shared" si="23"/>
        <v>0.91634355972191983</v>
      </c>
      <c r="Y10" s="217">
        <f t="shared" si="24"/>
        <v>0.12909944487358058</v>
      </c>
      <c r="Z10" s="213">
        <f t="shared" si="6"/>
        <v>0.25819888974716115</v>
      </c>
      <c r="AA10" s="213">
        <f t="shared" si="25"/>
        <v>0.25819888974716115</v>
      </c>
      <c r="AB10" s="218">
        <f t="shared" si="7"/>
        <v>4.1488865152565224E-2</v>
      </c>
      <c r="AC10" s="217">
        <v>0</v>
      </c>
      <c r="AD10" s="213">
        <f t="shared" si="26"/>
        <v>1.9795248213949025E-3</v>
      </c>
      <c r="AE10" s="218">
        <f t="shared" si="27"/>
        <v>1.9795248213949025E-3</v>
      </c>
      <c r="AF10" s="58">
        <f t="shared" si="8"/>
        <v>3.0000000000000005E-3</v>
      </c>
      <c r="AG10" s="61">
        <f t="shared" si="9"/>
        <v>3.0000000000000005E-3</v>
      </c>
      <c r="AH10" s="58">
        <f t="shared" si="10"/>
        <v>1.2049281521534188E-4</v>
      </c>
      <c r="AI10" s="49">
        <f t="shared" si="11"/>
        <v>1.5340033096557218E-3</v>
      </c>
      <c r="AJ10" s="61">
        <f t="shared" si="45"/>
        <v>1.6544961248710637E-3</v>
      </c>
      <c r="AK10" s="217">
        <f t="shared" si="12"/>
        <v>0.15000000000000002</v>
      </c>
      <c r="AL10" s="213">
        <f t="shared" si="13"/>
        <v>1500</v>
      </c>
      <c r="AM10" s="218">
        <f t="shared" si="28"/>
        <v>1.0000000000000002E-4</v>
      </c>
      <c r="AN10" s="217">
        <f t="shared" si="29"/>
        <v>2</v>
      </c>
      <c r="AO10" s="213">
        <f t="shared" si="30"/>
        <v>6.1967733539318674E-3</v>
      </c>
      <c r="AP10" s="213">
        <f t="shared" si="31"/>
        <v>1.6137430609197572E-2</v>
      </c>
      <c r="AQ10" s="213">
        <f t="shared" si="32"/>
        <v>3.2274861218395144E-2</v>
      </c>
      <c r="AR10" s="213">
        <f t="shared" si="46"/>
        <v>3.2274861218395144E-2</v>
      </c>
      <c r="AS10" s="218">
        <f t="shared" si="47"/>
        <v>1.4668528946556558E-3</v>
      </c>
      <c r="AT10" s="217"/>
      <c r="AU10" s="213">
        <f t="shared" si="33"/>
        <v>2.7000000000000011E-7</v>
      </c>
      <c r="AV10" s="218">
        <f t="shared" si="48"/>
        <v>2.7000000000000011E-7</v>
      </c>
      <c r="AW10" s="217">
        <f t="shared" si="34"/>
        <v>0</v>
      </c>
      <c r="AX10" s="213">
        <f t="shared" si="35"/>
        <v>1.1500000000000002E-4</v>
      </c>
      <c r="AY10" s="218">
        <f t="shared" si="49"/>
        <v>1.1500000000000002E-4</v>
      </c>
      <c r="AZ10" s="217">
        <f t="shared" si="14"/>
        <v>0</v>
      </c>
      <c r="BA10" s="213">
        <f t="shared" si="15"/>
        <v>0</v>
      </c>
      <c r="BB10" s="213">
        <f t="shared" si="50"/>
        <v>0</v>
      </c>
      <c r="BC10" s="61">
        <f t="shared" si="36"/>
        <v>0</v>
      </c>
      <c r="BD10" s="58">
        <v>0</v>
      </c>
      <c r="BE10" s="49">
        <f t="shared" si="51"/>
        <v>0</v>
      </c>
      <c r="BF10" s="61">
        <f t="shared" si="52"/>
        <v>0</v>
      </c>
      <c r="BG10" s="58">
        <f t="shared" si="37"/>
        <v>0</v>
      </c>
      <c r="BH10" s="49">
        <f t="shared" si="38"/>
        <v>0</v>
      </c>
      <c r="BI10" s="61">
        <f t="shared" si="39"/>
        <v>0</v>
      </c>
      <c r="BK10" s="217">
        <f t="shared" si="17"/>
        <v>0</v>
      </c>
      <c r="BL10" s="213">
        <f t="shared" si="18"/>
        <v>0</v>
      </c>
      <c r="BM10" s="213">
        <f t="shared" si="19"/>
        <v>0</v>
      </c>
      <c r="BN10" s="61">
        <f t="shared" si="40"/>
        <v>0</v>
      </c>
      <c r="BO10" s="58">
        <v>0</v>
      </c>
      <c r="BP10" s="49">
        <f t="shared" si="41"/>
        <v>0</v>
      </c>
      <c r="BQ10" s="61">
        <f t="shared" si="53"/>
        <v>0</v>
      </c>
      <c r="BR10" s="58">
        <f t="shared" si="42"/>
        <v>0</v>
      </c>
      <c r="BS10" s="49">
        <f t="shared" si="54"/>
        <v>0</v>
      </c>
      <c r="BT10" s="61">
        <f t="shared" si="55"/>
        <v>0</v>
      </c>
      <c r="BU10" s="58">
        <f t="shared" si="20"/>
        <v>6.885303726590964E-6</v>
      </c>
      <c r="BV10" s="49">
        <f t="shared" si="21"/>
        <v>3.6450000000000007E-3</v>
      </c>
      <c r="BW10" s="61">
        <f t="shared" si="22"/>
        <v>6.7499999999999999E-3</v>
      </c>
      <c r="BX10" s="49">
        <f t="shared" si="56"/>
        <v>4.9795248213949025E-3</v>
      </c>
      <c r="BY10" s="49">
        <f t="shared" si="43"/>
        <v>2.0151176249992558E-2</v>
      </c>
      <c r="BZ10" s="49">
        <f t="shared" si="44"/>
        <v>88.156898650888152</v>
      </c>
    </row>
    <row r="11" spans="1:78" x14ac:dyDescent="0.3">
      <c r="A11" s="49" t="s">
        <v>593</v>
      </c>
      <c r="B11" s="49">
        <f>B10/(O11)</f>
        <v>0.05</v>
      </c>
      <c r="N11" s="49" t="s">
        <v>278</v>
      </c>
      <c r="O11" s="49">
        <v>150</v>
      </c>
      <c r="Q11" s="49">
        <v>4</v>
      </c>
      <c r="R11" s="217">
        <f t="shared" si="0"/>
        <v>0.2</v>
      </c>
      <c r="S11" s="213">
        <f t="shared" si="1"/>
        <v>15</v>
      </c>
      <c r="T11" s="218">
        <f t="shared" si="2"/>
        <v>1.3333333333333334E-2</v>
      </c>
      <c r="U11" s="217">
        <f t="shared" si="3"/>
        <v>1</v>
      </c>
      <c r="V11" s="213">
        <f t="shared" si="4"/>
        <v>8.9442719099991588E-2</v>
      </c>
      <c r="W11" s="213">
        <f t="shared" si="5"/>
        <v>7.1554175279993273E-3</v>
      </c>
      <c r="X11" s="213">
        <f t="shared" si="23"/>
        <v>0.90340186337200912</v>
      </c>
      <c r="Y11" s="217">
        <f t="shared" si="24"/>
        <v>0.14907119849998599</v>
      </c>
      <c r="Z11" s="213">
        <f t="shared" si="6"/>
        <v>0.29814239699997197</v>
      </c>
      <c r="AA11" s="213">
        <f t="shared" si="25"/>
        <v>0.29814239699997197</v>
      </c>
      <c r="AB11" s="218">
        <f t="shared" si="7"/>
        <v>5.1479652679478627E-2</v>
      </c>
      <c r="AC11" s="217">
        <v>0</v>
      </c>
      <c r="AD11" s="213">
        <f t="shared" si="26"/>
        <v>3.0476778359997143E-3</v>
      </c>
      <c r="AE11" s="218">
        <f t="shared" si="27"/>
        <v>3.0476778359997143E-3</v>
      </c>
      <c r="AF11" s="58">
        <f t="shared" si="8"/>
        <v>4.0000000000000001E-3</v>
      </c>
      <c r="AG11" s="61">
        <f t="shared" si="9"/>
        <v>4.0000000000000001E-3</v>
      </c>
      <c r="AH11" s="58">
        <f t="shared" si="10"/>
        <v>1.855108247999826E-4</v>
      </c>
      <c r="AI11" s="49">
        <f t="shared" si="11"/>
        <v>1.7713144475350155E-3</v>
      </c>
      <c r="AJ11" s="61">
        <f t="shared" si="45"/>
        <v>1.956825272334998E-3</v>
      </c>
      <c r="AK11" s="217">
        <f t="shared" si="12"/>
        <v>0.2</v>
      </c>
      <c r="AL11" s="213">
        <f t="shared" si="13"/>
        <v>1500</v>
      </c>
      <c r="AM11" s="218">
        <f t="shared" si="28"/>
        <v>1.3333333333333334E-4</v>
      </c>
      <c r="AN11" s="217">
        <f t="shared" si="29"/>
        <v>2</v>
      </c>
      <c r="AO11" s="213">
        <f t="shared" si="30"/>
        <v>7.1554175279993273E-3</v>
      </c>
      <c r="AP11" s="213">
        <f t="shared" si="31"/>
        <v>1.8633899812498248E-2</v>
      </c>
      <c r="AQ11" s="213">
        <f t="shared" si="32"/>
        <v>3.7267799624996496E-2</v>
      </c>
      <c r="AR11" s="213">
        <f t="shared" si="46"/>
        <v>3.7267799624996496E-2</v>
      </c>
      <c r="AS11" s="218">
        <f t="shared" si="47"/>
        <v>1.8200805751393779E-3</v>
      </c>
      <c r="AT11" s="217"/>
      <c r="AU11" s="213">
        <f t="shared" si="33"/>
        <v>4.8000000000000006E-7</v>
      </c>
      <c r="AV11" s="218">
        <f t="shared" si="48"/>
        <v>4.8000000000000006E-7</v>
      </c>
      <c r="AW11" s="217">
        <f t="shared" si="34"/>
        <v>0</v>
      </c>
      <c r="AX11" s="213">
        <f t="shared" si="35"/>
        <v>1.5333333333333334E-4</v>
      </c>
      <c r="AY11" s="218">
        <f t="shared" si="49"/>
        <v>1.5333333333333334E-4</v>
      </c>
      <c r="AZ11" s="217">
        <f t="shared" si="14"/>
        <v>0</v>
      </c>
      <c r="BA11" s="213">
        <f t="shared" si="15"/>
        <v>0</v>
      </c>
      <c r="BB11" s="213">
        <f t="shared" si="50"/>
        <v>0</v>
      </c>
      <c r="BC11" s="61">
        <f t="shared" si="36"/>
        <v>0</v>
      </c>
      <c r="BD11" s="58">
        <v>0</v>
      </c>
      <c r="BE11" s="49">
        <f t="shared" si="51"/>
        <v>0</v>
      </c>
      <c r="BF11" s="61">
        <f t="shared" si="52"/>
        <v>0</v>
      </c>
      <c r="BG11" s="58">
        <f t="shared" si="37"/>
        <v>0</v>
      </c>
      <c r="BH11" s="49">
        <f t="shared" si="38"/>
        <v>0</v>
      </c>
      <c r="BI11" s="61">
        <f t="shared" si="39"/>
        <v>0</v>
      </c>
      <c r="BK11" s="217">
        <f t="shared" si="17"/>
        <v>0</v>
      </c>
      <c r="BL11" s="213">
        <f t="shared" si="18"/>
        <v>0</v>
      </c>
      <c r="BM11" s="213">
        <f t="shared" si="19"/>
        <v>0</v>
      </c>
      <c r="BN11" s="61">
        <f t="shared" si="40"/>
        <v>0</v>
      </c>
      <c r="BO11" s="58">
        <v>0</v>
      </c>
      <c r="BP11" s="49">
        <f t="shared" si="41"/>
        <v>0</v>
      </c>
      <c r="BQ11" s="61">
        <f t="shared" si="53"/>
        <v>0</v>
      </c>
      <c r="BR11" s="58">
        <f t="shared" si="42"/>
        <v>0</v>
      </c>
      <c r="BS11" s="49">
        <f t="shared" si="54"/>
        <v>0</v>
      </c>
      <c r="BT11" s="61">
        <f t="shared" si="55"/>
        <v>0</v>
      </c>
      <c r="BU11" s="58">
        <f t="shared" si="20"/>
        <v>1.0600618559999005E-5</v>
      </c>
      <c r="BV11" s="49">
        <f t="shared" si="21"/>
        <v>3.6450000000000007E-3</v>
      </c>
      <c r="BW11" s="61">
        <f t="shared" si="22"/>
        <v>6.7499999999999999E-3</v>
      </c>
      <c r="BX11" s="49">
        <f t="shared" si="56"/>
        <v>7.0476778359997144E-3</v>
      </c>
      <c r="BY11" s="49">
        <f t="shared" si="43"/>
        <v>2.3563917060228045E-2</v>
      </c>
      <c r="BZ11" s="49">
        <f t="shared" si="44"/>
        <v>89.459874665785208</v>
      </c>
    </row>
    <row r="12" spans="1:78" x14ac:dyDescent="0.3">
      <c r="N12" s="49" t="s">
        <v>279</v>
      </c>
      <c r="O12" s="49">
        <f>IOUT1/(O11)</f>
        <v>3.3333333333333335E-5</v>
      </c>
      <c r="Q12" s="49">
        <v>5</v>
      </c>
      <c r="R12" s="217">
        <f t="shared" si="0"/>
        <v>0.25</v>
      </c>
      <c r="S12" s="213">
        <f t="shared" si="1"/>
        <v>15</v>
      </c>
      <c r="T12" s="218">
        <f t="shared" si="2"/>
        <v>1.6666666666666666E-2</v>
      </c>
      <c r="U12" s="217">
        <f t="shared" si="3"/>
        <v>1</v>
      </c>
      <c r="V12" s="213">
        <f t="shared" si="4"/>
        <v>0.1</v>
      </c>
      <c r="W12" s="213">
        <f t="shared" si="5"/>
        <v>8.0000000000000002E-3</v>
      </c>
      <c r="X12" s="213">
        <f t="shared" si="23"/>
        <v>0.89200000000000002</v>
      </c>
      <c r="Y12" s="217">
        <f t="shared" si="24"/>
        <v>0.16666666666666666</v>
      </c>
      <c r="Z12" s="213">
        <f t="shared" si="6"/>
        <v>0.33333333333333331</v>
      </c>
      <c r="AA12" s="213">
        <f t="shared" si="25"/>
        <v>0.33333333333333331</v>
      </c>
      <c r="AB12" s="218">
        <f t="shared" si="7"/>
        <v>6.085806194501845E-2</v>
      </c>
      <c r="AC12" s="217">
        <v>0</v>
      </c>
      <c r="AD12" s="213">
        <f t="shared" si="26"/>
        <v>4.2592592592592586E-3</v>
      </c>
      <c r="AE12" s="218">
        <f t="shared" si="27"/>
        <v>4.2592592592592586E-3</v>
      </c>
      <c r="AF12" s="58">
        <f t="shared" si="8"/>
        <v>5.0000000000000001E-3</v>
      </c>
      <c r="AG12" s="61">
        <f t="shared" si="9"/>
        <v>5.0000000000000001E-3</v>
      </c>
      <c r="AH12" s="58">
        <f t="shared" si="10"/>
        <v>2.5925925925925921E-4</v>
      </c>
      <c r="AI12" s="49">
        <f t="shared" si="11"/>
        <v>1.9803897571078898E-3</v>
      </c>
      <c r="AJ12" s="61">
        <f t="shared" si="45"/>
        <v>2.2396490163671488E-3</v>
      </c>
      <c r="AK12" s="217">
        <f t="shared" si="12"/>
        <v>0.25</v>
      </c>
      <c r="AL12" s="213">
        <f t="shared" si="13"/>
        <v>1500</v>
      </c>
      <c r="AM12" s="218">
        <f t="shared" si="28"/>
        <v>1.6666666666666666E-4</v>
      </c>
      <c r="AN12" s="217">
        <f t="shared" si="29"/>
        <v>2</v>
      </c>
      <c r="AO12" s="213">
        <f t="shared" si="30"/>
        <v>8.0000000000000002E-3</v>
      </c>
      <c r="AP12" s="213">
        <f t="shared" si="31"/>
        <v>2.0833333333333332E-2</v>
      </c>
      <c r="AQ12" s="213">
        <f t="shared" si="32"/>
        <v>4.1666666666666664E-2</v>
      </c>
      <c r="AR12" s="213">
        <f t="shared" si="46"/>
        <v>4.1666666666666664E-2</v>
      </c>
      <c r="AS12" s="218">
        <f t="shared" si="47"/>
        <v>2.151657414559676E-3</v>
      </c>
      <c r="AT12" s="217"/>
      <c r="AU12" s="213">
        <f t="shared" si="33"/>
        <v>7.5000000000000002E-7</v>
      </c>
      <c r="AV12" s="218">
        <f t="shared" si="48"/>
        <v>7.5000000000000002E-7</v>
      </c>
      <c r="AW12" s="217">
        <f t="shared" si="34"/>
        <v>0</v>
      </c>
      <c r="AX12" s="213">
        <f t="shared" si="35"/>
        <v>1.9166666666666665E-4</v>
      </c>
      <c r="AY12" s="218">
        <f t="shared" si="49"/>
        <v>1.9166666666666665E-4</v>
      </c>
      <c r="AZ12" s="217">
        <f t="shared" si="14"/>
        <v>0</v>
      </c>
      <c r="BA12" s="213">
        <f t="shared" si="15"/>
        <v>0</v>
      </c>
      <c r="BB12" s="213">
        <f t="shared" si="50"/>
        <v>0</v>
      </c>
      <c r="BC12" s="61">
        <f t="shared" si="36"/>
        <v>0</v>
      </c>
      <c r="BD12" s="58">
        <v>0</v>
      </c>
      <c r="BE12" s="49">
        <f t="shared" si="51"/>
        <v>0</v>
      </c>
      <c r="BF12" s="61">
        <f t="shared" si="52"/>
        <v>0</v>
      </c>
      <c r="BG12" s="58">
        <f t="shared" si="37"/>
        <v>0</v>
      </c>
      <c r="BH12" s="49">
        <f t="shared" si="38"/>
        <v>0</v>
      </c>
      <c r="BI12" s="61">
        <f t="shared" si="39"/>
        <v>0</v>
      </c>
      <c r="BK12" s="217">
        <f t="shared" si="17"/>
        <v>0</v>
      </c>
      <c r="BL12" s="213">
        <f t="shared" si="18"/>
        <v>0</v>
      </c>
      <c r="BM12" s="213">
        <f t="shared" si="19"/>
        <v>0</v>
      </c>
      <c r="BN12" s="61">
        <f t="shared" si="40"/>
        <v>0</v>
      </c>
      <c r="BO12" s="58">
        <v>0</v>
      </c>
      <c r="BP12" s="49">
        <f t="shared" si="41"/>
        <v>0</v>
      </c>
      <c r="BQ12" s="61">
        <f t="shared" si="53"/>
        <v>0</v>
      </c>
      <c r="BR12" s="58">
        <f t="shared" si="42"/>
        <v>0</v>
      </c>
      <c r="BS12" s="49">
        <f t="shared" si="54"/>
        <v>0</v>
      </c>
      <c r="BT12" s="61">
        <f t="shared" si="55"/>
        <v>0</v>
      </c>
      <c r="BU12" s="58">
        <f t="shared" si="20"/>
        <v>1.4814814814814812E-5</v>
      </c>
      <c r="BV12" s="49">
        <f t="shared" si="21"/>
        <v>3.6450000000000007E-3</v>
      </c>
      <c r="BW12" s="61">
        <f t="shared" si="22"/>
        <v>6.7499999999999999E-3</v>
      </c>
      <c r="BX12" s="49">
        <f t="shared" si="56"/>
        <v>9.2592592592592587E-3</v>
      </c>
      <c r="BY12" s="49">
        <f t="shared" si="43"/>
        <v>2.710113975710789E-2</v>
      </c>
      <c r="BZ12" s="49">
        <f t="shared" si="44"/>
        <v>90.21976604612189</v>
      </c>
    </row>
    <row r="13" spans="1:78" x14ac:dyDescent="0.3">
      <c r="Q13" s="49">
        <v>6</v>
      </c>
      <c r="R13" s="217">
        <f t="shared" si="0"/>
        <v>0.30000000000000004</v>
      </c>
      <c r="S13" s="213">
        <f t="shared" si="1"/>
        <v>15</v>
      </c>
      <c r="T13" s="218">
        <f t="shared" si="2"/>
        <v>2.0000000000000004E-2</v>
      </c>
      <c r="U13" s="217">
        <f t="shared" si="3"/>
        <v>1</v>
      </c>
      <c r="V13" s="213">
        <f t="shared" si="4"/>
        <v>0.10954451150103323</v>
      </c>
      <c r="W13" s="213">
        <f t="shared" si="5"/>
        <v>8.7635609200826577E-3</v>
      </c>
      <c r="X13" s="213">
        <f t="shared" si="23"/>
        <v>0.88169192757888415</v>
      </c>
      <c r="Y13" s="217">
        <f t="shared" si="24"/>
        <v>0.18257418583505539</v>
      </c>
      <c r="Z13" s="213">
        <f t="shared" si="6"/>
        <v>0.36514837167011077</v>
      </c>
      <c r="AA13" s="213">
        <f t="shared" si="25"/>
        <v>0.36514837167011077</v>
      </c>
      <c r="AB13" s="218">
        <f t="shared" si="7"/>
        <v>6.9775675959473704E-2</v>
      </c>
      <c r="AC13" s="217">
        <v>0</v>
      </c>
      <c r="AD13" s="213">
        <f t="shared" si="26"/>
        <v>5.5989416989416984E-3</v>
      </c>
      <c r="AE13" s="218">
        <f t="shared" si="27"/>
        <v>5.5989416989416984E-3</v>
      </c>
      <c r="AF13" s="58">
        <f t="shared" si="8"/>
        <v>6.000000000000001E-3</v>
      </c>
      <c r="AG13" s="61">
        <f t="shared" si="9"/>
        <v>6.000000000000001E-3</v>
      </c>
      <c r="AH13" s="58">
        <f t="shared" si="10"/>
        <v>3.4080514689210337E-4</v>
      </c>
      <c r="AI13" s="49">
        <f t="shared" si="11"/>
        <v>2.1694082852403364E-3</v>
      </c>
      <c r="AJ13" s="61">
        <f t="shared" si="45"/>
        <v>2.5102134321324399E-3</v>
      </c>
      <c r="AK13" s="217">
        <f t="shared" si="12"/>
        <v>0.30000000000000004</v>
      </c>
      <c r="AL13" s="213">
        <f t="shared" si="13"/>
        <v>1500</v>
      </c>
      <c r="AM13" s="218">
        <f t="shared" si="28"/>
        <v>2.0000000000000004E-4</v>
      </c>
      <c r="AN13" s="217">
        <f t="shared" si="29"/>
        <v>2</v>
      </c>
      <c r="AO13" s="213">
        <f t="shared" si="30"/>
        <v>8.7635609200826595E-3</v>
      </c>
      <c r="AP13" s="213">
        <f t="shared" si="31"/>
        <v>2.2821773229381923E-2</v>
      </c>
      <c r="AQ13" s="213">
        <f t="shared" si="32"/>
        <v>4.5643546458763853E-2</v>
      </c>
      <c r="AR13" s="213">
        <f t="shared" si="46"/>
        <v>4.5643546458763853E-2</v>
      </c>
      <c r="AS13" s="218">
        <f t="shared" si="47"/>
        <v>2.4669426816409513E-3</v>
      </c>
      <c r="AT13" s="217"/>
      <c r="AU13" s="213">
        <f t="shared" si="33"/>
        <v>1.0800000000000005E-6</v>
      </c>
      <c r="AV13" s="218">
        <f t="shared" si="48"/>
        <v>1.0800000000000005E-6</v>
      </c>
      <c r="AW13" s="217">
        <f t="shared" si="34"/>
        <v>0</v>
      </c>
      <c r="AX13" s="213">
        <f t="shared" si="35"/>
        <v>2.3000000000000003E-4</v>
      </c>
      <c r="AY13" s="218">
        <f t="shared" si="49"/>
        <v>2.3000000000000003E-4</v>
      </c>
      <c r="AZ13" s="217">
        <f t="shared" si="14"/>
        <v>0</v>
      </c>
      <c r="BA13" s="213">
        <f t="shared" si="15"/>
        <v>0</v>
      </c>
      <c r="BB13" s="213">
        <f t="shared" si="50"/>
        <v>0</v>
      </c>
      <c r="BC13" s="61">
        <f t="shared" si="36"/>
        <v>0</v>
      </c>
      <c r="BD13" s="58">
        <v>0</v>
      </c>
      <c r="BE13" s="49">
        <f t="shared" si="51"/>
        <v>0</v>
      </c>
      <c r="BF13" s="61">
        <f t="shared" si="52"/>
        <v>0</v>
      </c>
      <c r="BG13" s="58">
        <f t="shared" si="37"/>
        <v>0</v>
      </c>
      <c r="BH13" s="49">
        <f t="shared" si="38"/>
        <v>0</v>
      </c>
      <c r="BI13" s="61">
        <f t="shared" si="39"/>
        <v>0</v>
      </c>
      <c r="BK13" s="217">
        <f t="shared" si="17"/>
        <v>0</v>
      </c>
      <c r="BL13" s="213">
        <f t="shared" si="18"/>
        <v>0</v>
      </c>
      <c r="BM13" s="213">
        <f t="shared" si="19"/>
        <v>0</v>
      </c>
      <c r="BN13" s="61">
        <f t="shared" si="40"/>
        <v>0</v>
      </c>
      <c r="BO13" s="58">
        <v>0</v>
      </c>
      <c r="BP13" s="49">
        <f t="shared" si="41"/>
        <v>0</v>
      </c>
      <c r="BQ13" s="61">
        <f t="shared" si="53"/>
        <v>0</v>
      </c>
      <c r="BR13" s="58">
        <f t="shared" si="42"/>
        <v>0</v>
      </c>
      <c r="BS13" s="49">
        <f t="shared" si="54"/>
        <v>0</v>
      </c>
      <c r="BT13" s="61">
        <f t="shared" si="55"/>
        <v>0</v>
      </c>
      <c r="BU13" s="58">
        <f t="shared" si="20"/>
        <v>1.9474579822405906E-5</v>
      </c>
      <c r="BV13" s="49">
        <f t="shared" si="21"/>
        <v>3.6450000000000007E-3</v>
      </c>
      <c r="BW13" s="61">
        <f t="shared" si="22"/>
        <v>6.7499999999999999E-3</v>
      </c>
      <c r="BX13" s="49">
        <f t="shared" si="56"/>
        <v>1.1598941698941699E-2</v>
      </c>
      <c r="BY13" s="49">
        <f t="shared" si="43"/>
        <v>3.0754709710896548E-2</v>
      </c>
      <c r="BZ13" s="49">
        <f t="shared" si="44"/>
        <v>90.701656300592546</v>
      </c>
    </row>
    <row r="14" spans="1:78" x14ac:dyDescent="0.3">
      <c r="A14" s="49" t="s">
        <v>426</v>
      </c>
      <c r="B14" s="64">
        <f>VOUT2*IOUT2</f>
        <v>0</v>
      </c>
      <c r="Q14" s="49">
        <v>7</v>
      </c>
      <c r="R14" s="217">
        <f t="shared" si="0"/>
        <v>0.35000000000000003</v>
      </c>
      <c r="S14" s="213">
        <f t="shared" si="1"/>
        <v>15</v>
      </c>
      <c r="T14" s="218">
        <f t="shared" si="2"/>
        <v>2.3333333333333334E-2</v>
      </c>
      <c r="U14" s="217">
        <f t="shared" si="3"/>
        <v>1</v>
      </c>
      <c r="V14" s="213">
        <f t="shared" si="4"/>
        <v>0.11832159566199232</v>
      </c>
      <c r="W14" s="213">
        <f t="shared" si="5"/>
        <v>9.4657276529593864E-3</v>
      </c>
      <c r="X14" s="213">
        <f t="shared" si="23"/>
        <v>0.87221267668504832</v>
      </c>
      <c r="Y14" s="217">
        <f t="shared" si="24"/>
        <v>0.19720265943665388</v>
      </c>
      <c r="Z14" s="213">
        <f t="shared" si="6"/>
        <v>0.39440531887330776</v>
      </c>
      <c r="AA14" s="213">
        <f t="shared" si="25"/>
        <v>0.39440531887330776</v>
      </c>
      <c r="AB14" s="218">
        <f t="shared" si="7"/>
        <v>7.8327478250868915E-2</v>
      </c>
      <c r="AC14" s="217">
        <v>0</v>
      </c>
      <c r="AD14" s="213">
        <f t="shared" si="26"/>
        <v>7.0554729265113946E-3</v>
      </c>
      <c r="AE14" s="218">
        <f t="shared" si="27"/>
        <v>7.0554729265113946E-3</v>
      </c>
      <c r="AF14" s="58">
        <f t="shared" si="8"/>
        <v>7.000000000000001E-3</v>
      </c>
      <c r="AG14" s="61">
        <f t="shared" si="9"/>
        <v>7.000000000000001E-3</v>
      </c>
      <c r="AH14" s="58">
        <f t="shared" si="10"/>
        <v>4.2946356943982406E-4</v>
      </c>
      <c r="AI14" s="49">
        <f t="shared" si="11"/>
        <v>2.3432287609367092E-3</v>
      </c>
      <c r="AJ14" s="61">
        <f t="shared" si="45"/>
        <v>2.7726923303765332E-3</v>
      </c>
      <c r="AK14" s="217">
        <f t="shared" si="12"/>
        <v>0.35000000000000003</v>
      </c>
      <c r="AL14" s="213">
        <f t="shared" si="13"/>
        <v>1500</v>
      </c>
      <c r="AM14" s="218">
        <f t="shared" si="28"/>
        <v>2.3333333333333336E-4</v>
      </c>
      <c r="AN14" s="217">
        <f t="shared" si="29"/>
        <v>2</v>
      </c>
      <c r="AO14" s="213">
        <f t="shared" si="30"/>
        <v>9.4657276529593864E-3</v>
      </c>
      <c r="AP14" s="213">
        <f t="shared" si="31"/>
        <v>2.4650332429581735E-2</v>
      </c>
      <c r="AQ14" s="213">
        <f t="shared" si="32"/>
        <v>4.9300664859163471E-2</v>
      </c>
      <c r="AR14" s="213">
        <f t="shared" si="46"/>
        <v>4.9300664859163471E-2</v>
      </c>
      <c r="AS14" s="218">
        <f t="shared" si="47"/>
        <v>2.7692945512215617E-3</v>
      </c>
      <c r="AT14" s="217"/>
      <c r="AU14" s="213">
        <f t="shared" si="33"/>
        <v>1.4700000000000003E-6</v>
      </c>
      <c r="AV14" s="218">
        <f t="shared" si="48"/>
        <v>1.4700000000000003E-6</v>
      </c>
      <c r="AW14" s="217">
        <f t="shared" si="34"/>
        <v>0</v>
      </c>
      <c r="AX14" s="213">
        <f t="shared" si="35"/>
        <v>2.6833333333333331E-4</v>
      </c>
      <c r="AY14" s="218">
        <f t="shared" si="49"/>
        <v>2.6833333333333331E-4</v>
      </c>
      <c r="AZ14" s="217">
        <f t="shared" si="14"/>
        <v>0</v>
      </c>
      <c r="BA14" s="213">
        <f t="shared" si="15"/>
        <v>0</v>
      </c>
      <c r="BB14" s="213">
        <f t="shared" si="50"/>
        <v>0</v>
      </c>
      <c r="BC14" s="61">
        <f t="shared" si="36"/>
        <v>0</v>
      </c>
      <c r="BD14" s="58">
        <v>0</v>
      </c>
      <c r="BE14" s="49">
        <f t="shared" si="51"/>
        <v>0</v>
      </c>
      <c r="BF14" s="61">
        <f t="shared" si="52"/>
        <v>0</v>
      </c>
      <c r="BG14" s="58">
        <f t="shared" si="37"/>
        <v>0</v>
      </c>
      <c r="BH14" s="49">
        <f t="shared" si="38"/>
        <v>0</v>
      </c>
      <c r="BI14" s="61">
        <f t="shared" si="39"/>
        <v>0</v>
      </c>
      <c r="BK14" s="217">
        <f t="shared" si="17"/>
        <v>0</v>
      </c>
      <c r="BL14" s="213">
        <f t="shared" si="18"/>
        <v>0</v>
      </c>
      <c r="BM14" s="213">
        <f t="shared" si="19"/>
        <v>0</v>
      </c>
      <c r="BN14" s="61">
        <f t="shared" si="40"/>
        <v>0</v>
      </c>
      <c r="BO14" s="58">
        <v>0</v>
      </c>
      <c r="BP14" s="49">
        <f t="shared" si="41"/>
        <v>0</v>
      </c>
      <c r="BQ14" s="61">
        <f t="shared" si="53"/>
        <v>0</v>
      </c>
      <c r="BR14" s="58">
        <f t="shared" si="42"/>
        <v>0</v>
      </c>
      <c r="BS14" s="49">
        <f t="shared" si="54"/>
        <v>0</v>
      </c>
      <c r="BT14" s="61">
        <f t="shared" si="55"/>
        <v>0</v>
      </c>
      <c r="BU14" s="58">
        <f t="shared" si="20"/>
        <v>2.4540775396561373E-5</v>
      </c>
      <c r="BV14" s="49">
        <f t="shared" si="21"/>
        <v>3.6450000000000007E-3</v>
      </c>
      <c r="BW14" s="61">
        <f t="shared" si="22"/>
        <v>6.7499999999999999E-3</v>
      </c>
      <c r="BX14" s="49">
        <f t="shared" si="56"/>
        <v>1.4055472926511395E-2</v>
      </c>
      <c r="BY14" s="49">
        <f t="shared" si="43"/>
        <v>3.4517509365617829E-2</v>
      </c>
      <c r="BZ14" s="49">
        <f t="shared" si="44"/>
        <v>91.023163178559727</v>
      </c>
    </row>
    <row r="15" spans="1:78" x14ac:dyDescent="0.3">
      <c r="A15" s="49" t="s">
        <v>594</v>
      </c>
      <c r="B15" s="49">
        <f>POUT2/O11</f>
        <v>0</v>
      </c>
      <c r="O15" s="49">
        <f>0.205*2.5/(Lm*Fsw)</f>
        <v>0.11388888888888887</v>
      </c>
      <c r="Q15" s="49">
        <v>8</v>
      </c>
      <c r="R15" s="217">
        <f t="shared" si="0"/>
        <v>0.4</v>
      </c>
      <c r="S15" s="213">
        <f t="shared" si="1"/>
        <v>15</v>
      </c>
      <c r="T15" s="218">
        <f t="shared" si="2"/>
        <v>2.6666666666666668E-2</v>
      </c>
      <c r="U15" s="217">
        <f t="shared" si="3"/>
        <v>1</v>
      </c>
      <c r="V15" s="213">
        <f t="shared" si="4"/>
        <v>0.12649110640673517</v>
      </c>
      <c r="W15" s="213">
        <f t="shared" si="5"/>
        <v>1.0119288512538814E-2</v>
      </c>
      <c r="X15" s="213">
        <f t="shared" si="23"/>
        <v>0.86338960508072604</v>
      </c>
      <c r="Y15" s="217">
        <f t="shared" si="24"/>
        <v>0.21081851067789198</v>
      </c>
      <c r="Z15" s="213">
        <f t="shared" si="6"/>
        <v>0.4216370213557839</v>
      </c>
      <c r="AA15" s="213">
        <f t="shared" si="25"/>
        <v>0.42163702135578396</v>
      </c>
      <c r="AB15" s="218">
        <f t="shared" si="7"/>
        <v>8.6578110793359711E-2</v>
      </c>
      <c r="AC15" s="217">
        <v>0</v>
      </c>
      <c r="AD15" s="213">
        <f t="shared" si="26"/>
        <v>8.6201346588293606E-3</v>
      </c>
      <c r="AE15" s="218">
        <f t="shared" si="27"/>
        <v>8.6201346588293606E-3</v>
      </c>
      <c r="AF15" s="58">
        <f t="shared" si="8"/>
        <v>8.0000000000000002E-3</v>
      </c>
      <c r="AG15" s="61">
        <f t="shared" si="9"/>
        <v>8.0000000000000002E-3</v>
      </c>
      <c r="AH15" s="58">
        <f t="shared" si="10"/>
        <v>5.2470384879830894E-4</v>
      </c>
      <c r="AI15" s="49">
        <f t="shared" si="11"/>
        <v>2.5050169149314254E-3</v>
      </c>
      <c r="AJ15" s="61">
        <f t="shared" si="45"/>
        <v>3.0297207637297345E-3</v>
      </c>
      <c r="AK15" s="217">
        <f t="shared" si="12"/>
        <v>0.4</v>
      </c>
      <c r="AL15" s="213">
        <f t="shared" si="13"/>
        <v>1500</v>
      </c>
      <c r="AM15" s="218">
        <f t="shared" si="28"/>
        <v>2.6666666666666668E-4</v>
      </c>
      <c r="AN15" s="217">
        <f t="shared" si="29"/>
        <v>2</v>
      </c>
      <c r="AO15" s="213">
        <f t="shared" si="30"/>
        <v>1.0119288512538814E-2</v>
      </c>
      <c r="AP15" s="213">
        <f t="shared" si="31"/>
        <v>2.6352313834736497E-2</v>
      </c>
      <c r="AQ15" s="213">
        <f t="shared" si="32"/>
        <v>5.2704627669472988E-2</v>
      </c>
      <c r="AR15" s="213">
        <f t="shared" si="46"/>
        <v>5.2704627669472995E-2</v>
      </c>
      <c r="AS15" s="218">
        <f t="shared" si="47"/>
        <v>3.0609984622152445E-3</v>
      </c>
      <c r="AT15" s="217"/>
      <c r="AU15" s="213">
        <f t="shared" si="33"/>
        <v>1.9200000000000003E-6</v>
      </c>
      <c r="AV15" s="218">
        <f t="shared" si="48"/>
        <v>1.9200000000000003E-6</v>
      </c>
      <c r="AW15" s="217">
        <f t="shared" si="34"/>
        <v>0</v>
      </c>
      <c r="AX15" s="213">
        <f t="shared" si="35"/>
        <v>3.0666666666666668E-4</v>
      </c>
      <c r="AY15" s="218">
        <f t="shared" si="49"/>
        <v>3.0666666666666668E-4</v>
      </c>
      <c r="AZ15" s="217">
        <f t="shared" si="14"/>
        <v>0</v>
      </c>
      <c r="BA15" s="213">
        <f t="shared" si="15"/>
        <v>0</v>
      </c>
      <c r="BB15" s="213">
        <f t="shared" si="50"/>
        <v>0</v>
      </c>
      <c r="BC15" s="61">
        <f t="shared" si="36"/>
        <v>0</v>
      </c>
      <c r="BD15" s="58">
        <v>0</v>
      </c>
      <c r="BE15" s="49">
        <f t="shared" si="51"/>
        <v>0</v>
      </c>
      <c r="BF15" s="61">
        <f t="shared" si="52"/>
        <v>0</v>
      </c>
      <c r="BG15" s="58">
        <f t="shared" si="37"/>
        <v>0</v>
      </c>
      <c r="BH15" s="49">
        <f t="shared" si="38"/>
        <v>0</v>
      </c>
      <c r="BI15" s="61">
        <f t="shared" si="39"/>
        <v>0</v>
      </c>
      <c r="BK15" s="217">
        <f t="shared" si="17"/>
        <v>0</v>
      </c>
      <c r="BL15" s="213">
        <f t="shared" si="18"/>
        <v>0</v>
      </c>
      <c r="BM15" s="213">
        <f t="shared" si="19"/>
        <v>0</v>
      </c>
      <c r="BN15" s="61">
        <f t="shared" si="40"/>
        <v>0</v>
      </c>
      <c r="BO15" s="58">
        <v>0</v>
      </c>
      <c r="BP15" s="49">
        <f t="shared" si="41"/>
        <v>0</v>
      </c>
      <c r="BQ15" s="61">
        <f t="shared" si="53"/>
        <v>0</v>
      </c>
      <c r="BR15" s="58">
        <f t="shared" si="42"/>
        <v>0</v>
      </c>
      <c r="BS15" s="49">
        <f t="shared" si="54"/>
        <v>0</v>
      </c>
      <c r="BT15" s="61">
        <f t="shared" si="55"/>
        <v>0</v>
      </c>
      <c r="BU15" s="58">
        <f t="shared" si="20"/>
        <v>2.998307707418908E-5</v>
      </c>
      <c r="BV15" s="49">
        <f t="shared" si="21"/>
        <v>3.6450000000000007E-3</v>
      </c>
      <c r="BW15" s="61">
        <f t="shared" si="22"/>
        <v>6.7499999999999999E-3</v>
      </c>
      <c r="BX15" s="49">
        <f t="shared" si="56"/>
        <v>1.6620134658829361E-2</v>
      </c>
      <c r="BY15" s="49">
        <f t="shared" si="43"/>
        <v>3.8383425166299959E-2</v>
      </c>
      <c r="BZ15" s="49">
        <f t="shared" si="44"/>
        <v>91.24432563759926</v>
      </c>
    </row>
    <row r="16" spans="1:78" x14ac:dyDescent="0.3">
      <c r="Q16" s="49">
        <v>9</v>
      </c>
      <c r="R16" s="217">
        <f t="shared" si="0"/>
        <v>0.45</v>
      </c>
      <c r="S16" s="213">
        <f t="shared" si="1"/>
        <v>15</v>
      </c>
      <c r="T16" s="218">
        <f t="shared" si="2"/>
        <v>3.0000000000000002E-2</v>
      </c>
      <c r="U16" s="217">
        <f t="shared" si="3"/>
        <v>1</v>
      </c>
      <c r="V16" s="213">
        <f t="shared" si="4"/>
        <v>0.13416407864998739</v>
      </c>
      <c r="W16" s="213">
        <f t="shared" si="5"/>
        <v>1.073312629199899E-2</v>
      </c>
      <c r="X16" s="213">
        <f t="shared" si="23"/>
        <v>0.85510279505801368</v>
      </c>
      <c r="Y16" s="217">
        <f t="shared" si="24"/>
        <v>0.22360679774997899</v>
      </c>
      <c r="Z16" s="213">
        <f t="shared" si="6"/>
        <v>0.44721359549995793</v>
      </c>
      <c r="AA16" s="213">
        <f t="shared" si="25"/>
        <v>0.44721359549995798</v>
      </c>
      <c r="AB16" s="218">
        <f t="shared" si="7"/>
        <v>9.4574160900317589E-2</v>
      </c>
      <c r="AC16" s="217">
        <v>0</v>
      </c>
      <c r="AD16" s="213">
        <f t="shared" si="26"/>
        <v>1.0285912696499035E-2</v>
      </c>
      <c r="AE16" s="218">
        <f t="shared" si="27"/>
        <v>1.0285912696499035E-2</v>
      </c>
      <c r="AF16" s="58">
        <f t="shared" si="8"/>
        <v>9.0000000000000011E-3</v>
      </c>
      <c r="AG16" s="61">
        <f t="shared" si="9"/>
        <v>9.0000000000000011E-3</v>
      </c>
      <c r="AH16" s="58">
        <f t="shared" si="10"/>
        <v>6.2609903369994124E-4</v>
      </c>
      <c r="AI16" s="49">
        <f t="shared" si="11"/>
        <v>2.6569716713025237E-3</v>
      </c>
      <c r="AJ16" s="61">
        <f t="shared" si="45"/>
        <v>3.2830707050024652E-3</v>
      </c>
      <c r="AK16" s="217">
        <f t="shared" si="12"/>
        <v>0.45</v>
      </c>
      <c r="AL16" s="213">
        <f t="shared" si="13"/>
        <v>1500</v>
      </c>
      <c r="AM16" s="218">
        <f t="shared" si="28"/>
        <v>3.0000000000000003E-4</v>
      </c>
      <c r="AN16" s="217">
        <f t="shared" si="29"/>
        <v>2</v>
      </c>
      <c r="AO16" s="213">
        <f t="shared" si="30"/>
        <v>1.073312629199899E-2</v>
      </c>
      <c r="AP16" s="213">
        <f t="shared" si="31"/>
        <v>2.7950849718747374E-2</v>
      </c>
      <c r="AQ16" s="213">
        <f t="shared" si="32"/>
        <v>5.5901699437494741E-2</v>
      </c>
      <c r="AR16" s="213">
        <f t="shared" si="46"/>
        <v>5.5901699437494748E-2</v>
      </c>
      <c r="AS16" s="218">
        <f t="shared" si="47"/>
        <v>3.343701524882111E-3</v>
      </c>
      <c r="AT16" s="217"/>
      <c r="AU16" s="213">
        <f t="shared" si="33"/>
        <v>2.4300000000000005E-6</v>
      </c>
      <c r="AV16" s="218">
        <f t="shared" si="48"/>
        <v>2.4300000000000005E-6</v>
      </c>
      <c r="AW16" s="217">
        <f t="shared" si="34"/>
        <v>0</v>
      </c>
      <c r="AX16" s="213">
        <f t="shared" si="35"/>
        <v>3.4499999999999998E-4</v>
      </c>
      <c r="AY16" s="218">
        <f t="shared" si="49"/>
        <v>3.4499999999999998E-4</v>
      </c>
      <c r="AZ16" s="217">
        <f t="shared" si="14"/>
        <v>0</v>
      </c>
      <c r="BA16" s="213">
        <f t="shared" si="15"/>
        <v>0</v>
      </c>
      <c r="BB16" s="213">
        <f t="shared" si="50"/>
        <v>0</v>
      </c>
      <c r="BC16" s="61">
        <f t="shared" si="36"/>
        <v>0</v>
      </c>
      <c r="BD16" s="58">
        <v>0</v>
      </c>
      <c r="BE16" s="49">
        <f t="shared" si="51"/>
        <v>0</v>
      </c>
      <c r="BF16" s="61">
        <f t="shared" si="52"/>
        <v>0</v>
      </c>
      <c r="BG16" s="58">
        <f t="shared" si="37"/>
        <v>0</v>
      </c>
      <c r="BH16" s="49">
        <f t="shared" si="38"/>
        <v>0</v>
      </c>
      <c r="BI16" s="61">
        <f t="shared" si="39"/>
        <v>0</v>
      </c>
      <c r="BK16" s="217">
        <f t="shared" si="17"/>
        <v>0</v>
      </c>
      <c r="BL16" s="213">
        <f t="shared" si="18"/>
        <v>0</v>
      </c>
      <c r="BM16" s="213">
        <f t="shared" si="19"/>
        <v>0</v>
      </c>
      <c r="BN16" s="61">
        <f t="shared" si="40"/>
        <v>0</v>
      </c>
      <c r="BO16" s="58">
        <v>0</v>
      </c>
      <c r="BP16" s="49">
        <f t="shared" si="41"/>
        <v>0</v>
      </c>
      <c r="BQ16" s="61">
        <f t="shared" si="53"/>
        <v>0</v>
      </c>
      <c r="BR16" s="58">
        <f t="shared" si="42"/>
        <v>0</v>
      </c>
      <c r="BS16" s="49">
        <f t="shared" si="54"/>
        <v>0</v>
      </c>
      <c r="BT16" s="61">
        <f t="shared" si="55"/>
        <v>0</v>
      </c>
      <c r="BU16" s="58">
        <f t="shared" si="20"/>
        <v>3.5777087639996639E-5</v>
      </c>
      <c r="BV16" s="49">
        <f t="shared" si="21"/>
        <v>3.6450000000000007E-3</v>
      </c>
      <c r="BW16" s="61">
        <f t="shared" si="22"/>
        <v>6.7499999999999999E-3</v>
      </c>
      <c r="BX16" s="49">
        <f t="shared" si="56"/>
        <v>1.9285912696499034E-2</v>
      </c>
      <c r="BY16" s="49">
        <f t="shared" si="43"/>
        <v>4.2347190489141498E-2</v>
      </c>
      <c r="BZ16" s="49">
        <f t="shared" si="44"/>
        <v>91.398917002639948</v>
      </c>
    </row>
    <row r="17" spans="1:78" x14ac:dyDescent="0.3">
      <c r="Q17" s="49">
        <v>10</v>
      </c>
      <c r="R17" s="217">
        <f t="shared" si="0"/>
        <v>0.5</v>
      </c>
      <c r="S17" s="213">
        <f t="shared" si="1"/>
        <v>15</v>
      </c>
      <c r="T17" s="218">
        <f t="shared" si="2"/>
        <v>3.3333333333333333E-2</v>
      </c>
      <c r="U17" s="217">
        <f t="shared" si="3"/>
        <v>1</v>
      </c>
      <c r="V17" s="213">
        <f t="shared" si="4"/>
        <v>0.1414213562373095</v>
      </c>
      <c r="W17" s="213">
        <f t="shared" si="5"/>
        <v>1.131370849898476E-2</v>
      </c>
      <c r="X17" s="213">
        <f t="shared" si="23"/>
        <v>0.84726493526370583</v>
      </c>
      <c r="Y17" s="217">
        <f t="shared" si="24"/>
        <v>0.23570226039551587</v>
      </c>
      <c r="Z17" s="213">
        <f t="shared" si="6"/>
        <v>0.47140452079103162</v>
      </c>
      <c r="AA17" s="213">
        <f t="shared" si="25"/>
        <v>0.47140452079103168</v>
      </c>
      <c r="AB17" s="218">
        <f t="shared" si="7"/>
        <v>0.10235065225770903</v>
      </c>
      <c r="AC17" s="217">
        <v>0</v>
      </c>
      <c r="AD17" s="213">
        <f t="shared" si="26"/>
        <v>1.2047004420215253E-2</v>
      </c>
      <c r="AE17" s="218">
        <f t="shared" si="27"/>
        <v>1.2047004420215253E-2</v>
      </c>
      <c r="AF17" s="58">
        <f t="shared" si="8"/>
        <v>0.01</v>
      </c>
      <c r="AG17" s="61">
        <f t="shared" si="9"/>
        <v>0.01</v>
      </c>
      <c r="AH17" s="58">
        <f t="shared" si="10"/>
        <v>7.3329592123049371E-4</v>
      </c>
      <c r="AI17" s="49">
        <f t="shared" si="11"/>
        <v>2.8006940532867373E-3</v>
      </c>
      <c r="AJ17" s="61">
        <f t="shared" si="45"/>
        <v>3.5339899745172312E-3</v>
      </c>
      <c r="AK17" s="217">
        <f t="shared" si="12"/>
        <v>0.5</v>
      </c>
      <c r="AL17" s="213">
        <f t="shared" si="13"/>
        <v>1500</v>
      </c>
      <c r="AM17" s="218">
        <f t="shared" si="28"/>
        <v>3.3333333333333332E-4</v>
      </c>
      <c r="AN17" s="217">
        <f t="shared" si="29"/>
        <v>2</v>
      </c>
      <c r="AO17" s="213">
        <f t="shared" si="30"/>
        <v>1.1313708498984758E-2</v>
      </c>
      <c r="AP17" s="213">
        <f t="shared" si="31"/>
        <v>2.9462782549439483E-2</v>
      </c>
      <c r="AQ17" s="213">
        <f t="shared" si="32"/>
        <v>5.8925565098878953E-2</v>
      </c>
      <c r="AR17" s="213">
        <f t="shared" si="46"/>
        <v>5.892556509887896E-2</v>
      </c>
      <c r="AS17" s="218">
        <f t="shared" si="47"/>
        <v>3.6186420135146148E-3</v>
      </c>
      <c r="AT17" s="217"/>
      <c r="AU17" s="213">
        <f t="shared" si="33"/>
        <v>3.0000000000000001E-6</v>
      </c>
      <c r="AV17" s="218">
        <f t="shared" si="48"/>
        <v>3.0000000000000001E-6</v>
      </c>
      <c r="AW17" s="217">
        <f t="shared" si="34"/>
        <v>0</v>
      </c>
      <c r="AX17" s="213">
        <f t="shared" si="35"/>
        <v>3.8333333333333329E-4</v>
      </c>
      <c r="AY17" s="218">
        <f t="shared" si="49"/>
        <v>3.8333333333333329E-4</v>
      </c>
      <c r="AZ17" s="217">
        <f t="shared" si="14"/>
        <v>0</v>
      </c>
      <c r="BA17" s="213">
        <f t="shared" si="15"/>
        <v>0</v>
      </c>
      <c r="BB17" s="213">
        <f t="shared" si="50"/>
        <v>0</v>
      </c>
      <c r="BC17" s="61">
        <f t="shared" si="36"/>
        <v>0</v>
      </c>
      <c r="BD17" s="58">
        <v>0</v>
      </c>
      <c r="BE17" s="49">
        <f t="shared" si="51"/>
        <v>0</v>
      </c>
      <c r="BF17" s="61">
        <f t="shared" si="52"/>
        <v>0</v>
      </c>
      <c r="BG17" s="58">
        <f t="shared" si="37"/>
        <v>0</v>
      </c>
      <c r="BH17" s="49">
        <f t="shared" si="38"/>
        <v>0</v>
      </c>
      <c r="BI17" s="61">
        <f t="shared" si="39"/>
        <v>0</v>
      </c>
      <c r="BK17" s="217">
        <f t="shared" si="17"/>
        <v>0</v>
      </c>
      <c r="BL17" s="213">
        <f t="shared" si="18"/>
        <v>0</v>
      </c>
      <c r="BM17" s="213">
        <f t="shared" si="19"/>
        <v>0</v>
      </c>
      <c r="BN17" s="61">
        <f t="shared" si="40"/>
        <v>0</v>
      </c>
      <c r="BO17" s="58">
        <v>0</v>
      </c>
      <c r="BP17" s="49">
        <f t="shared" si="41"/>
        <v>0</v>
      </c>
      <c r="BQ17" s="61">
        <f t="shared" si="53"/>
        <v>0</v>
      </c>
      <c r="BR17" s="58">
        <f t="shared" si="42"/>
        <v>0</v>
      </c>
      <c r="BS17" s="49">
        <f t="shared" si="54"/>
        <v>0</v>
      </c>
      <c r="BT17" s="61">
        <f t="shared" si="55"/>
        <v>0</v>
      </c>
      <c r="BU17" s="58">
        <f t="shared" si="20"/>
        <v>4.1902624070313919E-5</v>
      </c>
      <c r="BV17" s="49">
        <f t="shared" si="21"/>
        <v>3.6450000000000007E-3</v>
      </c>
      <c r="BW17" s="61">
        <f t="shared" si="22"/>
        <v>6.7499999999999999E-3</v>
      </c>
      <c r="BX17" s="49">
        <f t="shared" si="56"/>
        <v>2.2047004420215253E-2</v>
      </c>
      <c r="BY17" s="49">
        <f t="shared" si="43"/>
        <v>4.640423035213613E-2</v>
      </c>
      <c r="BZ17" s="49">
        <f t="shared" si="44"/>
        <v>91.507344238123778</v>
      </c>
    </row>
    <row r="18" spans="1:78" x14ac:dyDescent="0.3">
      <c r="A18" s="49" t="s">
        <v>592</v>
      </c>
      <c r="B18" s="64">
        <f>VOUT3*IOUT3</f>
        <v>0</v>
      </c>
      <c r="Q18" s="49">
        <v>11</v>
      </c>
      <c r="R18" s="217">
        <f t="shared" si="0"/>
        <v>0.55000000000000004</v>
      </c>
      <c r="S18" s="213">
        <f t="shared" si="1"/>
        <v>15</v>
      </c>
      <c r="T18" s="218">
        <f t="shared" si="2"/>
        <v>3.6666666666666667E-2</v>
      </c>
      <c r="U18" s="217">
        <f t="shared" si="3"/>
        <v>1</v>
      </c>
      <c r="V18" s="213">
        <f t="shared" si="4"/>
        <v>0.14832396974191325</v>
      </c>
      <c r="W18" s="213">
        <f t="shared" si="5"/>
        <v>1.1865917579353059E-2</v>
      </c>
      <c r="X18" s="213">
        <f t="shared" si="23"/>
        <v>0.83981011267873373</v>
      </c>
      <c r="Y18" s="217">
        <f t="shared" si="24"/>
        <v>0.24720661623652215</v>
      </c>
      <c r="Z18" s="213">
        <f t="shared" si="6"/>
        <v>0.49441323247304414</v>
      </c>
      <c r="AA18" s="213">
        <f t="shared" si="25"/>
        <v>0.49441323247304425</v>
      </c>
      <c r="AB18" s="218">
        <f t="shared" si="7"/>
        <v>0.1099347842758857</v>
      </c>
      <c r="AC18" s="217">
        <v>0</v>
      </c>
      <c r="AD18" s="213">
        <f t="shared" si="26"/>
        <v>1.3898505312853356E-2</v>
      </c>
      <c r="AE18" s="218">
        <f t="shared" si="27"/>
        <v>1.3898505312853356E-2</v>
      </c>
      <c r="AF18" s="58">
        <f t="shared" si="8"/>
        <v>1.1000000000000001E-2</v>
      </c>
      <c r="AG18" s="61">
        <f t="shared" si="9"/>
        <v>1.1000000000000001E-2</v>
      </c>
      <c r="AH18" s="58">
        <f t="shared" si="10"/>
        <v>8.4599597556498686E-4</v>
      </c>
      <c r="AI18" s="49">
        <f t="shared" si="11"/>
        <v>2.9373927041046566E-3</v>
      </c>
      <c r="AJ18" s="61">
        <f t="shared" si="45"/>
        <v>3.7833886796696434E-3</v>
      </c>
      <c r="AK18" s="217">
        <f t="shared" si="12"/>
        <v>0.55000000000000004</v>
      </c>
      <c r="AL18" s="213">
        <f t="shared" si="13"/>
        <v>1500</v>
      </c>
      <c r="AM18" s="218">
        <f t="shared" si="28"/>
        <v>3.6666666666666667E-4</v>
      </c>
      <c r="AN18" s="217">
        <f t="shared" si="29"/>
        <v>2</v>
      </c>
      <c r="AO18" s="213">
        <f t="shared" si="30"/>
        <v>1.1865917579353059E-2</v>
      </c>
      <c r="AP18" s="213">
        <f t="shared" si="31"/>
        <v>3.0900827029565269E-2</v>
      </c>
      <c r="AQ18" s="213">
        <f t="shared" si="32"/>
        <v>6.1801654059130517E-2</v>
      </c>
      <c r="AR18" s="213">
        <f t="shared" si="46"/>
        <v>6.1801654059130531E-2</v>
      </c>
      <c r="AS18" s="218">
        <f t="shared" si="47"/>
        <v>3.8867815724879513E-3</v>
      </c>
      <c r="AT18" s="217"/>
      <c r="AU18" s="213">
        <f t="shared" si="33"/>
        <v>3.63E-6</v>
      </c>
      <c r="AV18" s="218">
        <f t="shared" si="48"/>
        <v>3.63E-6</v>
      </c>
      <c r="AW18" s="217">
        <f t="shared" si="34"/>
        <v>0</v>
      </c>
      <c r="AX18" s="213">
        <f t="shared" si="35"/>
        <v>4.2166666666666665E-4</v>
      </c>
      <c r="AY18" s="218">
        <f t="shared" si="49"/>
        <v>4.2166666666666665E-4</v>
      </c>
      <c r="AZ18" s="217">
        <f t="shared" si="14"/>
        <v>0</v>
      </c>
      <c r="BA18" s="213">
        <f t="shared" si="15"/>
        <v>0</v>
      </c>
      <c r="BB18" s="213">
        <f t="shared" si="50"/>
        <v>0</v>
      </c>
      <c r="BC18" s="61">
        <f t="shared" si="36"/>
        <v>0</v>
      </c>
      <c r="BD18" s="58">
        <v>0</v>
      </c>
      <c r="BE18" s="49">
        <f t="shared" si="51"/>
        <v>0</v>
      </c>
      <c r="BF18" s="61">
        <f t="shared" si="52"/>
        <v>0</v>
      </c>
      <c r="BG18" s="58">
        <f t="shared" si="37"/>
        <v>0</v>
      </c>
      <c r="BH18" s="49">
        <f t="shared" si="38"/>
        <v>0</v>
      </c>
      <c r="BI18" s="61">
        <f t="shared" si="39"/>
        <v>0</v>
      </c>
      <c r="BK18" s="217">
        <f t="shared" si="17"/>
        <v>0</v>
      </c>
      <c r="BL18" s="213">
        <f t="shared" si="18"/>
        <v>0</v>
      </c>
      <c r="BM18" s="213">
        <f t="shared" si="19"/>
        <v>0</v>
      </c>
      <c r="BN18" s="61">
        <f t="shared" si="40"/>
        <v>0</v>
      </c>
      <c r="BO18" s="58">
        <v>0</v>
      </c>
      <c r="BP18" s="49">
        <f t="shared" si="41"/>
        <v>0</v>
      </c>
      <c r="BQ18" s="61">
        <f t="shared" si="53"/>
        <v>0</v>
      </c>
      <c r="BR18" s="58">
        <f t="shared" si="42"/>
        <v>0</v>
      </c>
      <c r="BS18" s="49">
        <f t="shared" si="54"/>
        <v>0</v>
      </c>
      <c r="BT18" s="61">
        <f t="shared" si="55"/>
        <v>0</v>
      </c>
      <c r="BU18" s="58">
        <f t="shared" si="20"/>
        <v>4.8342627175142101E-5</v>
      </c>
      <c r="BV18" s="49">
        <f t="shared" si="21"/>
        <v>3.6450000000000007E-3</v>
      </c>
      <c r="BW18" s="61">
        <f t="shared" si="22"/>
        <v>6.7499999999999999E-3</v>
      </c>
      <c r="BX18" s="49">
        <f t="shared" si="56"/>
        <v>2.4898505312853356E-2</v>
      </c>
      <c r="BY18" s="49">
        <f t="shared" si="43"/>
        <v>5.0550533286364809E-2</v>
      </c>
      <c r="BZ18" s="49">
        <f t="shared" si="44"/>
        <v>91.582634518740747</v>
      </c>
    </row>
    <row r="19" spans="1:78" x14ac:dyDescent="0.3">
      <c r="A19" s="49" t="s">
        <v>595</v>
      </c>
      <c r="B19" s="49">
        <f>POUT3/O11</f>
        <v>0</v>
      </c>
      <c r="Q19" s="49">
        <v>12</v>
      </c>
      <c r="R19" s="217">
        <f t="shared" si="0"/>
        <v>0.60000000000000009</v>
      </c>
      <c r="S19" s="213">
        <f t="shared" si="1"/>
        <v>15</v>
      </c>
      <c r="T19" s="218">
        <f t="shared" si="2"/>
        <v>4.0000000000000008E-2</v>
      </c>
      <c r="U19" s="217">
        <f t="shared" si="3"/>
        <v>1</v>
      </c>
      <c r="V19" s="213">
        <f t="shared" si="4"/>
        <v>0.15491933384829668</v>
      </c>
      <c r="W19" s="213">
        <f t="shared" si="5"/>
        <v>1.2393546707863735E-2</v>
      </c>
      <c r="X19" s="213">
        <f t="shared" si="23"/>
        <v>0.83268711944383955</v>
      </c>
      <c r="Y19" s="217">
        <f t="shared" si="24"/>
        <v>0.25819888974716115</v>
      </c>
      <c r="Z19" s="213">
        <f t="shared" si="6"/>
        <v>0.51639777949432231</v>
      </c>
      <c r="AA19" s="213">
        <f t="shared" si="25"/>
        <v>0.51639777949432231</v>
      </c>
      <c r="AB19" s="218">
        <f t="shared" si="7"/>
        <v>0.11734823157245247</v>
      </c>
      <c r="AC19" s="217">
        <v>0</v>
      </c>
      <c r="AD19" s="213">
        <f t="shared" si="26"/>
        <v>1.5836198571159223E-2</v>
      </c>
      <c r="AE19" s="218">
        <f t="shared" si="27"/>
        <v>1.5836198571159223E-2</v>
      </c>
      <c r="AF19" s="58">
        <f t="shared" si="8"/>
        <v>1.2000000000000002E-2</v>
      </c>
      <c r="AG19" s="61">
        <f t="shared" si="9"/>
        <v>1.2000000000000002E-2</v>
      </c>
      <c r="AH19" s="58">
        <f t="shared" si="10"/>
        <v>9.6394252172273529E-4</v>
      </c>
      <c r="AI19" s="49">
        <f t="shared" si="11"/>
        <v>3.0680066193114436E-3</v>
      </c>
      <c r="AJ19" s="61">
        <f t="shared" si="45"/>
        <v>4.0319491410341791E-3</v>
      </c>
      <c r="AK19" s="217">
        <f t="shared" si="12"/>
        <v>0.60000000000000009</v>
      </c>
      <c r="AL19" s="213">
        <f t="shared" si="13"/>
        <v>1500</v>
      </c>
      <c r="AM19" s="218">
        <f t="shared" si="28"/>
        <v>4.0000000000000007E-4</v>
      </c>
      <c r="AN19" s="217">
        <f t="shared" si="29"/>
        <v>2</v>
      </c>
      <c r="AO19" s="213">
        <f t="shared" si="30"/>
        <v>1.2393546707863735E-2</v>
      </c>
      <c r="AP19" s="213">
        <f t="shared" si="31"/>
        <v>3.2274861218395144E-2</v>
      </c>
      <c r="AQ19" s="213">
        <f t="shared" si="32"/>
        <v>6.4549722436790288E-2</v>
      </c>
      <c r="AR19" s="213">
        <f t="shared" si="46"/>
        <v>6.4549722436790288E-2</v>
      </c>
      <c r="AS19" s="218">
        <f t="shared" si="47"/>
        <v>4.1488865152565224E-3</v>
      </c>
      <c r="AT19" s="217"/>
      <c r="AU19" s="213">
        <f t="shared" si="33"/>
        <v>4.3200000000000018E-6</v>
      </c>
      <c r="AV19" s="218">
        <f t="shared" si="48"/>
        <v>4.3200000000000018E-6</v>
      </c>
      <c r="AW19" s="217">
        <f t="shared" si="34"/>
        <v>0</v>
      </c>
      <c r="AX19" s="213">
        <f t="shared" si="35"/>
        <v>4.6000000000000007E-4</v>
      </c>
      <c r="AY19" s="218">
        <f t="shared" si="49"/>
        <v>4.6000000000000007E-4</v>
      </c>
      <c r="AZ19" s="217">
        <f t="shared" si="14"/>
        <v>0</v>
      </c>
      <c r="BA19" s="213">
        <f t="shared" si="15"/>
        <v>0</v>
      </c>
      <c r="BB19" s="213">
        <f t="shared" si="50"/>
        <v>0</v>
      </c>
      <c r="BC19" s="61">
        <f t="shared" si="36"/>
        <v>0</v>
      </c>
      <c r="BD19" s="58">
        <v>0</v>
      </c>
      <c r="BE19" s="49">
        <f t="shared" si="51"/>
        <v>0</v>
      </c>
      <c r="BF19" s="61">
        <f t="shared" si="52"/>
        <v>0</v>
      </c>
      <c r="BG19" s="58">
        <f t="shared" si="37"/>
        <v>0</v>
      </c>
      <c r="BH19" s="49">
        <f t="shared" si="38"/>
        <v>0</v>
      </c>
      <c r="BI19" s="61">
        <f t="shared" si="39"/>
        <v>0</v>
      </c>
      <c r="BK19" s="217">
        <f t="shared" si="17"/>
        <v>0</v>
      </c>
      <c r="BL19" s="213">
        <f t="shared" si="18"/>
        <v>0</v>
      </c>
      <c r="BM19" s="213">
        <f t="shared" si="19"/>
        <v>0</v>
      </c>
      <c r="BN19" s="61">
        <f t="shared" si="40"/>
        <v>0</v>
      </c>
      <c r="BO19" s="58">
        <v>0</v>
      </c>
      <c r="BP19" s="49">
        <f t="shared" si="41"/>
        <v>0</v>
      </c>
      <c r="BQ19" s="61">
        <f t="shared" si="53"/>
        <v>0</v>
      </c>
      <c r="BR19" s="58">
        <f t="shared" si="42"/>
        <v>0</v>
      </c>
      <c r="BS19" s="49">
        <f t="shared" si="54"/>
        <v>0</v>
      </c>
      <c r="BT19" s="61">
        <f t="shared" si="55"/>
        <v>0</v>
      </c>
      <c r="BU19" s="58">
        <f t="shared" si="20"/>
        <v>5.5082429812727726E-5</v>
      </c>
      <c r="BV19" s="49">
        <f t="shared" si="21"/>
        <v>3.6450000000000007E-3</v>
      </c>
      <c r="BW19" s="61">
        <f t="shared" si="22"/>
        <v>6.7499999999999999E-3</v>
      </c>
      <c r="BX19" s="49">
        <f t="shared" si="56"/>
        <v>2.7836198571159224E-2</v>
      </c>
      <c r="BY19" s="49">
        <f t="shared" si="43"/>
        <v>5.4782550142006135E-2</v>
      </c>
      <c r="BZ19" s="49">
        <f t="shared" si="44"/>
        <v>91.63347432974119</v>
      </c>
    </row>
    <row r="20" spans="1:78" x14ac:dyDescent="0.3">
      <c r="Q20" s="49">
        <v>13</v>
      </c>
      <c r="R20" s="217">
        <f t="shared" si="0"/>
        <v>0.65</v>
      </c>
      <c r="S20" s="213">
        <f t="shared" si="1"/>
        <v>15</v>
      </c>
      <c r="T20" s="218">
        <f t="shared" si="2"/>
        <v>4.3333333333333335E-2</v>
      </c>
      <c r="U20" s="217">
        <f t="shared" si="3"/>
        <v>1</v>
      </c>
      <c r="V20" s="213">
        <f t="shared" si="4"/>
        <v>0.161245154965971</v>
      </c>
      <c r="W20" s="213">
        <f t="shared" si="5"/>
        <v>1.2899612397277681E-2</v>
      </c>
      <c r="X20" s="213">
        <f t="shared" si="23"/>
        <v>0.82585523263675131</v>
      </c>
      <c r="Y20" s="217">
        <f t="shared" si="24"/>
        <v>0.26874192494328497</v>
      </c>
      <c r="Z20" s="213">
        <f t="shared" si="6"/>
        <v>0.53748384988657005</v>
      </c>
      <c r="AA20" s="213">
        <f t="shared" si="25"/>
        <v>0.53748384988656994</v>
      </c>
      <c r="AB20" s="218">
        <f t="shared" si="7"/>
        <v>0.12460863220076429</v>
      </c>
      <c r="AC20" s="217">
        <v>0</v>
      </c>
      <c r="AD20" s="213">
        <f t="shared" si="26"/>
        <v>1.7856407901787157E-2</v>
      </c>
      <c r="AE20" s="218">
        <f t="shared" si="27"/>
        <v>1.7856407901787157E-2</v>
      </c>
      <c r="AF20" s="58">
        <f t="shared" si="8"/>
        <v>1.3000000000000001E-2</v>
      </c>
      <c r="AG20" s="61">
        <f t="shared" si="9"/>
        <v>1.3000000000000001E-2</v>
      </c>
      <c r="AH20" s="58">
        <f t="shared" si="10"/>
        <v>1.0869117853261746E-3</v>
      </c>
      <c r="AI20" s="49">
        <f t="shared" si="11"/>
        <v>3.1932825327788336E-3</v>
      </c>
      <c r="AJ20" s="61">
        <f t="shared" si="45"/>
        <v>4.2801943181050087E-3</v>
      </c>
      <c r="AK20" s="217">
        <f t="shared" si="12"/>
        <v>0.65</v>
      </c>
      <c r="AL20" s="213">
        <f t="shared" si="13"/>
        <v>1500</v>
      </c>
      <c r="AM20" s="218">
        <f t="shared" si="28"/>
        <v>4.3333333333333337E-4</v>
      </c>
      <c r="AN20" s="217">
        <f t="shared" si="29"/>
        <v>2</v>
      </c>
      <c r="AO20" s="213">
        <f t="shared" si="30"/>
        <v>1.2899612397277681E-2</v>
      </c>
      <c r="AP20" s="213">
        <f t="shared" si="31"/>
        <v>3.3592740617910621E-2</v>
      </c>
      <c r="AQ20" s="213">
        <f t="shared" si="32"/>
        <v>6.7185481235821257E-2</v>
      </c>
      <c r="AR20" s="213">
        <f t="shared" si="46"/>
        <v>6.7185481235821243E-2</v>
      </c>
      <c r="AS20" s="218">
        <f t="shared" si="47"/>
        <v>4.4055804411770412E-3</v>
      </c>
      <c r="AT20" s="217"/>
      <c r="AU20" s="213">
        <f t="shared" si="33"/>
        <v>5.0700000000000006E-6</v>
      </c>
      <c r="AV20" s="218">
        <f t="shared" si="48"/>
        <v>5.0700000000000006E-6</v>
      </c>
      <c r="AW20" s="217">
        <f t="shared" si="34"/>
        <v>0</v>
      </c>
      <c r="AX20" s="213">
        <f t="shared" si="35"/>
        <v>4.9833333333333338E-4</v>
      </c>
      <c r="AY20" s="218">
        <f t="shared" si="49"/>
        <v>4.9833333333333338E-4</v>
      </c>
      <c r="AZ20" s="217">
        <f t="shared" si="14"/>
        <v>0</v>
      </c>
      <c r="BA20" s="213">
        <f t="shared" si="15"/>
        <v>0</v>
      </c>
      <c r="BB20" s="213">
        <f t="shared" si="50"/>
        <v>0</v>
      </c>
      <c r="BC20" s="61">
        <f t="shared" si="36"/>
        <v>0</v>
      </c>
      <c r="BD20" s="58">
        <v>0</v>
      </c>
      <c r="BE20" s="49">
        <f t="shared" si="51"/>
        <v>0</v>
      </c>
      <c r="BF20" s="61">
        <f t="shared" si="52"/>
        <v>0</v>
      </c>
      <c r="BG20" s="58">
        <f t="shared" si="37"/>
        <v>0</v>
      </c>
      <c r="BH20" s="49">
        <f t="shared" si="38"/>
        <v>0</v>
      </c>
      <c r="BI20" s="61">
        <f t="shared" si="39"/>
        <v>0</v>
      </c>
      <c r="BK20" s="217">
        <f t="shared" si="17"/>
        <v>0</v>
      </c>
      <c r="BL20" s="213">
        <f t="shared" si="18"/>
        <v>0</v>
      </c>
      <c r="BM20" s="213">
        <f t="shared" si="19"/>
        <v>0</v>
      </c>
      <c r="BN20" s="61">
        <f t="shared" si="40"/>
        <v>0</v>
      </c>
      <c r="BO20" s="58">
        <v>0</v>
      </c>
      <c r="BP20" s="49">
        <f t="shared" si="41"/>
        <v>0</v>
      </c>
      <c r="BQ20" s="61">
        <f t="shared" si="53"/>
        <v>0</v>
      </c>
      <c r="BR20" s="58">
        <f t="shared" si="42"/>
        <v>0</v>
      </c>
      <c r="BS20" s="49">
        <f t="shared" si="54"/>
        <v>0</v>
      </c>
      <c r="BT20" s="61">
        <f t="shared" si="55"/>
        <v>0</v>
      </c>
      <c r="BU20" s="58">
        <f t="shared" si="20"/>
        <v>6.2109244875781407E-5</v>
      </c>
      <c r="BV20" s="49">
        <f t="shared" si="21"/>
        <v>3.6450000000000007E-3</v>
      </c>
      <c r="BW20" s="61">
        <f t="shared" si="22"/>
        <v>6.7499999999999999E-3</v>
      </c>
      <c r="BX20" s="49">
        <f t="shared" si="56"/>
        <v>3.0856407901787158E-2</v>
      </c>
      <c r="BY20" s="49">
        <f t="shared" si="43"/>
        <v>5.9097114798101286E-2</v>
      </c>
      <c r="BZ20" s="49">
        <f t="shared" si="44"/>
        <v>91.665864440172228</v>
      </c>
    </row>
    <row r="21" spans="1:78" x14ac:dyDescent="0.3">
      <c r="Q21" s="49">
        <v>14</v>
      </c>
      <c r="R21" s="217">
        <f t="shared" si="0"/>
        <v>0.70000000000000007</v>
      </c>
      <c r="S21" s="213">
        <f t="shared" si="1"/>
        <v>15</v>
      </c>
      <c r="T21" s="218">
        <f t="shared" si="2"/>
        <v>4.6666666666666669E-2</v>
      </c>
      <c r="U21" s="217">
        <f t="shared" si="3"/>
        <v>1</v>
      </c>
      <c r="V21" s="213">
        <f t="shared" si="4"/>
        <v>0.16733200530681511</v>
      </c>
      <c r="W21" s="213">
        <f t="shared" si="5"/>
        <v>1.3386560424545208E-2</v>
      </c>
      <c r="X21" s="213">
        <f t="shared" si="23"/>
        <v>0.81928143426863964</v>
      </c>
      <c r="Y21" s="217">
        <f t="shared" si="24"/>
        <v>0.27888667551135854</v>
      </c>
      <c r="Z21" s="213">
        <f t="shared" si="6"/>
        <v>0.55777335102271708</v>
      </c>
      <c r="AA21" s="213">
        <f t="shared" si="25"/>
        <v>0.55777335102271708</v>
      </c>
      <c r="AB21" s="218">
        <f t="shared" si="7"/>
        <v>0.13173059135403795</v>
      </c>
      <c r="AC21" s="217">
        <v>0</v>
      </c>
      <c r="AD21" s="213">
        <f t="shared" si="26"/>
        <v>1.9955891003257221E-2</v>
      </c>
      <c r="AE21" s="218">
        <f t="shared" si="27"/>
        <v>1.9955891003257221E-2</v>
      </c>
      <c r="AF21" s="58">
        <f t="shared" si="8"/>
        <v>1.4000000000000002E-2</v>
      </c>
      <c r="AG21" s="61">
        <f t="shared" si="9"/>
        <v>1.4000000000000002E-2</v>
      </c>
      <c r="AH21" s="58">
        <f t="shared" si="10"/>
        <v>1.2147064088939177E-3</v>
      </c>
      <c r="AI21" s="49">
        <f t="shared" si="11"/>
        <v>3.3138258934593975E-3</v>
      </c>
      <c r="AJ21" s="61">
        <f t="shared" si="45"/>
        <v>4.5285323023533152E-3</v>
      </c>
      <c r="AK21" s="217">
        <f t="shared" si="12"/>
        <v>0.70000000000000007</v>
      </c>
      <c r="AL21" s="213">
        <f t="shared" si="13"/>
        <v>1500</v>
      </c>
      <c r="AM21" s="218">
        <f t="shared" si="28"/>
        <v>4.6666666666666672E-4</v>
      </c>
      <c r="AN21" s="217">
        <f t="shared" si="29"/>
        <v>2</v>
      </c>
      <c r="AO21" s="213">
        <f t="shared" si="30"/>
        <v>1.3386560424545208E-2</v>
      </c>
      <c r="AP21" s="213">
        <f t="shared" si="31"/>
        <v>3.4860834438919817E-2</v>
      </c>
      <c r="AQ21" s="213">
        <f t="shared" si="32"/>
        <v>6.9721668877839635E-2</v>
      </c>
      <c r="AR21" s="213">
        <f t="shared" si="46"/>
        <v>6.9721668877839635E-2</v>
      </c>
      <c r="AS21" s="218">
        <f t="shared" si="47"/>
        <v>4.6573797218077105E-3</v>
      </c>
      <c r="AT21" s="217"/>
      <c r="AU21" s="213">
        <f t="shared" si="33"/>
        <v>5.8800000000000013E-6</v>
      </c>
      <c r="AV21" s="218">
        <f t="shared" si="48"/>
        <v>5.8800000000000013E-6</v>
      </c>
      <c r="AW21" s="217">
        <f t="shared" si="34"/>
        <v>0</v>
      </c>
      <c r="AX21" s="213">
        <f t="shared" si="35"/>
        <v>5.3666666666666663E-4</v>
      </c>
      <c r="AY21" s="218">
        <f t="shared" si="49"/>
        <v>5.3666666666666663E-4</v>
      </c>
      <c r="AZ21" s="217">
        <f t="shared" si="14"/>
        <v>0</v>
      </c>
      <c r="BA21" s="213">
        <f t="shared" si="15"/>
        <v>0</v>
      </c>
      <c r="BB21" s="213">
        <f t="shared" si="50"/>
        <v>0</v>
      </c>
      <c r="BC21" s="61">
        <f t="shared" si="36"/>
        <v>0</v>
      </c>
      <c r="BD21" s="58">
        <v>0</v>
      </c>
      <c r="BE21" s="49">
        <f t="shared" si="51"/>
        <v>0</v>
      </c>
      <c r="BF21" s="61">
        <f t="shared" si="52"/>
        <v>0</v>
      </c>
      <c r="BG21" s="58">
        <f t="shared" si="37"/>
        <v>0</v>
      </c>
      <c r="BH21" s="49">
        <f t="shared" si="38"/>
        <v>0</v>
      </c>
      <c r="BI21" s="61">
        <f t="shared" si="39"/>
        <v>0</v>
      </c>
      <c r="BK21" s="217">
        <f t="shared" si="17"/>
        <v>0</v>
      </c>
      <c r="BL21" s="213">
        <f t="shared" si="18"/>
        <v>0</v>
      </c>
      <c r="BM21" s="213">
        <f t="shared" si="19"/>
        <v>0</v>
      </c>
      <c r="BN21" s="61">
        <f t="shared" si="40"/>
        <v>0</v>
      </c>
      <c r="BO21" s="58">
        <v>0</v>
      </c>
      <c r="BP21" s="49">
        <f t="shared" si="41"/>
        <v>0</v>
      </c>
      <c r="BQ21" s="61">
        <f t="shared" si="53"/>
        <v>0</v>
      </c>
      <c r="BR21" s="58">
        <f t="shared" si="42"/>
        <v>0</v>
      </c>
      <c r="BS21" s="49">
        <f t="shared" si="54"/>
        <v>0</v>
      </c>
      <c r="BT21" s="61">
        <f t="shared" si="55"/>
        <v>0</v>
      </c>
      <c r="BU21" s="58">
        <f t="shared" si="20"/>
        <v>6.9411794793938146E-5</v>
      </c>
      <c r="BV21" s="49">
        <f t="shared" si="21"/>
        <v>3.6450000000000007E-3</v>
      </c>
      <c r="BW21" s="61">
        <f t="shared" si="22"/>
        <v>6.7499999999999999E-3</v>
      </c>
      <c r="BX21" s="49">
        <f t="shared" si="56"/>
        <v>3.3955891003257223E-2</v>
      </c>
      <c r="BY21" s="49">
        <f t="shared" si="43"/>
        <v>6.3491381767071142E-2</v>
      </c>
      <c r="BZ21" s="49">
        <f t="shared" si="44"/>
        <v>91.68407354905267</v>
      </c>
    </row>
    <row r="22" spans="1:78" x14ac:dyDescent="0.3">
      <c r="Q22" s="49">
        <v>15</v>
      </c>
      <c r="R22" s="217">
        <f t="shared" si="0"/>
        <v>0.75</v>
      </c>
      <c r="S22" s="213">
        <f t="shared" si="1"/>
        <v>15</v>
      </c>
      <c r="T22" s="218">
        <f t="shared" si="2"/>
        <v>0.05</v>
      </c>
      <c r="U22" s="217">
        <f t="shared" si="3"/>
        <v>1</v>
      </c>
      <c r="V22" s="213">
        <f t="shared" si="4"/>
        <v>0.1732050807568877</v>
      </c>
      <c r="W22" s="213">
        <f t="shared" si="5"/>
        <v>1.3856406460551016E-2</v>
      </c>
      <c r="X22" s="213">
        <f t="shared" si="23"/>
        <v>0.81293851278256135</v>
      </c>
      <c r="Y22" s="217">
        <f t="shared" si="24"/>
        <v>0.28867513459481292</v>
      </c>
      <c r="Z22" s="213">
        <f t="shared" si="6"/>
        <v>0.57735026918962573</v>
      </c>
      <c r="AA22" s="213">
        <f t="shared" si="25"/>
        <v>0.57735026918962573</v>
      </c>
      <c r="AB22" s="218">
        <f t="shared" si="7"/>
        <v>0.13872638167626056</v>
      </c>
      <c r="AC22" s="217">
        <v>0</v>
      </c>
      <c r="AD22" s="213">
        <f t="shared" si="26"/>
        <v>2.2131760318935653E-2</v>
      </c>
      <c r="AE22" s="218">
        <f t="shared" si="27"/>
        <v>2.2131760318935653E-2</v>
      </c>
      <c r="AF22" s="58">
        <f t="shared" si="8"/>
        <v>1.4999999999999999E-2</v>
      </c>
      <c r="AG22" s="61">
        <f t="shared" si="9"/>
        <v>1.4999999999999999E-2</v>
      </c>
      <c r="AH22" s="58">
        <f t="shared" si="10"/>
        <v>1.3471506281091266E-3</v>
      </c>
      <c r="AI22" s="49">
        <f t="shared" si="11"/>
        <v>3.430135678099854E-3</v>
      </c>
      <c r="AJ22" s="61">
        <f t="shared" si="45"/>
        <v>4.7772863062089804E-3</v>
      </c>
      <c r="AK22" s="217">
        <f t="shared" si="12"/>
        <v>0.75</v>
      </c>
      <c r="AL22" s="213">
        <f t="shared" si="13"/>
        <v>1500</v>
      </c>
      <c r="AM22" s="218">
        <f t="shared" si="28"/>
        <v>5.0000000000000001E-4</v>
      </c>
      <c r="AN22" s="217">
        <f t="shared" si="29"/>
        <v>2</v>
      </c>
      <c r="AO22" s="213">
        <f t="shared" si="30"/>
        <v>1.3856406460551017E-2</v>
      </c>
      <c r="AP22" s="213">
        <f t="shared" si="31"/>
        <v>3.6084391824351615E-2</v>
      </c>
      <c r="AQ22" s="213">
        <f t="shared" si="32"/>
        <v>7.2168783648703216E-2</v>
      </c>
      <c r="AR22" s="213">
        <f t="shared" si="46"/>
        <v>7.2168783648703216E-2</v>
      </c>
      <c r="AS22" s="218">
        <f t="shared" si="47"/>
        <v>4.9047182606378531E-3</v>
      </c>
      <c r="AT22" s="217"/>
      <c r="AU22" s="213">
        <f t="shared" si="33"/>
        <v>6.7499999999999997E-6</v>
      </c>
      <c r="AV22" s="218">
        <f t="shared" si="48"/>
        <v>6.7499999999999997E-6</v>
      </c>
      <c r="AW22" s="217">
        <f t="shared" si="34"/>
        <v>0</v>
      </c>
      <c r="AX22" s="213">
        <f t="shared" si="35"/>
        <v>5.7499999999999999E-4</v>
      </c>
      <c r="AY22" s="218">
        <f t="shared" si="49"/>
        <v>5.7499999999999999E-4</v>
      </c>
      <c r="AZ22" s="217">
        <f t="shared" si="14"/>
        <v>0</v>
      </c>
      <c r="BA22" s="213">
        <f t="shared" si="15"/>
        <v>0</v>
      </c>
      <c r="BB22" s="213">
        <f t="shared" si="50"/>
        <v>0</v>
      </c>
      <c r="BC22" s="61">
        <f t="shared" si="36"/>
        <v>0</v>
      </c>
      <c r="BD22" s="58">
        <v>0</v>
      </c>
      <c r="BE22" s="49">
        <f t="shared" si="51"/>
        <v>0</v>
      </c>
      <c r="BF22" s="61">
        <f t="shared" si="52"/>
        <v>0</v>
      </c>
      <c r="BG22" s="58">
        <f t="shared" si="37"/>
        <v>0</v>
      </c>
      <c r="BH22" s="49">
        <f t="shared" si="38"/>
        <v>0</v>
      </c>
      <c r="BI22" s="61">
        <f t="shared" si="39"/>
        <v>0</v>
      </c>
      <c r="BK22" s="217">
        <f t="shared" si="17"/>
        <v>0</v>
      </c>
      <c r="BL22" s="213">
        <f t="shared" si="18"/>
        <v>0</v>
      </c>
      <c r="BM22" s="213">
        <f t="shared" si="19"/>
        <v>0</v>
      </c>
      <c r="BN22" s="61">
        <f t="shared" si="40"/>
        <v>0</v>
      </c>
      <c r="BO22" s="58">
        <v>0</v>
      </c>
      <c r="BP22" s="49">
        <f t="shared" si="41"/>
        <v>0</v>
      </c>
      <c r="BQ22" s="61">
        <f t="shared" si="53"/>
        <v>0</v>
      </c>
      <c r="BR22" s="58">
        <f t="shared" si="42"/>
        <v>0</v>
      </c>
      <c r="BS22" s="49">
        <f t="shared" si="54"/>
        <v>0</v>
      </c>
      <c r="BT22" s="61">
        <f t="shared" si="55"/>
        <v>0</v>
      </c>
      <c r="BU22" s="58">
        <f t="shared" si="20"/>
        <v>7.6980035891950082E-5</v>
      </c>
      <c r="BV22" s="49">
        <f t="shared" si="21"/>
        <v>3.6450000000000007E-3</v>
      </c>
      <c r="BW22" s="61">
        <f t="shared" si="22"/>
        <v>6.7499999999999999E-3</v>
      </c>
      <c r="BX22" s="49">
        <f t="shared" si="56"/>
        <v>3.7131760318935655E-2</v>
      </c>
      <c r="BY22" s="49">
        <f t="shared" si="43"/>
        <v>6.7962776661036589E-2</v>
      </c>
      <c r="BZ22" s="49">
        <f t="shared" si="44"/>
        <v>91.691214001392112</v>
      </c>
    </row>
    <row r="23" spans="1:78" x14ac:dyDescent="0.3">
      <c r="Q23" s="49">
        <v>16</v>
      </c>
      <c r="R23" s="217">
        <f t="shared" si="0"/>
        <v>0.8</v>
      </c>
      <c r="S23" s="213">
        <f t="shared" si="1"/>
        <v>15</v>
      </c>
      <c r="T23" s="218">
        <f t="shared" si="2"/>
        <v>5.3333333333333337E-2</v>
      </c>
      <c r="U23" s="217">
        <f t="shared" si="3"/>
        <v>1</v>
      </c>
      <c r="V23" s="213">
        <f t="shared" si="4"/>
        <v>0.17888543819998318</v>
      </c>
      <c r="W23" s="213">
        <f t="shared" si="5"/>
        <v>1.4310835055998655E-2</v>
      </c>
      <c r="X23" s="213">
        <f t="shared" si="23"/>
        <v>0.80680372674401823</v>
      </c>
      <c r="Y23" s="217">
        <f t="shared" si="24"/>
        <v>0.29814239699997197</v>
      </c>
      <c r="Z23" s="213">
        <f t="shared" si="6"/>
        <v>0.59628479399994394</v>
      </c>
      <c r="AA23" s="213">
        <f t="shared" si="25"/>
        <v>0.59628479399994394</v>
      </c>
      <c r="AB23" s="218">
        <f t="shared" si="7"/>
        <v>0.14560644601115022</v>
      </c>
      <c r="AC23" s="217">
        <v>0</v>
      </c>
      <c r="AD23" s="213">
        <f t="shared" si="26"/>
        <v>2.4381422687997707E-2</v>
      </c>
      <c r="AE23" s="218">
        <f t="shared" si="27"/>
        <v>2.4381422687997707E-2</v>
      </c>
      <c r="AF23" s="58">
        <f t="shared" si="8"/>
        <v>1.6E-2</v>
      </c>
      <c r="AG23" s="61">
        <f t="shared" si="9"/>
        <v>1.6E-2</v>
      </c>
      <c r="AH23" s="58">
        <f t="shared" si="10"/>
        <v>1.4840865983998604E-3</v>
      </c>
      <c r="AI23" s="49">
        <f t="shared" si="11"/>
        <v>3.542628895070031E-3</v>
      </c>
      <c r="AJ23" s="61">
        <f t="shared" si="45"/>
        <v>5.026715493469891E-3</v>
      </c>
      <c r="AK23" s="217">
        <f t="shared" si="12"/>
        <v>0.8</v>
      </c>
      <c r="AL23" s="213">
        <f t="shared" si="13"/>
        <v>1500</v>
      </c>
      <c r="AM23" s="218">
        <f t="shared" si="28"/>
        <v>5.3333333333333336E-4</v>
      </c>
      <c r="AN23" s="217">
        <f t="shared" si="29"/>
        <v>2</v>
      </c>
      <c r="AO23" s="213">
        <f t="shared" si="30"/>
        <v>1.4310835055998655E-2</v>
      </c>
      <c r="AP23" s="213">
        <f t="shared" si="31"/>
        <v>3.7267799624996496E-2</v>
      </c>
      <c r="AQ23" s="213">
        <f t="shared" si="32"/>
        <v>7.4535599249992993E-2</v>
      </c>
      <c r="AR23" s="213">
        <f t="shared" si="46"/>
        <v>7.4535599249992993E-2</v>
      </c>
      <c r="AS23" s="218">
        <f t="shared" si="47"/>
        <v>5.1479652679478627E-3</v>
      </c>
      <c r="AT23" s="217"/>
      <c r="AU23" s="213">
        <f t="shared" si="33"/>
        <v>7.680000000000001E-6</v>
      </c>
      <c r="AV23" s="218">
        <f t="shared" si="48"/>
        <v>7.680000000000001E-6</v>
      </c>
      <c r="AW23" s="217">
        <f t="shared" si="34"/>
        <v>0</v>
      </c>
      <c r="AX23" s="213">
        <f t="shared" si="35"/>
        <v>6.1333333333333335E-4</v>
      </c>
      <c r="AY23" s="218">
        <f t="shared" si="49"/>
        <v>6.1333333333333335E-4</v>
      </c>
      <c r="AZ23" s="217">
        <f t="shared" si="14"/>
        <v>0</v>
      </c>
      <c r="BA23" s="213">
        <f t="shared" si="15"/>
        <v>0</v>
      </c>
      <c r="BB23" s="213">
        <f t="shared" si="50"/>
        <v>0</v>
      </c>
      <c r="BC23" s="61">
        <f t="shared" si="36"/>
        <v>0</v>
      </c>
      <c r="BD23" s="58">
        <v>0</v>
      </c>
      <c r="BE23" s="49">
        <f t="shared" si="51"/>
        <v>0</v>
      </c>
      <c r="BF23" s="61">
        <f t="shared" si="52"/>
        <v>0</v>
      </c>
      <c r="BG23" s="58">
        <f t="shared" si="37"/>
        <v>0</v>
      </c>
      <c r="BH23" s="49">
        <f t="shared" si="38"/>
        <v>0</v>
      </c>
      <c r="BI23" s="61">
        <f t="shared" si="39"/>
        <v>0</v>
      </c>
      <c r="BK23" s="217">
        <f t="shared" si="17"/>
        <v>0</v>
      </c>
      <c r="BL23" s="213">
        <f t="shared" si="18"/>
        <v>0</v>
      </c>
      <c r="BM23" s="213">
        <f t="shared" si="19"/>
        <v>0</v>
      </c>
      <c r="BN23" s="61">
        <f t="shared" si="40"/>
        <v>0</v>
      </c>
      <c r="BO23" s="58">
        <v>0</v>
      </c>
      <c r="BP23" s="49">
        <f t="shared" si="41"/>
        <v>0</v>
      </c>
      <c r="BQ23" s="61">
        <f t="shared" si="53"/>
        <v>0</v>
      </c>
      <c r="BR23" s="58">
        <f t="shared" si="42"/>
        <v>0</v>
      </c>
      <c r="BS23" s="49">
        <f t="shared" si="54"/>
        <v>0</v>
      </c>
      <c r="BT23" s="61">
        <f t="shared" si="55"/>
        <v>0</v>
      </c>
      <c r="BU23" s="58">
        <f t="shared" si="20"/>
        <v>8.4804948479992012E-5</v>
      </c>
      <c r="BV23" s="49">
        <f t="shared" si="21"/>
        <v>3.6450000000000007E-3</v>
      </c>
      <c r="BW23" s="61">
        <f t="shared" si="22"/>
        <v>6.7499999999999999E-3</v>
      </c>
      <c r="BX23" s="49">
        <f t="shared" si="56"/>
        <v>4.0381422687997708E-2</v>
      </c>
      <c r="BY23" s="49">
        <f t="shared" si="43"/>
        <v>7.2508956463280927E-2</v>
      </c>
      <c r="BZ23" s="49">
        <f t="shared" si="44"/>
        <v>91.689603192476525</v>
      </c>
    </row>
    <row r="24" spans="1:78" x14ac:dyDescent="0.3">
      <c r="Q24" s="49">
        <v>17</v>
      </c>
      <c r="R24" s="217">
        <f t="shared" si="0"/>
        <v>0.85000000000000009</v>
      </c>
      <c r="S24" s="213">
        <f t="shared" si="1"/>
        <v>15</v>
      </c>
      <c r="T24" s="218">
        <f t="shared" si="2"/>
        <v>5.6666666666666671E-2</v>
      </c>
      <c r="U24" s="217">
        <f t="shared" si="3"/>
        <v>1</v>
      </c>
      <c r="V24" s="213">
        <f t="shared" si="4"/>
        <v>0.18439088914585774</v>
      </c>
      <c r="W24" s="213">
        <f t="shared" si="5"/>
        <v>1.4751271131668619E-2</v>
      </c>
      <c r="X24" s="213">
        <f t="shared" si="23"/>
        <v>0.8008578397224736</v>
      </c>
      <c r="Y24" s="217">
        <f t="shared" si="24"/>
        <v>0.30731814857642964</v>
      </c>
      <c r="Z24" s="213">
        <f t="shared" si="6"/>
        <v>0.61463629715285917</v>
      </c>
      <c r="AA24" s="213">
        <f t="shared" si="25"/>
        <v>0.61463629715285917</v>
      </c>
      <c r="AB24" s="218">
        <f t="shared" si="7"/>
        <v>0.15237976718710691</v>
      </c>
      <c r="AC24" s="217">
        <v>0</v>
      </c>
      <c r="AD24" s="213">
        <f t="shared" si="26"/>
        <v>2.6702532465196441E-2</v>
      </c>
      <c r="AE24" s="218">
        <f t="shared" si="27"/>
        <v>2.6702532465196441E-2</v>
      </c>
      <c r="AF24" s="58">
        <f t="shared" si="8"/>
        <v>1.7000000000000001E-2</v>
      </c>
      <c r="AG24" s="61">
        <f t="shared" si="9"/>
        <v>1.7000000000000001E-2</v>
      </c>
      <c r="AH24" s="58">
        <f t="shared" si="10"/>
        <v>1.6253715413597834E-3</v>
      </c>
      <c r="AI24" s="49">
        <f t="shared" si="11"/>
        <v>3.6516582816847314E-3</v>
      </c>
      <c r="AJ24" s="61">
        <f t="shared" si="45"/>
        <v>5.2770298230445153E-3</v>
      </c>
      <c r="AK24" s="217">
        <f t="shared" si="12"/>
        <v>0.85000000000000009</v>
      </c>
      <c r="AL24" s="213">
        <f t="shared" si="13"/>
        <v>1500</v>
      </c>
      <c r="AM24" s="218">
        <f t="shared" si="28"/>
        <v>5.6666666666666671E-4</v>
      </c>
      <c r="AN24" s="217">
        <f t="shared" si="29"/>
        <v>2</v>
      </c>
      <c r="AO24" s="213">
        <f t="shared" si="30"/>
        <v>1.4751271131668619E-2</v>
      </c>
      <c r="AP24" s="213">
        <f t="shared" si="31"/>
        <v>3.8414768572053705E-2</v>
      </c>
      <c r="AQ24" s="213">
        <f t="shared" si="32"/>
        <v>7.6829537144107396E-2</v>
      </c>
      <c r="AR24" s="213">
        <f t="shared" si="46"/>
        <v>7.6829537144107396E-2</v>
      </c>
      <c r="AS24" s="218">
        <f t="shared" si="47"/>
        <v>5.3874383346815312E-3</v>
      </c>
      <c r="AT24" s="217"/>
      <c r="AU24" s="213">
        <f t="shared" si="33"/>
        <v>8.67E-6</v>
      </c>
      <c r="AV24" s="218">
        <f t="shared" si="48"/>
        <v>8.67E-6</v>
      </c>
      <c r="AW24" s="217">
        <f t="shared" si="34"/>
        <v>0</v>
      </c>
      <c r="AX24" s="213">
        <f t="shared" si="35"/>
        <v>6.5166666666666671E-4</v>
      </c>
      <c r="AY24" s="218">
        <f t="shared" si="49"/>
        <v>6.5166666666666671E-4</v>
      </c>
      <c r="AZ24" s="217">
        <f t="shared" si="14"/>
        <v>0</v>
      </c>
      <c r="BA24" s="213">
        <f t="shared" si="15"/>
        <v>0</v>
      </c>
      <c r="BB24" s="213">
        <f t="shared" si="50"/>
        <v>0</v>
      </c>
      <c r="BC24" s="61">
        <f t="shared" si="36"/>
        <v>0</v>
      </c>
      <c r="BD24" s="58">
        <v>0</v>
      </c>
      <c r="BE24" s="49">
        <f t="shared" si="51"/>
        <v>0</v>
      </c>
      <c r="BF24" s="61">
        <f t="shared" si="52"/>
        <v>0</v>
      </c>
      <c r="BG24" s="58">
        <f t="shared" si="37"/>
        <v>0</v>
      </c>
      <c r="BH24" s="49">
        <f t="shared" si="38"/>
        <v>0</v>
      </c>
      <c r="BI24" s="61">
        <f t="shared" si="39"/>
        <v>0</v>
      </c>
      <c r="BK24" s="217">
        <f t="shared" si="17"/>
        <v>0</v>
      </c>
      <c r="BL24" s="213">
        <f t="shared" si="18"/>
        <v>0</v>
      </c>
      <c r="BM24" s="213">
        <f t="shared" si="19"/>
        <v>0</v>
      </c>
      <c r="BN24" s="61">
        <f t="shared" si="40"/>
        <v>0</v>
      </c>
      <c r="BO24" s="58">
        <v>0</v>
      </c>
      <c r="BP24" s="49">
        <f t="shared" si="41"/>
        <v>0</v>
      </c>
      <c r="BQ24" s="61">
        <f t="shared" si="53"/>
        <v>0</v>
      </c>
      <c r="BR24" s="58">
        <f t="shared" si="42"/>
        <v>0</v>
      </c>
      <c r="BS24" s="49">
        <f t="shared" si="54"/>
        <v>0</v>
      </c>
      <c r="BT24" s="61">
        <f t="shared" si="55"/>
        <v>0</v>
      </c>
      <c r="BU24" s="58">
        <f t="shared" si="20"/>
        <v>9.2878373791987611E-5</v>
      </c>
      <c r="BV24" s="49">
        <f t="shared" si="21"/>
        <v>3.6450000000000007E-3</v>
      </c>
      <c r="BW24" s="61">
        <f t="shared" si="22"/>
        <v>6.7499999999999999E-3</v>
      </c>
      <c r="BX24" s="49">
        <f t="shared" si="56"/>
        <v>4.3702532465196439E-2</v>
      </c>
      <c r="BY24" s="49">
        <f t="shared" si="43"/>
        <v>7.7127777328699618E-2</v>
      </c>
      <c r="BZ24" s="49">
        <f t="shared" si="44"/>
        <v>91.680998108920321</v>
      </c>
    </row>
    <row r="25" spans="1:78" s="215" customFormat="1" x14ac:dyDescent="0.3">
      <c r="Q25" s="215">
        <v>18</v>
      </c>
      <c r="R25" s="217">
        <f t="shared" si="0"/>
        <v>0.9</v>
      </c>
      <c r="S25" s="213">
        <f t="shared" si="1"/>
        <v>15</v>
      </c>
      <c r="T25" s="218">
        <f t="shared" si="2"/>
        <v>6.0000000000000005E-2</v>
      </c>
      <c r="U25" s="217">
        <f t="shared" si="3"/>
        <v>1</v>
      </c>
      <c r="V25" s="213">
        <f t="shared" si="4"/>
        <v>0.18973665961010275</v>
      </c>
      <c r="W25" s="213">
        <f t="shared" si="5"/>
        <v>1.5178932768808219E-2</v>
      </c>
      <c r="X25" s="213">
        <f t="shared" si="23"/>
        <v>0.79508440762108901</v>
      </c>
      <c r="Y25" s="217">
        <f t="shared" si="24"/>
        <v>0.316227766016838</v>
      </c>
      <c r="Z25" s="213">
        <f t="shared" si="6"/>
        <v>0.63245553203367577</v>
      </c>
      <c r="AA25" s="213">
        <f t="shared" si="25"/>
        <v>0.63245553203367588</v>
      </c>
      <c r="AB25" s="218">
        <f t="shared" si="7"/>
        <v>0.15905414575341012</v>
      </c>
      <c r="AC25" s="217">
        <v>0</v>
      </c>
      <c r="AD25" s="213">
        <f t="shared" si="26"/>
        <v>2.909295447354909E-2</v>
      </c>
      <c r="AE25" s="218">
        <f t="shared" si="27"/>
        <v>2.909295447354909E-2</v>
      </c>
      <c r="AF25" s="58">
        <f t="shared" si="8"/>
        <v>1.8000000000000002E-2</v>
      </c>
      <c r="AG25" s="61">
        <f t="shared" si="9"/>
        <v>1.8000000000000002E-2</v>
      </c>
      <c r="AH25" s="58">
        <f t="shared" si="10"/>
        <v>1.7708754896942924E-3</v>
      </c>
      <c r="AI25" s="49">
        <f t="shared" si="11"/>
        <v>3.7575253723971386E-3</v>
      </c>
      <c r="AJ25" s="223">
        <f t="shared" si="45"/>
        <v>5.5284008620914305E-3</v>
      </c>
      <c r="AK25" s="217">
        <f t="shared" si="12"/>
        <v>0.9</v>
      </c>
      <c r="AL25" s="213">
        <f t="shared" si="13"/>
        <v>1500</v>
      </c>
      <c r="AM25" s="218">
        <f t="shared" si="28"/>
        <v>6.0000000000000006E-4</v>
      </c>
      <c r="AN25" s="217">
        <f t="shared" si="29"/>
        <v>2</v>
      </c>
      <c r="AO25" s="213">
        <f t="shared" si="30"/>
        <v>1.5178932768808219E-2</v>
      </c>
      <c r="AP25" s="213">
        <f t="shared" si="31"/>
        <v>3.952847075210475E-2</v>
      </c>
      <c r="AQ25" s="213">
        <f t="shared" si="32"/>
        <v>7.9056941504209471E-2</v>
      </c>
      <c r="AR25" s="213">
        <f t="shared" si="46"/>
        <v>7.9056941504209485E-2</v>
      </c>
      <c r="AS25" s="218">
        <f t="shared" si="47"/>
        <v>5.623413251903491E-3</v>
      </c>
      <c r="AT25" s="217"/>
      <c r="AU25" s="213">
        <f t="shared" si="33"/>
        <v>9.7200000000000018E-6</v>
      </c>
      <c r="AV25" s="218">
        <f t="shared" si="48"/>
        <v>9.7200000000000018E-6</v>
      </c>
      <c r="AW25" s="217">
        <f t="shared" si="34"/>
        <v>0</v>
      </c>
      <c r="AX25" s="213">
        <f t="shared" si="35"/>
        <v>6.8999999999999997E-4</v>
      </c>
      <c r="AY25" s="218">
        <f t="shared" si="49"/>
        <v>6.8999999999999997E-4</v>
      </c>
      <c r="AZ25" s="217">
        <f t="shared" si="14"/>
        <v>0</v>
      </c>
      <c r="BA25" s="213">
        <f t="shared" si="15"/>
        <v>0</v>
      </c>
      <c r="BB25" s="213">
        <f t="shared" si="50"/>
        <v>0</v>
      </c>
      <c r="BC25" s="61">
        <f t="shared" si="36"/>
        <v>0</v>
      </c>
      <c r="BD25" s="58">
        <v>0</v>
      </c>
      <c r="BE25" s="49">
        <f t="shared" si="51"/>
        <v>0</v>
      </c>
      <c r="BF25" s="61">
        <f t="shared" si="52"/>
        <v>0</v>
      </c>
      <c r="BG25" s="58">
        <f t="shared" si="37"/>
        <v>0</v>
      </c>
      <c r="BH25" s="49">
        <f t="shared" si="38"/>
        <v>0</v>
      </c>
      <c r="BI25" s="61">
        <f t="shared" si="39"/>
        <v>0</v>
      </c>
      <c r="BJ25" s="49"/>
      <c r="BK25" s="217">
        <f t="shared" si="17"/>
        <v>0</v>
      </c>
      <c r="BL25" s="213">
        <f t="shared" si="18"/>
        <v>0</v>
      </c>
      <c r="BM25" s="213">
        <f t="shared" si="19"/>
        <v>0</v>
      </c>
      <c r="BN25" s="61">
        <f t="shared" si="40"/>
        <v>0</v>
      </c>
      <c r="BO25" s="58">
        <v>0</v>
      </c>
      <c r="BP25" s="49">
        <f t="shared" si="41"/>
        <v>0</v>
      </c>
      <c r="BQ25" s="61">
        <f t="shared" si="53"/>
        <v>0</v>
      </c>
      <c r="BR25" s="58">
        <f t="shared" si="42"/>
        <v>0</v>
      </c>
      <c r="BS25" s="49">
        <f t="shared" si="54"/>
        <v>0</v>
      </c>
      <c r="BT25" s="61">
        <f t="shared" si="55"/>
        <v>0</v>
      </c>
      <c r="BU25" s="58">
        <f t="shared" si="20"/>
        <v>1.0119288512538813E-4</v>
      </c>
      <c r="BV25" s="49">
        <f t="shared" si="21"/>
        <v>3.6450000000000007E-3</v>
      </c>
      <c r="BW25" s="61">
        <f t="shared" si="22"/>
        <v>6.7499999999999999E-3</v>
      </c>
      <c r="BX25" s="49">
        <f t="shared" si="56"/>
        <v>4.7092954473549095E-2</v>
      </c>
      <c r="BY25" s="49">
        <f t="shared" si="43"/>
        <v>8.1817268220765918E-2</v>
      </c>
      <c r="BZ25" s="49">
        <f t="shared" si="44"/>
        <v>91.666751964035626</v>
      </c>
    </row>
    <row r="26" spans="1:78" x14ac:dyDescent="0.3">
      <c r="Q26" s="49">
        <v>19</v>
      </c>
      <c r="R26" s="217">
        <f t="shared" si="0"/>
        <v>0.95000000000000007</v>
      </c>
      <c r="S26" s="213">
        <f t="shared" si="1"/>
        <v>15</v>
      </c>
      <c r="T26" s="218">
        <f t="shared" si="2"/>
        <v>6.3333333333333339E-2</v>
      </c>
      <c r="U26" s="217">
        <f t="shared" si="3"/>
        <v>1</v>
      </c>
      <c r="V26" s="213">
        <f t="shared" si="4"/>
        <v>0.1949358868961793</v>
      </c>
      <c r="W26" s="213">
        <f t="shared" si="5"/>
        <v>1.5594870951694345E-2</v>
      </c>
      <c r="X26" s="213">
        <f t="shared" si="23"/>
        <v>0.78946924215212644</v>
      </c>
      <c r="Y26" s="217">
        <f t="shared" si="24"/>
        <v>0.32489314482696546</v>
      </c>
      <c r="Z26" s="213">
        <f t="shared" si="6"/>
        <v>0.64978628965393104</v>
      </c>
      <c r="AA26" s="213">
        <f t="shared" si="25"/>
        <v>0.64978628965393104</v>
      </c>
      <c r="AB26" s="218">
        <f t="shared" si="7"/>
        <v>0.16563641241804755</v>
      </c>
      <c r="AC26" s="217">
        <v>0</v>
      </c>
      <c r="AD26" s="213">
        <f t="shared" si="26"/>
        <v>3.1550734286529769E-2</v>
      </c>
      <c r="AE26" s="218">
        <f t="shared" si="27"/>
        <v>3.1550734286529769E-2</v>
      </c>
      <c r="AF26" s="58">
        <f t="shared" si="8"/>
        <v>1.9000000000000003E-2</v>
      </c>
      <c r="AG26" s="61">
        <f t="shared" si="9"/>
        <v>1.9000000000000003E-2</v>
      </c>
      <c r="AH26" s="58">
        <f t="shared" si="10"/>
        <v>1.9204794783105078E-3</v>
      </c>
      <c r="AI26" s="49">
        <f t="shared" si="11"/>
        <v>3.8604903370193554E-3</v>
      </c>
      <c r="AJ26" s="61">
        <f t="shared" si="45"/>
        <v>5.780969815329863E-3</v>
      </c>
      <c r="AK26" s="217">
        <f t="shared" si="12"/>
        <v>0.95000000000000007</v>
      </c>
      <c r="AL26" s="213">
        <f t="shared" si="13"/>
        <v>1500</v>
      </c>
      <c r="AM26" s="218">
        <f t="shared" si="28"/>
        <v>6.333333333333334E-4</v>
      </c>
      <c r="AN26" s="217">
        <f t="shared" si="29"/>
        <v>2</v>
      </c>
      <c r="AO26" s="213">
        <f t="shared" si="30"/>
        <v>1.5594870951694343E-2</v>
      </c>
      <c r="AP26" s="213">
        <f t="shared" si="31"/>
        <v>4.0611643103370683E-2</v>
      </c>
      <c r="AQ26" s="213">
        <f t="shared" si="32"/>
        <v>8.122328620674138E-2</v>
      </c>
      <c r="AR26" s="213">
        <f t="shared" si="46"/>
        <v>8.122328620674138E-2</v>
      </c>
      <c r="AS26" s="218">
        <f t="shared" si="47"/>
        <v>5.8561315216106562E-3</v>
      </c>
      <c r="AT26" s="217"/>
      <c r="AU26" s="213">
        <f t="shared" si="33"/>
        <v>1.0830000000000003E-5</v>
      </c>
      <c r="AV26" s="218">
        <f t="shared" si="48"/>
        <v>1.0830000000000003E-5</v>
      </c>
      <c r="AW26" s="217">
        <f t="shared" si="34"/>
        <v>0</v>
      </c>
      <c r="AX26" s="213">
        <f t="shared" si="35"/>
        <v>7.2833333333333333E-4</v>
      </c>
      <c r="AY26" s="218">
        <f t="shared" si="49"/>
        <v>7.2833333333333333E-4</v>
      </c>
      <c r="AZ26" s="217">
        <f t="shared" si="14"/>
        <v>0</v>
      </c>
      <c r="BA26" s="213">
        <f t="shared" si="15"/>
        <v>0</v>
      </c>
      <c r="BB26" s="213">
        <f t="shared" si="50"/>
        <v>0</v>
      </c>
      <c r="BC26" s="61">
        <f t="shared" si="36"/>
        <v>0</v>
      </c>
      <c r="BD26" s="58">
        <v>0</v>
      </c>
      <c r="BE26" s="49">
        <f t="shared" si="51"/>
        <v>0</v>
      </c>
      <c r="BF26" s="61">
        <f t="shared" si="52"/>
        <v>0</v>
      </c>
      <c r="BG26" s="58">
        <f t="shared" si="37"/>
        <v>0</v>
      </c>
      <c r="BH26" s="49">
        <f t="shared" si="38"/>
        <v>0</v>
      </c>
      <c r="BI26" s="61">
        <f t="shared" si="39"/>
        <v>0</v>
      </c>
      <c r="BK26" s="217">
        <f t="shared" si="17"/>
        <v>0</v>
      </c>
      <c r="BL26" s="213">
        <f t="shared" si="18"/>
        <v>0</v>
      </c>
      <c r="BM26" s="213">
        <f t="shared" si="19"/>
        <v>0</v>
      </c>
      <c r="BN26" s="61">
        <f t="shared" si="40"/>
        <v>0</v>
      </c>
      <c r="BO26" s="58">
        <v>0</v>
      </c>
      <c r="BP26" s="49">
        <f t="shared" si="41"/>
        <v>0</v>
      </c>
      <c r="BQ26" s="61">
        <f t="shared" si="53"/>
        <v>0</v>
      </c>
      <c r="BR26" s="58">
        <f t="shared" si="42"/>
        <v>0</v>
      </c>
      <c r="BS26" s="49">
        <f t="shared" si="54"/>
        <v>0</v>
      </c>
      <c r="BT26" s="61">
        <f t="shared" si="55"/>
        <v>0</v>
      </c>
      <c r="BU26" s="58">
        <f t="shared" si="20"/>
        <v>1.0974168447488616E-4</v>
      </c>
      <c r="BV26" s="49">
        <f t="shared" si="21"/>
        <v>3.6450000000000007E-3</v>
      </c>
      <c r="BW26" s="61">
        <f t="shared" si="22"/>
        <v>6.7499999999999999E-3</v>
      </c>
      <c r="BX26" s="49">
        <f t="shared" si="56"/>
        <v>5.0550734286529772E-2</v>
      </c>
      <c r="BY26" s="49">
        <f t="shared" si="43"/>
        <v>8.6575609119667857E-2</v>
      </c>
      <c r="BZ26" s="49">
        <f t="shared" si="44"/>
        <v>91.647921448470711</v>
      </c>
    </row>
    <row r="27" spans="1:78" x14ac:dyDescent="0.3">
      <c r="Q27" s="49">
        <v>20</v>
      </c>
      <c r="R27" s="217">
        <f t="shared" si="0"/>
        <v>1</v>
      </c>
      <c r="S27" s="213">
        <f t="shared" si="1"/>
        <v>15</v>
      </c>
      <c r="T27" s="218">
        <f t="shared" si="2"/>
        <v>6.6666666666666666E-2</v>
      </c>
      <c r="U27" s="217">
        <f t="shared" si="3"/>
        <v>1</v>
      </c>
      <c r="V27" s="213">
        <f t="shared" si="4"/>
        <v>0.2</v>
      </c>
      <c r="W27" s="213">
        <f t="shared" si="5"/>
        <v>1.6E-2</v>
      </c>
      <c r="X27" s="213">
        <f t="shared" si="23"/>
        <v>0.78400000000000003</v>
      </c>
      <c r="Y27" s="217">
        <f t="shared" si="24"/>
        <v>0.33333333333333331</v>
      </c>
      <c r="Z27" s="213">
        <f t="shared" si="6"/>
        <v>0.66666666666666663</v>
      </c>
      <c r="AA27" s="213">
        <f t="shared" si="25"/>
        <v>0.66666666666666663</v>
      </c>
      <c r="AB27" s="218">
        <f t="shared" si="7"/>
        <v>0.17213259316477406</v>
      </c>
      <c r="AC27" s="217">
        <v>0</v>
      </c>
      <c r="AD27" s="213">
        <f t="shared" si="26"/>
        <v>3.4074074074074069E-2</v>
      </c>
      <c r="AE27" s="218">
        <f t="shared" si="27"/>
        <v>3.4074074074074069E-2</v>
      </c>
      <c r="AF27" s="58">
        <f t="shared" si="8"/>
        <v>0.02</v>
      </c>
      <c r="AG27" s="61">
        <f t="shared" si="9"/>
        <v>0.02</v>
      </c>
      <c r="AH27" s="58">
        <f t="shared" si="10"/>
        <v>2.0740740740740737E-3</v>
      </c>
      <c r="AI27" s="49">
        <f t="shared" si="11"/>
        <v>3.9607795142157795E-3</v>
      </c>
      <c r="AJ27" s="61">
        <f t="shared" si="45"/>
        <v>6.0348535882898532E-3</v>
      </c>
      <c r="AK27" s="217">
        <f t="shared" si="12"/>
        <v>1</v>
      </c>
      <c r="AL27" s="213">
        <f t="shared" si="13"/>
        <v>1500</v>
      </c>
      <c r="AM27" s="218">
        <f t="shared" si="28"/>
        <v>6.6666666666666664E-4</v>
      </c>
      <c r="AN27" s="217">
        <f t="shared" si="29"/>
        <v>2</v>
      </c>
      <c r="AO27" s="213">
        <f t="shared" si="30"/>
        <v>1.6E-2</v>
      </c>
      <c r="AP27" s="213">
        <f t="shared" si="31"/>
        <v>4.1666666666666664E-2</v>
      </c>
      <c r="AQ27" s="213">
        <f t="shared" si="32"/>
        <v>8.3333333333333329E-2</v>
      </c>
      <c r="AR27" s="213">
        <f t="shared" si="46"/>
        <v>8.3333333333333329E-2</v>
      </c>
      <c r="AS27" s="218">
        <f t="shared" si="47"/>
        <v>6.0858061945018461E-3</v>
      </c>
      <c r="AT27" s="217"/>
      <c r="AU27" s="213">
        <f t="shared" si="33"/>
        <v>1.2E-5</v>
      </c>
      <c r="AV27" s="218">
        <f t="shared" si="48"/>
        <v>1.2E-5</v>
      </c>
      <c r="AW27" s="217">
        <f t="shared" si="34"/>
        <v>0</v>
      </c>
      <c r="AX27" s="213">
        <f t="shared" si="35"/>
        <v>7.6666666666666658E-4</v>
      </c>
      <c r="AY27" s="218">
        <f t="shared" si="49"/>
        <v>7.6666666666666658E-4</v>
      </c>
      <c r="AZ27" s="217">
        <f t="shared" si="14"/>
        <v>0</v>
      </c>
      <c r="BA27" s="213">
        <f t="shared" si="15"/>
        <v>0</v>
      </c>
      <c r="BB27" s="213">
        <f t="shared" si="50"/>
        <v>0</v>
      </c>
      <c r="BC27" s="61">
        <f t="shared" si="36"/>
        <v>0</v>
      </c>
      <c r="BD27" s="58">
        <v>0</v>
      </c>
      <c r="BE27" s="49">
        <f t="shared" si="51"/>
        <v>0</v>
      </c>
      <c r="BF27" s="61">
        <f t="shared" si="52"/>
        <v>0</v>
      </c>
      <c r="BG27" s="58">
        <f t="shared" si="37"/>
        <v>0</v>
      </c>
      <c r="BH27" s="49">
        <f t="shared" si="38"/>
        <v>0</v>
      </c>
      <c r="BI27" s="61">
        <f t="shared" si="39"/>
        <v>0</v>
      </c>
      <c r="BK27" s="217">
        <f t="shared" si="17"/>
        <v>0</v>
      </c>
      <c r="BL27" s="213">
        <f t="shared" si="18"/>
        <v>0</v>
      </c>
      <c r="BM27" s="213">
        <f t="shared" si="19"/>
        <v>0</v>
      </c>
      <c r="BN27" s="61">
        <f t="shared" si="40"/>
        <v>0</v>
      </c>
      <c r="BO27" s="58">
        <v>0</v>
      </c>
      <c r="BP27" s="49">
        <f t="shared" si="41"/>
        <v>0</v>
      </c>
      <c r="BQ27" s="61">
        <f t="shared" si="53"/>
        <v>0</v>
      </c>
      <c r="BR27" s="58">
        <f t="shared" si="42"/>
        <v>0</v>
      </c>
      <c r="BS27" s="49">
        <f t="shared" si="54"/>
        <v>0</v>
      </c>
      <c r="BT27" s="61">
        <f t="shared" si="55"/>
        <v>0</v>
      </c>
      <c r="BU27" s="58">
        <f t="shared" si="20"/>
        <v>1.1851851851851848E-4</v>
      </c>
      <c r="BV27" s="49">
        <f t="shared" si="21"/>
        <v>3.6450000000000007E-3</v>
      </c>
      <c r="BW27" s="61">
        <f t="shared" si="22"/>
        <v>6.7499999999999999E-3</v>
      </c>
      <c r="BX27" s="49">
        <f t="shared" si="56"/>
        <v>5.4074074074074066E-2</v>
      </c>
      <c r="BY27" s="49">
        <f t="shared" si="43"/>
        <v>9.1401112847549107E-2</v>
      </c>
      <c r="BZ27" s="49">
        <f t="shared" si="44"/>
        <v>91.625341794908323</v>
      </c>
    </row>
    <row r="28" spans="1:78" x14ac:dyDescent="0.3">
      <c r="Q28" s="49">
        <v>21</v>
      </c>
      <c r="R28" s="217">
        <f t="shared" si="0"/>
        <v>1.05</v>
      </c>
      <c r="S28" s="213">
        <f t="shared" si="1"/>
        <v>15</v>
      </c>
      <c r="T28" s="218">
        <f t="shared" si="2"/>
        <v>7.0000000000000007E-2</v>
      </c>
      <c r="U28" s="217">
        <f t="shared" si="3"/>
        <v>1</v>
      </c>
      <c r="V28" s="213">
        <f t="shared" si="4"/>
        <v>0.20493901531919195</v>
      </c>
      <c r="W28" s="213">
        <f t="shared" si="5"/>
        <v>1.6395121225535356E-2</v>
      </c>
      <c r="X28" s="213">
        <f t="shared" si="23"/>
        <v>0.77866586345527278</v>
      </c>
      <c r="Y28" s="217">
        <f t="shared" si="24"/>
        <v>0.34156502553198664</v>
      </c>
      <c r="Z28" s="213">
        <f t="shared" si="6"/>
        <v>0.68313005106397318</v>
      </c>
      <c r="AA28" s="213">
        <f t="shared" si="25"/>
        <v>0.68313005106397329</v>
      </c>
      <c r="AB28" s="218">
        <f t="shared" si="7"/>
        <v>0.17854803942632755</v>
      </c>
      <c r="AC28" s="217">
        <v>0</v>
      </c>
      <c r="AD28" s="213">
        <f t="shared" si="26"/>
        <v>3.666131274043323E-2</v>
      </c>
      <c r="AE28" s="218">
        <f t="shared" si="27"/>
        <v>3.666131274043323E-2</v>
      </c>
      <c r="AF28" s="58">
        <f t="shared" si="8"/>
        <v>2.1000000000000001E-2</v>
      </c>
      <c r="AG28" s="61">
        <f t="shared" si="9"/>
        <v>2.1000000000000001E-2</v>
      </c>
      <c r="AH28" s="58">
        <f t="shared" si="10"/>
        <v>2.2315581668089792E-3</v>
      </c>
      <c r="AI28" s="49">
        <f t="shared" si="11"/>
        <v>4.0585912676990472E-3</v>
      </c>
      <c r="AJ28" s="61">
        <f t="shared" si="45"/>
        <v>6.2901494345080269E-3</v>
      </c>
      <c r="AK28" s="217">
        <f t="shared" si="12"/>
        <v>1.05</v>
      </c>
      <c r="AL28" s="213">
        <f t="shared" si="13"/>
        <v>1500</v>
      </c>
      <c r="AM28" s="218">
        <f t="shared" si="28"/>
        <v>6.9999999999999999E-4</v>
      </c>
      <c r="AN28" s="217">
        <f t="shared" si="29"/>
        <v>2</v>
      </c>
      <c r="AO28" s="213">
        <f t="shared" si="30"/>
        <v>1.6395121225535356E-2</v>
      </c>
      <c r="AP28" s="213">
        <f t="shared" si="31"/>
        <v>4.269562819149833E-2</v>
      </c>
      <c r="AQ28" s="213">
        <f t="shared" si="32"/>
        <v>8.5391256382996647E-2</v>
      </c>
      <c r="AR28" s="213">
        <f t="shared" si="46"/>
        <v>8.5391256382996661E-2</v>
      </c>
      <c r="AS28" s="218">
        <f t="shared" si="47"/>
        <v>6.3126264722959628E-3</v>
      </c>
      <c r="AT28" s="217"/>
      <c r="AU28" s="213">
        <f t="shared" si="33"/>
        <v>1.3229999999999999E-5</v>
      </c>
      <c r="AV28" s="218">
        <f t="shared" si="48"/>
        <v>1.3229999999999999E-5</v>
      </c>
      <c r="AW28" s="217">
        <f t="shared" si="34"/>
        <v>0</v>
      </c>
      <c r="AX28" s="213">
        <f t="shared" si="35"/>
        <v>8.0499999999999994E-4</v>
      </c>
      <c r="AY28" s="218">
        <f t="shared" si="49"/>
        <v>8.0499999999999994E-4</v>
      </c>
      <c r="AZ28" s="217">
        <f t="shared" si="14"/>
        <v>0</v>
      </c>
      <c r="BA28" s="213">
        <f t="shared" si="15"/>
        <v>0</v>
      </c>
      <c r="BB28" s="213">
        <f t="shared" si="50"/>
        <v>0</v>
      </c>
      <c r="BC28" s="61">
        <f t="shared" si="36"/>
        <v>0</v>
      </c>
      <c r="BD28" s="58">
        <v>0</v>
      </c>
      <c r="BE28" s="49">
        <f t="shared" si="51"/>
        <v>0</v>
      </c>
      <c r="BF28" s="61">
        <f t="shared" si="52"/>
        <v>0</v>
      </c>
      <c r="BG28" s="58">
        <f t="shared" si="37"/>
        <v>0</v>
      </c>
      <c r="BH28" s="49">
        <f t="shared" si="38"/>
        <v>0</v>
      </c>
      <c r="BI28" s="61">
        <f t="shared" si="39"/>
        <v>0</v>
      </c>
      <c r="BK28" s="217">
        <f t="shared" si="17"/>
        <v>0</v>
      </c>
      <c r="BL28" s="213">
        <f t="shared" si="18"/>
        <v>0</v>
      </c>
      <c r="BM28" s="213">
        <f t="shared" si="19"/>
        <v>0</v>
      </c>
      <c r="BN28" s="61">
        <f t="shared" si="40"/>
        <v>0</v>
      </c>
      <c r="BO28" s="58">
        <v>0</v>
      </c>
      <c r="BP28" s="49">
        <f t="shared" si="41"/>
        <v>0</v>
      </c>
      <c r="BQ28" s="61">
        <f t="shared" si="53"/>
        <v>0</v>
      </c>
      <c r="BR28" s="58">
        <f t="shared" si="42"/>
        <v>0</v>
      </c>
      <c r="BS28" s="49">
        <f t="shared" si="54"/>
        <v>0</v>
      </c>
      <c r="BT28" s="61">
        <f t="shared" si="55"/>
        <v>0</v>
      </c>
      <c r="BU28" s="58">
        <f t="shared" si="20"/>
        <v>1.2751760953194166E-4</v>
      </c>
      <c r="BV28" s="49">
        <f t="shared" si="21"/>
        <v>3.6450000000000007E-3</v>
      </c>
      <c r="BW28" s="61">
        <f t="shared" si="22"/>
        <v>6.7499999999999999E-3</v>
      </c>
      <c r="BX28" s="49">
        <f t="shared" si="56"/>
        <v>5.7661312740433235E-2</v>
      </c>
      <c r="BY28" s="49">
        <f t="shared" si="43"/>
        <v>9.6292209784473212E-2</v>
      </c>
      <c r="BZ28" s="49">
        <f t="shared" si="44"/>
        <v>91.599680346551594</v>
      </c>
    </row>
    <row r="29" spans="1:78" x14ac:dyDescent="0.3">
      <c r="Q29" s="49">
        <v>22</v>
      </c>
      <c r="R29" s="217">
        <f t="shared" si="0"/>
        <v>1.1000000000000001</v>
      </c>
      <c r="S29" s="213">
        <f t="shared" si="1"/>
        <v>15</v>
      </c>
      <c r="T29" s="218">
        <f t="shared" si="2"/>
        <v>7.3333333333333334E-2</v>
      </c>
      <c r="U29" s="217">
        <f t="shared" si="3"/>
        <v>1</v>
      </c>
      <c r="V29" s="213">
        <f t="shared" si="4"/>
        <v>0.20976176963403029</v>
      </c>
      <c r="W29" s="213">
        <f t="shared" si="5"/>
        <v>1.6780941570722425E-2</v>
      </c>
      <c r="X29" s="213">
        <f t="shared" si="23"/>
        <v>0.77345728879524733</v>
      </c>
      <c r="Y29" s="217">
        <f t="shared" si="24"/>
        <v>0.34960294939005054</v>
      </c>
      <c r="Z29" s="213">
        <f t="shared" si="6"/>
        <v>0.69920589878010098</v>
      </c>
      <c r="AA29" s="213">
        <f t="shared" si="25"/>
        <v>0.69920589878010109</v>
      </c>
      <c r="AB29" s="218">
        <f t="shared" si="7"/>
        <v>0.18488753201856542</v>
      </c>
      <c r="AC29" s="217">
        <v>0</v>
      </c>
      <c r="AD29" s="213">
        <f t="shared" si="26"/>
        <v>3.9310909420303471E-2</v>
      </c>
      <c r="AE29" s="218">
        <f t="shared" si="27"/>
        <v>3.9310909420303471E-2</v>
      </c>
      <c r="AF29" s="58">
        <f t="shared" si="8"/>
        <v>2.2000000000000002E-2</v>
      </c>
      <c r="AG29" s="61">
        <f t="shared" si="9"/>
        <v>2.2000000000000002E-2</v>
      </c>
      <c r="AH29" s="58">
        <f t="shared" si="10"/>
        <v>2.3928379647141242E-3</v>
      </c>
      <c r="AI29" s="49">
        <f t="shared" si="11"/>
        <v>4.1541006001605844E-3</v>
      </c>
      <c r="AJ29" s="61">
        <f t="shared" si="45"/>
        <v>6.5469385648747082E-3</v>
      </c>
      <c r="AK29" s="217">
        <f t="shared" si="12"/>
        <v>1.1000000000000001</v>
      </c>
      <c r="AL29" s="213">
        <f t="shared" si="13"/>
        <v>1500</v>
      </c>
      <c r="AM29" s="218">
        <f t="shared" si="28"/>
        <v>7.3333333333333334E-4</v>
      </c>
      <c r="AN29" s="217">
        <f t="shared" si="29"/>
        <v>2</v>
      </c>
      <c r="AO29" s="213">
        <f t="shared" si="30"/>
        <v>1.6780941570722425E-2</v>
      </c>
      <c r="AP29" s="213">
        <f t="shared" si="31"/>
        <v>4.3700368673756318E-2</v>
      </c>
      <c r="AQ29" s="213">
        <f t="shared" si="32"/>
        <v>8.7400737347512622E-2</v>
      </c>
      <c r="AR29" s="213">
        <f t="shared" si="46"/>
        <v>8.7400737347512636E-2</v>
      </c>
      <c r="AS29" s="218">
        <f t="shared" si="47"/>
        <v>6.5367613823586277E-3</v>
      </c>
      <c r="AT29" s="217"/>
      <c r="AU29" s="213">
        <f t="shared" si="33"/>
        <v>1.452E-5</v>
      </c>
      <c r="AV29" s="218">
        <f t="shared" si="48"/>
        <v>1.452E-5</v>
      </c>
      <c r="AW29" s="217">
        <f t="shared" si="34"/>
        <v>0</v>
      </c>
      <c r="AX29" s="213">
        <f t="shared" si="35"/>
        <v>8.433333333333333E-4</v>
      </c>
      <c r="AY29" s="218">
        <f t="shared" si="49"/>
        <v>8.433333333333333E-4</v>
      </c>
      <c r="AZ29" s="217">
        <f t="shared" si="14"/>
        <v>0</v>
      </c>
      <c r="BA29" s="213">
        <f t="shared" si="15"/>
        <v>0</v>
      </c>
      <c r="BB29" s="213">
        <f t="shared" si="50"/>
        <v>0</v>
      </c>
      <c r="BC29" s="61">
        <f t="shared" si="36"/>
        <v>0</v>
      </c>
      <c r="BD29" s="58">
        <v>0</v>
      </c>
      <c r="BE29" s="49">
        <f t="shared" si="51"/>
        <v>0</v>
      </c>
      <c r="BF29" s="61">
        <f t="shared" si="52"/>
        <v>0</v>
      </c>
      <c r="BG29" s="58">
        <f t="shared" si="37"/>
        <v>0</v>
      </c>
      <c r="BH29" s="49">
        <f t="shared" si="38"/>
        <v>0</v>
      </c>
      <c r="BI29" s="61">
        <f t="shared" si="39"/>
        <v>0</v>
      </c>
      <c r="BK29" s="217">
        <f t="shared" si="17"/>
        <v>0</v>
      </c>
      <c r="BL29" s="213">
        <f t="shared" si="18"/>
        <v>0</v>
      </c>
      <c r="BM29" s="213">
        <f t="shared" si="19"/>
        <v>0</v>
      </c>
      <c r="BN29" s="61">
        <f t="shared" si="40"/>
        <v>0</v>
      </c>
      <c r="BO29" s="58">
        <v>0</v>
      </c>
      <c r="BP29" s="49">
        <f t="shared" si="41"/>
        <v>0</v>
      </c>
      <c r="BQ29" s="61">
        <f t="shared" si="53"/>
        <v>0</v>
      </c>
      <c r="BR29" s="58">
        <f t="shared" si="42"/>
        <v>0</v>
      </c>
      <c r="BS29" s="49">
        <f t="shared" si="54"/>
        <v>0</v>
      </c>
      <c r="BT29" s="61">
        <f t="shared" si="55"/>
        <v>0</v>
      </c>
      <c r="BU29" s="58">
        <f t="shared" si="20"/>
        <v>1.3673359798366423E-4</v>
      </c>
      <c r="BV29" s="49">
        <f t="shared" si="21"/>
        <v>3.6450000000000007E-3</v>
      </c>
      <c r="BW29" s="61">
        <f t="shared" si="22"/>
        <v>6.7499999999999999E-3</v>
      </c>
      <c r="BX29" s="49">
        <f t="shared" si="56"/>
        <v>6.1310909420303469E-2</v>
      </c>
      <c r="BY29" s="49">
        <f t="shared" si="43"/>
        <v>0.1012474349164952</v>
      </c>
      <c r="BZ29" s="49">
        <f t="shared" si="44"/>
        <v>91.571475453470313</v>
      </c>
    </row>
    <row r="30" spans="1:78" x14ac:dyDescent="0.3">
      <c r="Q30" s="49">
        <v>23</v>
      </c>
      <c r="R30" s="217">
        <f t="shared" si="0"/>
        <v>1.1500000000000001</v>
      </c>
      <c r="S30" s="213">
        <f t="shared" si="1"/>
        <v>15</v>
      </c>
      <c r="T30" s="218">
        <f t="shared" si="2"/>
        <v>7.6666666666666675E-2</v>
      </c>
      <c r="U30" s="217">
        <f t="shared" si="3"/>
        <v>1</v>
      </c>
      <c r="V30" s="213">
        <f t="shared" si="4"/>
        <v>0.21447610589527219</v>
      </c>
      <c r="W30" s="213">
        <f t="shared" si="5"/>
        <v>1.7158088471621775E-2</v>
      </c>
      <c r="X30" s="213">
        <f t="shared" si="23"/>
        <v>0.76836580563310597</v>
      </c>
      <c r="Y30" s="217">
        <f t="shared" si="24"/>
        <v>0.35746017649212025</v>
      </c>
      <c r="Z30" s="213">
        <f t="shared" si="6"/>
        <v>0.71492035298424073</v>
      </c>
      <c r="AA30" s="213">
        <f t="shared" si="25"/>
        <v>0.71492035298424061</v>
      </c>
      <c r="AB30" s="218">
        <f t="shared" si="7"/>
        <v>0.19115536507504124</v>
      </c>
      <c r="AC30" s="217">
        <v>0</v>
      </c>
      <c r="AD30" s="213">
        <f t="shared" si="26"/>
        <v>4.202142963651815E-2</v>
      </c>
      <c r="AE30" s="218">
        <f t="shared" si="27"/>
        <v>4.202142963651815E-2</v>
      </c>
      <c r="AF30" s="58">
        <f t="shared" si="8"/>
        <v>2.3000000000000003E-2</v>
      </c>
      <c r="AG30" s="61">
        <f t="shared" si="9"/>
        <v>2.3000000000000003E-2</v>
      </c>
      <c r="AH30" s="58">
        <f t="shared" si="10"/>
        <v>2.5578261517880613E-3</v>
      </c>
      <c r="AI30" s="49">
        <f t="shared" si="11"/>
        <v>4.2474628325938407E-3</v>
      </c>
      <c r="AJ30" s="61">
        <f t="shared" si="45"/>
        <v>6.805288984381902E-3</v>
      </c>
      <c r="AK30" s="217">
        <f t="shared" si="12"/>
        <v>1.1500000000000001</v>
      </c>
      <c r="AL30" s="213">
        <f t="shared" si="13"/>
        <v>1500</v>
      </c>
      <c r="AM30" s="218">
        <f t="shared" si="28"/>
        <v>7.666666666666668E-4</v>
      </c>
      <c r="AN30" s="217">
        <f t="shared" si="29"/>
        <v>2</v>
      </c>
      <c r="AO30" s="213">
        <f t="shared" si="30"/>
        <v>1.7158088471621778E-2</v>
      </c>
      <c r="AP30" s="213">
        <f t="shared" si="31"/>
        <v>4.4682522061515031E-2</v>
      </c>
      <c r="AQ30" s="213">
        <f t="shared" si="32"/>
        <v>8.9365044123030091E-2</v>
      </c>
      <c r="AR30" s="213">
        <f t="shared" si="46"/>
        <v>8.9365044123030077E-2</v>
      </c>
      <c r="AS30" s="218">
        <f t="shared" si="47"/>
        <v>6.7583627452375908E-3</v>
      </c>
      <c r="AT30" s="217"/>
      <c r="AU30" s="213">
        <f t="shared" si="33"/>
        <v>1.5870000000000006E-5</v>
      </c>
      <c r="AV30" s="218">
        <f t="shared" si="48"/>
        <v>1.5870000000000006E-5</v>
      </c>
      <c r="AW30" s="217">
        <f t="shared" si="34"/>
        <v>0</v>
      </c>
      <c r="AX30" s="213">
        <f t="shared" si="35"/>
        <v>8.8166666666666677E-4</v>
      </c>
      <c r="AY30" s="218">
        <f t="shared" si="49"/>
        <v>8.8166666666666677E-4</v>
      </c>
      <c r="AZ30" s="217">
        <f t="shared" si="14"/>
        <v>0</v>
      </c>
      <c r="BA30" s="213">
        <f t="shared" si="15"/>
        <v>0</v>
      </c>
      <c r="BB30" s="213">
        <f t="shared" si="50"/>
        <v>0</v>
      </c>
      <c r="BC30" s="61">
        <f t="shared" si="36"/>
        <v>0</v>
      </c>
      <c r="BD30" s="58">
        <v>0</v>
      </c>
      <c r="BE30" s="49">
        <f t="shared" si="51"/>
        <v>0</v>
      </c>
      <c r="BF30" s="61">
        <f t="shared" si="52"/>
        <v>0</v>
      </c>
      <c r="BG30" s="58">
        <f t="shared" si="37"/>
        <v>0</v>
      </c>
      <c r="BH30" s="49">
        <f t="shared" si="38"/>
        <v>0</v>
      </c>
      <c r="BI30" s="61">
        <f t="shared" si="39"/>
        <v>0</v>
      </c>
      <c r="BK30" s="217">
        <f t="shared" si="17"/>
        <v>0</v>
      </c>
      <c r="BL30" s="213">
        <f t="shared" si="18"/>
        <v>0</v>
      </c>
      <c r="BM30" s="213">
        <f t="shared" si="19"/>
        <v>0</v>
      </c>
      <c r="BN30" s="61">
        <f t="shared" si="40"/>
        <v>0</v>
      </c>
      <c r="BO30" s="58">
        <v>0</v>
      </c>
      <c r="BP30" s="49">
        <f t="shared" si="41"/>
        <v>0</v>
      </c>
      <c r="BQ30" s="61">
        <f t="shared" si="53"/>
        <v>0</v>
      </c>
      <c r="BR30" s="58">
        <f t="shared" si="42"/>
        <v>0</v>
      </c>
      <c r="BS30" s="49">
        <f t="shared" si="54"/>
        <v>0</v>
      </c>
      <c r="BT30" s="61">
        <f t="shared" si="55"/>
        <v>0</v>
      </c>
      <c r="BU30" s="58">
        <f t="shared" si="20"/>
        <v>1.461614943878892E-4</v>
      </c>
      <c r="BV30" s="49">
        <f t="shared" si="21"/>
        <v>3.6450000000000007E-3</v>
      </c>
      <c r="BW30" s="61">
        <f t="shared" si="22"/>
        <v>6.7499999999999999E-3</v>
      </c>
      <c r="BX30" s="49">
        <f t="shared" si="56"/>
        <v>6.5021429636518149E-2</v>
      </c>
      <c r="BY30" s="49">
        <f t="shared" si="43"/>
        <v>0.10626541678195463</v>
      </c>
      <c r="BZ30" s="49">
        <f t="shared" si="44"/>
        <v>91.541165158063194</v>
      </c>
    </row>
    <row r="31" spans="1:78" x14ac:dyDescent="0.3">
      <c r="Q31" s="49">
        <v>24</v>
      </c>
      <c r="R31" s="217">
        <f t="shared" si="0"/>
        <v>1.2000000000000002</v>
      </c>
      <c r="S31" s="213">
        <f t="shared" si="1"/>
        <v>15</v>
      </c>
      <c r="T31" s="218">
        <f t="shared" si="2"/>
        <v>8.0000000000000016E-2</v>
      </c>
      <c r="U31" s="217">
        <f t="shared" si="3"/>
        <v>1</v>
      </c>
      <c r="V31" s="213">
        <f t="shared" si="4"/>
        <v>0.21908902300206645</v>
      </c>
      <c r="W31" s="213">
        <f t="shared" si="5"/>
        <v>1.7527121840165315E-2</v>
      </c>
      <c r="X31" s="213">
        <f t="shared" si="23"/>
        <v>0.76338385515776819</v>
      </c>
      <c r="Y31" s="217">
        <f t="shared" si="24"/>
        <v>0.36514837167011077</v>
      </c>
      <c r="Z31" s="213">
        <f t="shared" si="6"/>
        <v>0.73029674334022154</v>
      </c>
      <c r="AA31" s="213">
        <f t="shared" si="25"/>
        <v>0.73029674334022154</v>
      </c>
      <c r="AB31" s="218">
        <f t="shared" si="7"/>
        <v>0.19735541453127606</v>
      </c>
      <c r="AC31" s="217">
        <v>0</v>
      </c>
      <c r="AD31" s="213">
        <f t="shared" si="26"/>
        <v>4.4791533591533587E-2</v>
      </c>
      <c r="AE31" s="218">
        <f t="shared" si="27"/>
        <v>4.4791533591533587E-2</v>
      </c>
      <c r="AF31" s="58">
        <f t="shared" si="8"/>
        <v>2.4000000000000004E-2</v>
      </c>
      <c r="AG31" s="61">
        <f t="shared" si="9"/>
        <v>2.4000000000000004E-2</v>
      </c>
      <c r="AH31" s="58">
        <f t="shared" si="10"/>
        <v>2.7264411751368269E-3</v>
      </c>
      <c r="AI31" s="49">
        <f t="shared" si="11"/>
        <v>4.3388165704806728E-3</v>
      </c>
      <c r="AJ31" s="61">
        <f t="shared" si="45"/>
        <v>7.0652577456175002E-3</v>
      </c>
      <c r="AK31" s="217">
        <f t="shared" si="12"/>
        <v>1.2000000000000002</v>
      </c>
      <c r="AL31" s="213">
        <f t="shared" si="13"/>
        <v>1500</v>
      </c>
      <c r="AM31" s="218">
        <f t="shared" si="28"/>
        <v>8.0000000000000015E-4</v>
      </c>
      <c r="AN31" s="217">
        <f t="shared" si="29"/>
        <v>1</v>
      </c>
      <c r="AO31" s="213">
        <f t="shared" si="30"/>
        <v>1.7527121840165319E-2</v>
      </c>
      <c r="AP31" s="213">
        <f t="shared" si="31"/>
        <v>4.5643546458763846E-2</v>
      </c>
      <c r="AQ31" s="213">
        <f t="shared" si="32"/>
        <v>9.1287092917527707E-2</v>
      </c>
      <c r="AR31" s="213">
        <f t="shared" si="46"/>
        <v>9.1287092917527707E-2</v>
      </c>
      <c r="AS31" s="218">
        <f t="shared" si="47"/>
        <v>6.9775675959473727E-3</v>
      </c>
      <c r="AT31" s="217"/>
      <c r="AU31" s="213">
        <f t="shared" si="33"/>
        <v>1.7280000000000007E-5</v>
      </c>
      <c r="AV31" s="218">
        <f t="shared" si="48"/>
        <v>1.7280000000000007E-5</v>
      </c>
      <c r="AW31" s="217">
        <f t="shared" si="34"/>
        <v>0</v>
      </c>
      <c r="AX31" s="213">
        <f t="shared" si="35"/>
        <v>9.2000000000000014E-4</v>
      </c>
      <c r="AY31" s="218">
        <f t="shared" si="49"/>
        <v>9.2000000000000014E-4</v>
      </c>
      <c r="AZ31" s="217">
        <f t="shared" si="14"/>
        <v>0</v>
      </c>
      <c r="BA31" s="213">
        <f t="shared" si="15"/>
        <v>0</v>
      </c>
      <c r="BB31" s="213">
        <f t="shared" si="50"/>
        <v>0</v>
      </c>
      <c r="BC31" s="61">
        <f t="shared" si="36"/>
        <v>0</v>
      </c>
      <c r="BD31" s="58">
        <v>0</v>
      </c>
      <c r="BE31" s="49">
        <f t="shared" si="51"/>
        <v>0</v>
      </c>
      <c r="BF31" s="61">
        <f t="shared" si="52"/>
        <v>0</v>
      </c>
      <c r="BG31" s="58">
        <f t="shared" si="37"/>
        <v>0</v>
      </c>
      <c r="BH31" s="49">
        <f t="shared" si="38"/>
        <v>0</v>
      </c>
      <c r="BI31" s="61">
        <f t="shared" si="39"/>
        <v>0</v>
      </c>
      <c r="BK31" s="217">
        <f t="shared" si="17"/>
        <v>0</v>
      </c>
      <c r="BL31" s="213">
        <f t="shared" si="18"/>
        <v>0</v>
      </c>
      <c r="BM31" s="213">
        <f t="shared" si="19"/>
        <v>0</v>
      </c>
      <c r="BN31" s="61">
        <f t="shared" si="40"/>
        <v>0</v>
      </c>
      <c r="BO31" s="58">
        <v>0</v>
      </c>
      <c r="BP31" s="49">
        <f t="shared" si="41"/>
        <v>0</v>
      </c>
      <c r="BQ31" s="61">
        <f t="shared" si="53"/>
        <v>0</v>
      </c>
      <c r="BR31" s="58">
        <f t="shared" si="42"/>
        <v>0</v>
      </c>
      <c r="BS31" s="49">
        <f t="shared" si="54"/>
        <v>0</v>
      </c>
      <c r="BT31" s="61">
        <f t="shared" si="55"/>
        <v>0</v>
      </c>
      <c r="BU31" s="58">
        <f t="shared" si="20"/>
        <v>1.5579663857924724E-4</v>
      </c>
      <c r="BV31" s="49">
        <f t="shared" si="21"/>
        <v>3.6450000000000007E-3</v>
      </c>
      <c r="BW31" s="61">
        <f t="shared" si="22"/>
        <v>6.7499999999999999E-3</v>
      </c>
      <c r="BX31" s="49">
        <f t="shared" si="56"/>
        <v>6.8791533591533588E-2</v>
      </c>
      <c r="BY31" s="49">
        <f t="shared" si="43"/>
        <v>0.11134486797573036</v>
      </c>
      <c r="BZ31" s="49">
        <f t="shared" si="44"/>
        <v>91.509108649076524</v>
      </c>
    </row>
    <row r="32" spans="1:78" x14ac:dyDescent="0.3">
      <c r="Q32" s="49">
        <v>25</v>
      </c>
      <c r="R32" s="217">
        <f t="shared" si="0"/>
        <v>1.25</v>
      </c>
      <c r="S32" s="213">
        <f t="shared" si="1"/>
        <v>15</v>
      </c>
      <c r="T32" s="218">
        <f t="shared" si="2"/>
        <v>8.3333333333333329E-2</v>
      </c>
      <c r="U32" s="217">
        <f t="shared" si="3"/>
        <v>1</v>
      </c>
      <c r="V32" s="213">
        <f t="shared" si="4"/>
        <v>0.22360679774997896</v>
      </c>
      <c r="W32" s="213">
        <f t="shared" si="5"/>
        <v>1.7888543819998316E-2</v>
      </c>
      <c r="X32" s="213">
        <f t="shared" si="23"/>
        <v>0.75850465843002279</v>
      </c>
      <c r="Y32" s="217">
        <f t="shared" si="24"/>
        <v>0.372677996249965</v>
      </c>
      <c r="Z32" s="213">
        <f t="shared" si="6"/>
        <v>0.74535599249992979</v>
      </c>
      <c r="AA32" s="213">
        <f t="shared" si="25"/>
        <v>0.7453559924999299</v>
      </c>
      <c r="AB32" s="218">
        <f t="shared" si="7"/>
        <v>0.20349119452692813</v>
      </c>
      <c r="AC32" s="217">
        <v>0</v>
      </c>
      <c r="AD32" s="213">
        <f t="shared" si="26"/>
        <v>4.7619966187495526E-2</v>
      </c>
      <c r="AE32" s="218">
        <f t="shared" si="27"/>
        <v>4.7619966187495526E-2</v>
      </c>
      <c r="AF32" s="58">
        <f t="shared" si="8"/>
        <v>2.5000000000000001E-2</v>
      </c>
      <c r="AG32" s="61">
        <f t="shared" si="9"/>
        <v>2.5000000000000001E-2</v>
      </c>
      <c r="AH32" s="58">
        <f t="shared" si="10"/>
        <v>2.8986066374997277E-3</v>
      </c>
      <c r="AI32" s="49">
        <f t="shared" si="11"/>
        <v>4.4282861188375397E-3</v>
      </c>
      <c r="AJ32" s="61">
        <f t="shared" si="45"/>
        <v>7.3268927563372669E-3</v>
      </c>
      <c r="AK32" s="217">
        <f t="shared" si="12"/>
        <v>1.25</v>
      </c>
      <c r="AL32" s="213">
        <f t="shared" si="13"/>
        <v>1500</v>
      </c>
      <c r="AM32" s="218">
        <f t="shared" si="28"/>
        <v>8.3333333333333339E-4</v>
      </c>
      <c r="AN32" s="217">
        <f t="shared" si="29"/>
        <v>2</v>
      </c>
      <c r="AO32" s="213">
        <f t="shared" si="30"/>
        <v>1.7888543819998316E-2</v>
      </c>
      <c r="AP32" s="213">
        <f t="shared" si="31"/>
        <v>4.6584749531245626E-2</v>
      </c>
      <c r="AQ32" s="213">
        <f t="shared" si="32"/>
        <v>9.3169499062491223E-2</v>
      </c>
      <c r="AR32" s="213">
        <f t="shared" si="46"/>
        <v>9.3169499062491237E-2</v>
      </c>
      <c r="AS32" s="218">
        <f t="shared" si="47"/>
        <v>7.194500178087088E-3</v>
      </c>
      <c r="AT32" s="217"/>
      <c r="AU32" s="213">
        <f t="shared" si="33"/>
        <v>1.8750000000000005E-5</v>
      </c>
      <c r="AV32" s="218">
        <f t="shared" si="48"/>
        <v>1.8750000000000005E-5</v>
      </c>
      <c r="AW32" s="217">
        <f t="shared" si="34"/>
        <v>0</v>
      </c>
      <c r="AX32" s="213">
        <f t="shared" si="35"/>
        <v>9.5833333333333328E-4</v>
      </c>
      <c r="AY32" s="218">
        <f t="shared" si="49"/>
        <v>9.5833333333333328E-4</v>
      </c>
      <c r="AZ32" s="217">
        <f t="shared" si="14"/>
        <v>0</v>
      </c>
      <c r="BA32" s="213">
        <f t="shared" si="15"/>
        <v>0</v>
      </c>
      <c r="BB32" s="213">
        <f t="shared" si="50"/>
        <v>0</v>
      </c>
      <c r="BC32" s="61">
        <f t="shared" si="36"/>
        <v>0</v>
      </c>
      <c r="BD32" s="58">
        <v>0</v>
      </c>
      <c r="BE32" s="49">
        <f t="shared" si="51"/>
        <v>0</v>
      </c>
      <c r="BF32" s="61">
        <f t="shared" si="52"/>
        <v>0</v>
      </c>
      <c r="BG32" s="58">
        <f t="shared" si="37"/>
        <v>0</v>
      </c>
      <c r="BH32" s="49">
        <f t="shared" si="38"/>
        <v>0</v>
      </c>
      <c r="BI32" s="61">
        <f t="shared" si="39"/>
        <v>0</v>
      </c>
      <c r="BK32" s="217">
        <f t="shared" si="17"/>
        <v>0</v>
      </c>
      <c r="BL32" s="213">
        <f t="shared" si="18"/>
        <v>0</v>
      </c>
      <c r="BM32" s="213">
        <f t="shared" si="19"/>
        <v>0</v>
      </c>
      <c r="BN32" s="61">
        <f t="shared" si="40"/>
        <v>0</v>
      </c>
      <c r="BO32" s="58">
        <v>0</v>
      </c>
      <c r="BP32" s="49">
        <f t="shared" si="41"/>
        <v>0</v>
      </c>
      <c r="BQ32" s="61">
        <f t="shared" si="53"/>
        <v>0</v>
      </c>
      <c r="BR32" s="58">
        <f t="shared" si="42"/>
        <v>0</v>
      </c>
      <c r="BS32" s="49">
        <f t="shared" si="54"/>
        <v>0</v>
      </c>
      <c r="BT32" s="61">
        <f t="shared" si="55"/>
        <v>0</v>
      </c>
      <c r="BU32" s="58">
        <f t="shared" si="20"/>
        <v>1.6563466499998442E-4</v>
      </c>
      <c r="BV32" s="49">
        <f t="shared" si="21"/>
        <v>3.6450000000000007E-3</v>
      </c>
      <c r="BW32" s="61">
        <f t="shared" si="22"/>
        <v>6.7499999999999999E-3</v>
      </c>
      <c r="BX32" s="49">
        <f t="shared" si="56"/>
        <v>7.2619966187495527E-2</v>
      </c>
      <c r="BY32" s="49">
        <f t="shared" si="43"/>
        <v>0.1164845769421661</v>
      </c>
      <c r="BZ32" s="49">
        <f t="shared" si="44"/>
        <v>91.475602512629308</v>
      </c>
    </row>
    <row r="33" spans="17:78" x14ac:dyDescent="0.3">
      <c r="Q33" s="49">
        <v>26</v>
      </c>
      <c r="R33" s="217">
        <f t="shared" si="0"/>
        <v>1.3</v>
      </c>
      <c r="S33" s="213">
        <f t="shared" si="1"/>
        <v>15</v>
      </c>
      <c r="T33" s="218">
        <f t="shared" si="2"/>
        <v>8.666666666666667E-2</v>
      </c>
      <c r="U33" s="217">
        <f t="shared" si="3"/>
        <v>1</v>
      </c>
      <c r="V33" s="213">
        <f t="shared" si="4"/>
        <v>0.22803508501982758</v>
      </c>
      <c r="W33" s="213">
        <f t="shared" si="5"/>
        <v>1.8242806801586207E-2</v>
      </c>
      <c r="X33" s="213">
        <f t="shared" si="23"/>
        <v>0.7537221081785862</v>
      </c>
      <c r="Y33" s="217">
        <f t="shared" si="24"/>
        <v>0.38005847503304602</v>
      </c>
      <c r="Z33" s="213">
        <f t="shared" si="6"/>
        <v>0.76011695006609203</v>
      </c>
      <c r="AA33" s="213">
        <f t="shared" si="25"/>
        <v>0.76011695006609203</v>
      </c>
      <c r="AB33" s="218">
        <f t="shared" si="7"/>
        <v>0.20956590425458257</v>
      </c>
      <c r="AC33" s="217">
        <v>0</v>
      </c>
      <c r="AD33" s="213">
        <f t="shared" si="26"/>
        <v>5.0505548459947008E-2</v>
      </c>
      <c r="AE33" s="218">
        <f t="shared" si="27"/>
        <v>5.0505548459947008E-2</v>
      </c>
      <c r="AF33" s="58">
        <f t="shared" si="8"/>
        <v>2.6000000000000002E-2</v>
      </c>
      <c r="AG33" s="61">
        <f t="shared" si="9"/>
        <v>2.6000000000000002E-2</v>
      </c>
      <c r="AH33" s="58">
        <f t="shared" si="10"/>
        <v>3.0742507758228614E-3</v>
      </c>
      <c r="AI33" s="49">
        <f t="shared" si="11"/>
        <v>4.5159834663449343E-3</v>
      </c>
      <c r="AJ33" s="61">
        <f t="shared" si="45"/>
        <v>7.5902342421677958E-3</v>
      </c>
      <c r="AK33" s="217">
        <f t="shared" si="12"/>
        <v>1.3</v>
      </c>
      <c r="AL33" s="213">
        <f t="shared" si="13"/>
        <v>1500</v>
      </c>
      <c r="AM33" s="218">
        <f t="shared" si="28"/>
        <v>8.6666666666666674E-4</v>
      </c>
      <c r="AN33" s="217">
        <f t="shared" si="29"/>
        <v>2</v>
      </c>
      <c r="AO33" s="213">
        <f t="shared" si="30"/>
        <v>1.8242806801586207E-2</v>
      </c>
      <c r="AP33" s="213">
        <f t="shared" si="31"/>
        <v>4.7507309379130752E-2</v>
      </c>
      <c r="AQ33" s="213">
        <f t="shared" si="32"/>
        <v>9.5014618758261504E-2</v>
      </c>
      <c r="AR33" s="213">
        <f t="shared" si="46"/>
        <v>9.5014618758261504E-2</v>
      </c>
      <c r="AS33" s="218">
        <f t="shared" si="47"/>
        <v>7.4092736001953059E-3</v>
      </c>
      <c r="AT33" s="217"/>
      <c r="AU33" s="213">
        <f t="shared" si="33"/>
        <v>2.0280000000000002E-5</v>
      </c>
      <c r="AV33" s="218">
        <f t="shared" si="48"/>
        <v>2.0280000000000002E-5</v>
      </c>
      <c r="AW33" s="217">
        <f t="shared" si="34"/>
        <v>0</v>
      </c>
      <c r="AX33" s="213">
        <f t="shared" si="35"/>
        <v>9.9666666666666675E-4</v>
      </c>
      <c r="AY33" s="218">
        <f t="shared" si="49"/>
        <v>9.9666666666666675E-4</v>
      </c>
      <c r="AZ33" s="217">
        <f t="shared" si="14"/>
        <v>0</v>
      </c>
      <c r="BA33" s="213">
        <f t="shared" si="15"/>
        <v>0</v>
      </c>
      <c r="BB33" s="213">
        <f t="shared" si="50"/>
        <v>0</v>
      </c>
      <c r="BC33" s="61">
        <f t="shared" si="36"/>
        <v>0</v>
      </c>
      <c r="BD33" s="58">
        <v>0</v>
      </c>
      <c r="BE33" s="49">
        <f t="shared" si="51"/>
        <v>0</v>
      </c>
      <c r="BF33" s="61">
        <f t="shared" si="52"/>
        <v>0</v>
      </c>
      <c r="BG33" s="58">
        <f t="shared" si="37"/>
        <v>0</v>
      </c>
      <c r="BH33" s="49">
        <f t="shared" si="38"/>
        <v>0</v>
      </c>
      <c r="BI33" s="61">
        <f t="shared" si="39"/>
        <v>0</v>
      </c>
      <c r="BK33" s="217">
        <f t="shared" si="17"/>
        <v>0</v>
      </c>
      <c r="BL33" s="213">
        <f t="shared" si="18"/>
        <v>0</v>
      </c>
      <c r="BM33" s="213">
        <f t="shared" si="19"/>
        <v>0</v>
      </c>
      <c r="BN33" s="61">
        <f t="shared" si="40"/>
        <v>0</v>
      </c>
      <c r="BO33" s="58">
        <v>0</v>
      </c>
      <c r="BP33" s="49">
        <f t="shared" si="41"/>
        <v>0</v>
      </c>
      <c r="BQ33" s="61">
        <f t="shared" si="53"/>
        <v>0</v>
      </c>
      <c r="BR33" s="58">
        <f t="shared" si="42"/>
        <v>0</v>
      </c>
      <c r="BS33" s="49">
        <f t="shared" si="54"/>
        <v>0</v>
      </c>
      <c r="BT33" s="61">
        <f t="shared" si="55"/>
        <v>0</v>
      </c>
      <c r="BU33" s="58">
        <f t="shared" si="20"/>
        <v>1.7567147290416349E-4</v>
      </c>
      <c r="BV33" s="49">
        <f t="shared" si="21"/>
        <v>3.6450000000000007E-3</v>
      </c>
      <c r="BW33" s="61">
        <f t="shared" si="22"/>
        <v>6.7499999999999999E-3</v>
      </c>
      <c r="BX33" s="49">
        <f t="shared" si="56"/>
        <v>7.6505548459947004E-2</v>
      </c>
      <c r="BY33" s="49">
        <f t="shared" si="43"/>
        <v>0.12168340084168563</v>
      </c>
      <c r="BZ33" s="49">
        <f t="shared" si="44"/>
        <v>91.440893185526065</v>
      </c>
    </row>
    <row r="34" spans="17:78" x14ac:dyDescent="0.3">
      <c r="Q34" s="49">
        <v>27</v>
      </c>
      <c r="R34" s="217">
        <f t="shared" si="0"/>
        <v>1.35</v>
      </c>
      <c r="S34" s="213">
        <f t="shared" si="1"/>
        <v>15</v>
      </c>
      <c r="T34" s="218">
        <f t="shared" si="2"/>
        <v>9.0000000000000011E-2</v>
      </c>
      <c r="U34" s="217">
        <f t="shared" si="3"/>
        <v>1</v>
      </c>
      <c r="V34" s="213">
        <f t="shared" si="4"/>
        <v>0.232379000772445</v>
      </c>
      <c r="W34" s="213">
        <f t="shared" si="5"/>
        <v>1.85903200617956E-2</v>
      </c>
      <c r="X34" s="213">
        <f t="shared" si="23"/>
        <v>0.74903067916575938</v>
      </c>
      <c r="Y34" s="217">
        <f t="shared" si="24"/>
        <v>0.38729833462074176</v>
      </c>
      <c r="Z34" s="213">
        <f t="shared" si="6"/>
        <v>0.77459666924148329</v>
      </c>
      <c r="AA34" s="213">
        <f t="shared" si="25"/>
        <v>0.7745966692414834</v>
      </c>
      <c r="AB34" s="218">
        <f t="shared" si="7"/>
        <v>0.21558246717785054</v>
      </c>
      <c r="AC34" s="217">
        <v>0</v>
      </c>
      <c r="AD34" s="213">
        <f t="shared" si="26"/>
        <v>5.3447170177662359E-2</v>
      </c>
      <c r="AE34" s="218">
        <f t="shared" si="27"/>
        <v>5.3447170177662359E-2</v>
      </c>
      <c r="AF34" s="58">
        <f t="shared" si="8"/>
        <v>2.7000000000000003E-2</v>
      </c>
      <c r="AG34" s="61">
        <f t="shared" si="9"/>
        <v>2.7000000000000003E-2</v>
      </c>
      <c r="AH34" s="58">
        <f t="shared" si="10"/>
        <v>3.2533060108142307E-3</v>
      </c>
      <c r="AI34" s="49">
        <f t="shared" si="11"/>
        <v>4.602009928967166E-3</v>
      </c>
      <c r="AJ34" s="61">
        <f t="shared" si="45"/>
        <v>7.8553159397813967E-3</v>
      </c>
      <c r="AK34" s="217">
        <f t="shared" si="12"/>
        <v>1.35</v>
      </c>
      <c r="AL34" s="213">
        <f t="shared" si="13"/>
        <v>1500</v>
      </c>
      <c r="AM34" s="218">
        <f t="shared" si="28"/>
        <v>9.0000000000000008E-4</v>
      </c>
      <c r="AN34" s="217">
        <f t="shared" si="29"/>
        <v>2</v>
      </c>
      <c r="AO34" s="213">
        <f t="shared" si="30"/>
        <v>1.85903200617956E-2</v>
      </c>
      <c r="AP34" s="213">
        <f t="shared" si="31"/>
        <v>4.841229182759272E-2</v>
      </c>
      <c r="AQ34" s="213">
        <f t="shared" si="32"/>
        <v>9.6824583655185412E-2</v>
      </c>
      <c r="AR34" s="213">
        <f t="shared" si="46"/>
        <v>9.6824583655185426E-2</v>
      </c>
      <c r="AS34" s="218">
        <f t="shared" si="47"/>
        <v>7.6219912223192219E-3</v>
      </c>
      <c r="AT34" s="217"/>
      <c r="AU34" s="213">
        <f t="shared" si="33"/>
        <v>2.1870000000000006E-5</v>
      </c>
      <c r="AV34" s="218">
        <f t="shared" si="48"/>
        <v>2.1870000000000006E-5</v>
      </c>
      <c r="AW34" s="217">
        <f t="shared" si="34"/>
        <v>0</v>
      </c>
      <c r="AX34" s="213">
        <f t="shared" si="35"/>
        <v>1.0350000000000001E-3</v>
      </c>
      <c r="AY34" s="218">
        <f t="shared" si="49"/>
        <v>1.0350000000000001E-3</v>
      </c>
      <c r="AZ34" s="217">
        <f t="shared" si="14"/>
        <v>0</v>
      </c>
      <c r="BA34" s="213">
        <f t="shared" si="15"/>
        <v>0</v>
      </c>
      <c r="BB34" s="213">
        <f t="shared" si="50"/>
        <v>0</v>
      </c>
      <c r="BC34" s="61">
        <f t="shared" si="36"/>
        <v>0</v>
      </c>
      <c r="BD34" s="58">
        <v>0</v>
      </c>
      <c r="BE34" s="49">
        <f t="shared" si="51"/>
        <v>0</v>
      </c>
      <c r="BF34" s="61">
        <f t="shared" si="52"/>
        <v>0</v>
      </c>
      <c r="BG34" s="58">
        <f t="shared" si="37"/>
        <v>0</v>
      </c>
      <c r="BH34" s="49">
        <f t="shared" si="38"/>
        <v>0</v>
      </c>
      <c r="BI34" s="61">
        <f t="shared" si="39"/>
        <v>0</v>
      </c>
      <c r="BK34" s="217">
        <f t="shared" si="17"/>
        <v>0</v>
      </c>
      <c r="BL34" s="213">
        <f t="shared" si="18"/>
        <v>0</v>
      </c>
      <c r="BM34" s="213">
        <f t="shared" si="19"/>
        <v>0</v>
      </c>
      <c r="BN34" s="61">
        <f t="shared" si="40"/>
        <v>0</v>
      </c>
      <c r="BO34" s="58">
        <v>0</v>
      </c>
      <c r="BP34" s="49">
        <f t="shared" si="41"/>
        <v>0</v>
      </c>
      <c r="BQ34" s="61">
        <f t="shared" si="53"/>
        <v>0</v>
      </c>
      <c r="BR34" s="58">
        <f t="shared" si="42"/>
        <v>0</v>
      </c>
      <c r="BS34" s="49">
        <f t="shared" si="54"/>
        <v>0</v>
      </c>
      <c r="BT34" s="61">
        <f t="shared" si="55"/>
        <v>0</v>
      </c>
      <c r="BU34" s="58">
        <f t="shared" si="20"/>
        <v>1.8590320061795602E-4</v>
      </c>
      <c r="BV34" s="49">
        <f t="shared" si="21"/>
        <v>3.6450000000000007E-3</v>
      </c>
      <c r="BW34" s="61">
        <f t="shared" si="22"/>
        <v>6.7499999999999999E-3</v>
      </c>
      <c r="BX34" s="49">
        <f t="shared" si="56"/>
        <v>8.0447170177662369E-2</v>
      </c>
      <c r="BY34" s="49">
        <f t="shared" si="43"/>
        <v>0.12694025931806172</v>
      </c>
      <c r="BZ34" s="49">
        <f t="shared" si="44"/>
        <v>91.405186599986578</v>
      </c>
    </row>
    <row r="35" spans="17:78" x14ac:dyDescent="0.3">
      <c r="Q35" s="49">
        <v>28</v>
      </c>
      <c r="R35" s="217">
        <f t="shared" si="0"/>
        <v>1.4000000000000001</v>
      </c>
      <c r="S35" s="213">
        <f t="shared" si="1"/>
        <v>15</v>
      </c>
      <c r="T35" s="218">
        <f t="shared" si="2"/>
        <v>9.3333333333333338E-2</v>
      </c>
      <c r="U35" s="217">
        <f t="shared" si="3"/>
        <v>1</v>
      </c>
      <c r="V35" s="213">
        <f t="shared" si="4"/>
        <v>0.23664319132398465</v>
      </c>
      <c r="W35" s="213">
        <f t="shared" si="5"/>
        <v>1.8931455305918773E-2</v>
      </c>
      <c r="X35" s="213">
        <f t="shared" si="23"/>
        <v>0.74442535337009663</v>
      </c>
      <c r="Y35" s="217">
        <f t="shared" si="24"/>
        <v>0.39440531887330776</v>
      </c>
      <c r="Z35" s="213">
        <f t="shared" si="6"/>
        <v>0.78881063774661553</v>
      </c>
      <c r="AA35" s="213">
        <f t="shared" si="25"/>
        <v>0.78881063774661553</v>
      </c>
      <c r="AB35" s="218">
        <f t="shared" si="7"/>
        <v>0.22154356409772491</v>
      </c>
      <c r="AC35" s="217">
        <v>0</v>
      </c>
      <c r="AD35" s="213">
        <f t="shared" si="26"/>
        <v>5.6443783412091157E-2</v>
      </c>
      <c r="AE35" s="218">
        <f t="shared" si="27"/>
        <v>5.6443783412091157E-2</v>
      </c>
      <c r="AF35" s="58">
        <f t="shared" si="8"/>
        <v>2.8000000000000004E-2</v>
      </c>
      <c r="AG35" s="61">
        <f t="shared" si="9"/>
        <v>2.8000000000000004E-2</v>
      </c>
      <c r="AH35" s="58">
        <f t="shared" si="10"/>
        <v>3.4357085555185925E-3</v>
      </c>
      <c r="AI35" s="49">
        <f t="shared" si="11"/>
        <v>4.6864575218734184E-3</v>
      </c>
      <c r="AJ35" s="61">
        <f t="shared" si="45"/>
        <v>8.1221660773920113E-3</v>
      </c>
      <c r="AK35" s="217">
        <f t="shared" si="12"/>
        <v>1.4000000000000001</v>
      </c>
      <c r="AL35" s="213">
        <f t="shared" si="13"/>
        <v>1500</v>
      </c>
      <c r="AM35" s="218">
        <f t="shared" si="28"/>
        <v>9.3333333333333343E-4</v>
      </c>
      <c r="AN35" s="217">
        <f t="shared" si="29"/>
        <v>2</v>
      </c>
      <c r="AO35" s="213">
        <f t="shared" si="30"/>
        <v>1.8931455305918773E-2</v>
      </c>
      <c r="AP35" s="213">
        <f t="shared" si="31"/>
        <v>4.9300664859163471E-2</v>
      </c>
      <c r="AQ35" s="213">
        <f t="shared" si="32"/>
        <v>9.8601329718326941E-2</v>
      </c>
      <c r="AR35" s="213">
        <f t="shared" si="46"/>
        <v>9.8601329718326941E-2</v>
      </c>
      <c r="AS35" s="218">
        <f t="shared" si="47"/>
        <v>7.8327478250868922E-3</v>
      </c>
      <c r="AT35" s="217"/>
      <c r="AU35" s="213">
        <f t="shared" si="33"/>
        <v>2.3520000000000005E-5</v>
      </c>
      <c r="AV35" s="218">
        <f t="shared" si="48"/>
        <v>2.3520000000000005E-5</v>
      </c>
      <c r="AW35" s="217">
        <f t="shared" si="34"/>
        <v>0</v>
      </c>
      <c r="AX35" s="213">
        <f t="shared" si="35"/>
        <v>1.0733333333333333E-3</v>
      </c>
      <c r="AY35" s="218">
        <f t="shared" si="49"/>
        <v>1.0733333333333333E-3</v>
      </c>
      <c r="AZ35" s="217">
        <f t="shared" si="14"/>
        <v>0</v>
      </c>
      <c r="BA35" s="213">
        <f t="shared" si="15"/>
        <v>0</v>
      </c>
      <c r="BB35" s="213">
        <f t="shared" si="50"/>
        <v>0</v>
      </c>
      <c r="BC35" s="61">
        <f t="shared" si="36"/>
        <v>0</v>
      </c>
      <c r="BD35" s="58">
        <v>0</v>
      </c>
      <c r="BE35" s="49">
        <f t="shared" si="51"/>
        <v>0</v>
      </c>
      <c r="BF35" s="61">
        <f t="shared" si="52"/>
        <v>0</v>
      </c>
      <c r="BG35" s="58">
        <f t="shared" si="37"/>
        <v>0</v>
      </c>
      <c r="BH35" s="49">
        <f t="shared" si="38"/>
        <v>0</v>
      </c>
      <c r="BI35" s="61">
        <f t="shared" si="39"/>
        <v>0</v>
      </c>
      <c r="BK35" s="217">
        <f t="shared" si="17"/>
        <v>0</v>
      </c>
      <c r="BL35" s="213">
        <f t="shared" si="18"/>
        <v>0</v>
      </c>
      <c r="BM35" s="213">
        <f t="shared" si="19"/>
        <v>0</v>
      </c>
      <c r="BN35" s="61">
        <f t="shared" si="40"/>
        <v>0</v>
      </c>
      <c r="BO35" s="58">
        <v>0</v>
      </c>
      <c r="BP35" s="49">
        <f t="shared" si="41"/>
        <v>0</v>
      </c>
      <c r="BQ35" s="61">
        <f t="shared" si="53"/>
        <v>0</v>
      </c>
      <c r="BR35" s="58">
        <f t="shared" si="42"/>
        <v>0</v>
      </c>
      <c r="BS35" s="49">
        <f t="shared" si="54"/>
        <v>0</v>
      </c>
      <c r="BT35" s="61">
        <f t="shared" si="55"/>
        <v>0</v>
      </c>
      <c r="BU35" s="58">
        <f t="shared" si="20"/>
        <v>1.9632620317249099E-4</v>
      </c>
      <c r="BV35" s="49">
        <f t="shared" si="21"/>
        <v>3.6450000000000007E-3</v>
      </c>
      <c r="BW35" s="61">
        <f t="shared" si="22"/>
        <v>6.7499999999999999E-3</v>
      </c>
      <c r="BX35" s="49">
        <f t="shared" si="56"/>
        <v>8.4443783412091161E-2</v>
      </c>
      <c r="BY35" s="49">
        <f t="shared" si="43"/>
        <v>0.13225412902598899</v>
      </c>
      <c r="BZ35" s="49">
        <f t="shared" si="44"/>
        <v>91.368655726184329</v>
      </c>
    </row>
    <row r="36" spans="17:78" s="215" customFormat="1" x14ac:dyDescent="0.3">
      <c r="Q36" s="215">
        <v>29</v>
      </c>
      <c r="R36" s="217">
        <f t="shared" si="0"/>
        <v>1.4500000000000002</v>
      </c>
      <c r="S36" s="213">
        <f t="shared" si="1"/>
        <v>15</v>
      </c>
      <c r="T36" s="218">
        <f t="shared" si="2"/>
        <v>9.6666666666666679E-2</v>
      </c>
      <c r="U36" s="217">
        <f t="shared" si="3"/>
        <v>1</v>
      </c>
      <c r="V36" s="213">
        <f t="shared" si="4"/>
        <v>0.24083189157584592</v>
      </c>
      <c r="W36" s="213">
        <f t="shared" si="5"/>
        <v>1.9266551326067673E-2</v>
      </c>
      <c r="X36" s="213">
        <f t="shared" si="23"/>
        <v>0.73990155709808636</v>
      </c>
      <c r="Y36" s="217">
        <f t="shared" si="24"/>
        <v>0.40138648595974324</v>
      </c>
      <c r="Z36" s="213">
        <f t="shared" si="6"/>
        <v>0.80277297191948638</v>
      </c>
      <c r="AA36" s="213">
        <f t="shared" si="25"/>
        <v>0.80277297191948649</v>
      </c>
      <c r="AB36" s="218">
        <f t="shared" si="7"/>
        <v>0.22745166121698676</v>
      </c>
      <c r="AC36" s="217">
        <v>0</v>
      </c>
      <c r="AD36" s="213">
        <f t="shared" si="26"/>
        <v>5.9494396918921964E-2</v>
      </c>
      <c r="AE36" s="218">
        <f t="shared" si="27"/>
        <v>5.9494396918921964E-2</v>
      </c>
      <c r="AF36" s="58">
        <f t="shared" si="8"/>
        <v>2.9000000000000005E-2</v>
      </c>
      <c r="AG36" s="61">
        <f t="shared" si="9"/>
        <v>2.9000000000000005E-2</v>
      </c>
      <c r="AH36" s="58">
        <f t="shared" si="10"/>
        <v>3.621398073325685E-3</v>
      </c>
      <c r="AI36" s="49">
        <f t="shared" si="11"/>
        <v>4.7694101126172323E-3</v>
      </c>
      <c r="AJ36" s="223">
        <f t="shared" si="45"/>
        <v>8.3908081859429169E-3</v>
      </c>
      <c r="AK36" s="217">
        <f t="shared" si="12"/>
        <v>1.4500000000000002</v>
      </c>
      <c r="AL36" s="213">
        <f t="shared" si="13"/>
        <v>1500</v>
      </c>
      <c r="AM36" s="218">
        <f t="shared" si="28"/>
        <v>9.6666666666666678E-4</v>
      </c>
      <c r="AN36" s="217">
        <f t="shared" si="29"/>
        <v>2</v>
      </c>
      <c r="AO36" s="213">
        <f t="shared" si="30"/>
        <v>1.9266551326067673E-2</v>
      </c>
      <c r="AP36" s="213">
        <f t="shared" si="31"/>
        <v>5.0173310744967906E-2</v>
      </c>
      <c r="AQ36" s="213">
        <f t="shared" si="32"/>
        <v>0.1003466214899358</v>
      </c>
      <c r="AR36" s="213">
        <f t="shared" si="46"/>
        <v>0.10034662148993581</v>
      </c>
      <c r="AS36" s="218">
        <f t="shared" si="47"/>
        <v>8.0416306019338284E-3</v>
      </c>
      <c r="AT36" s="217"/>
      <c r="AU36" s="213">
        <f t="shared" si="33"/>
        <v>2.5230000000000004E-5</v>
      </c>
      <c r="AV36" s="218">
        <f t="shared" si="48"/>
        <v>2.5230000000000004E-5</v>
      </c>
      <c r="AW36" s="217">
        <f t="shared" si="34"/>
        <v>0</v>
      </c>
      <c r="AX36" s="213">
        <f t="shared" si="35"/>
        <v>1.1116666666666666E-3</v>
      </c>
      <c r="AY36" s="218">
        <f t="shared" si="49"/>
        <v>1.1116666666666666E-3</v>
      </c>
      <c r="AZ36" s="217">
        <f t="shared" si="14"/>
        <v>0</v>
      </c>
      <c r="BA36" s="213">
        <f t="shared" si="15"/>
        <v>0</v>
      </c>
      <c r="BB36" s="213">
        <f t="shared" si="50"/>
        <v>0</v>
      </c>
      <c r="BC36" s="61">
        <f t="shared" si="36"/>
        <v>0</v>
      </c>
      <c r="BD36" s="58">
        <v>0</v>
      </c>
      <c r="BE36" s="49">
        <f t="shared" si="51"/>
        <v>0</v>
      </c>
      <c r="BF36" s="61">
        <f t="shared" si="52"/>
        <v>0</v>
      </c>
      <c r="BG36" s="58">
        <f t="shared" si="37"/>
        <v>0</v>
      </c>
      <c r="BH36" s="49">
        <f t="shared" si="38"/>
        <v>0</v>
      </c>
      <c r="BI36" s="61">
        <f t="shared" si="39"/>
        <v>0</v>
      </c>
      <c r="BJ36" s="49"/>
      <c r="BK36" s="217">
        <f t="shared" si="17"/>
        <v>0</v>
      </c>
      <c r="BL36" s="213">
        <f t="shared" si="18"/>
        <v>0</v>
      </c>
      <c r="BM36" s="213">
        <f t="shared" si="19"/>
        <v>0</v>
      </c>
      <c r="BN36" s="61">
        <f t="shared" si="40"/>
        <v>0</v>
      </c>
      <c r="BO36" s="58">
        <v>0</v>
      </c>
      <c r="BP36" s="49">
        <f t="shared" si="41"/>
        <v>0</v>
      </c>
      <c r="BQ36" s="61">
        <f t="shared" si="53"/>
        <v>0</v>
      </c>
      <c r="BR36" s="58">
        <f t="shared" si="42"/>
        <v>0</v>
      </c>
      <c r="BS36" s="49">
        <f t="shared" si="54"/>
        <v>0</v>
      </c>
      <c r="BT36" s="61">
        <f t="shared" si="55"/>
        <v>0</v>
      </c>
      <c r="BU36" s="58">
        <f t="shared" si="20"/>
        <v>2.0693703276146769E-4</v>
      </c>
      <c r="BV36" s="49">
        <f t="shared" si="21"/>
        <v>3.6450000000000007E-3</v>
      </c>
      <c r="BW36" s="61">
        <f t="shared" si="22"/>
        <v>6.7499999999999999E-3</v>
      </c>
      <c r="BX36" s="49">
        <f t="shared" si="56"/>
        <v>8.8494396918921969E-2</v>
      </c>
      <c r="BY36" s="49">
        <f t="shared" si="43"/>
        <v>0.13762403880429303</v>
      </c>
      <c r="BZ36" s="49">
        <f t="shared" si="44"/>
        <v>91.331446523829186</v>
      </c>
    </row>
    <row r="37" spans="17:78" x14ac:dyDescent="0.3">
      <c r="Q37" s="49">
        <v>30</v>
      </c>
      <c r="R37" s="217">
        <f t="shared" si="0"/>
        <v>1.5</v>
      </c>
      <c r="S37" s="213">
        <f t="shared" si="1"/>
        <v>15</v>
      </c>
      <c r="T37" s="218">
        <f t="shared" si="2"/>
        <v>0.1</v>
      </c>
      <c r="U37" s="217">
        <f t="shared" si="3"/>
        <v>1</v>
      </c>
      <c r="V37" s="213">
        <f t="shared" si="4"/>
        <v>0.2449489742783178</v>
      </c>
      <c r="W37" s="213">
        <f t="shared" si="5"/>
        <v>1.9595917942265423E-2</v>
      </c>
      <c r="X37" s="213">
        <f t="shared" si="23"/>
        <v>0.73545510777941681</v>
      </c>
      <c r="Y37" s="217">
        <f t="shared" si="24"/>
        <v>0.40824829046386307</v>
      </c>
      <c r="Z37" s="213">
        <f t="shared" si="6"/>
        <v>0.81649658092772592</v>
      </c>
      <c r="AA37" s="213">
        <f t="shared" si="25"/>
        <v>0.81649658092772603</v>
      </c>
      <c r="AB37" s="218">
        <f t="shared" si="7"/>
        <v>0.23330903410537218</v>
      </c>
      <c r="AC37" s="217">
        <v>0</v>
      </c>
      <c r="AD37" s="213">
        <f t="shared" si="26"/>
        <v>6.2598071204458983E-2</v>
      </c>
      <c r="AE37" s="218">
        <f t="shared" si="27"/>
        <v>6.2598071204458983E-2</v>
      </c>
      <c r="AF37" s="58">
        <f t="shared" si="8"/>
        <v>0.03</v>
      </c>
      <c r="AG37" s="61">
        <f t="shared" si="9"/>
        <v>0.03</v>
      </c>
      <c r="AH37" s="58">
        <f t="shared" si="10"/>
        <v>3.8103173776627211E-3</v>
      </c>
      <c r="AI37" s="49">
        <f t="shared" si="11"/>
        <v>4.8509443967486464E-3</v>
      </c>
      <c r="AJ37" s="61">
        <f t="shared" si="45"/>
        <v>8.6612617744113683E-3</v>
      </c>
      <c r="AK37" s="217">
        <f t="shared" si="12"/>
        <v>1.5</v>
      </c>
      <c r="AL37" s="213">
        <f t="shared" si="13"/>
        <v>1500</v>
      </c>
      <c r="AM37" s="218">
        <f t="shared" si="28"/>
        <v>1E-3</v>
      </c>
      <c r="AN37" s="217">
        <f t="shared" si="29"/>
        <v>2</v>
      </c>
      <c r="AO37" s="213">
        <f t="shared" si="30"/>
        <v>1.9595917942265423E-2</v>
      </c>
      <c r="AP37" s="213">
        <f t="shared" si="31"/>
        <v>5.1031036307982884E-2</v>
      </c>
      <c r="AQ37" s="213">
        <f t="shared" si="32"/>
        <v>0.10206207261596574</v>
      </c>
      <c r="AR37" s="213">
        <f t="shared" si="46"/>
        <v>0.10206207261596575</v>
      </c>
      <c r="AS37" s="218">
        <f t="shared" si="47"/>
        <v>8.2487200063996093E-3</v>
      </c>
      <c r="AT37" s="217"/>
      <c r="AU37" s="213">
        <f t="shared" si="33"/>
        <v>2.6999999999999999E-5</v>
      </c>
      <c r="AV37" s="218">
        <f t="shared" si="48"/>
        <v>2.6999999999999999E-5</v>
      </c>
      <c r="AW37" s="217">
        <f t="shared" si="34"/>
        <v>0</v>
      </c>
      <c r="AX37" s="213">
        <f t="shared" si="35"/>
        <v>1.15E-3</v>
      </c>
      <c r="AY37" s="218">
        <f t="shared" si="49"/>
        <v>1.15E-3</v>
      </c>
      <c r="AZ37" s="217">
        <f t="shared" si="14"/>
        <v>0</v>
      </c>
      <c r="BA37" s="213">
        <f t="shared" si="15"/>
        <v>0</v>
      </c>
      <c r="BB37" s="213">
        <f t="shared" si="50"/>
        <v>0</v>
      </c>
      <c r="BC37" s="61">
        <f t="shared" si="36"/>
        <v>0</v>
      </c>
      <c r="BD37" s="58">
        <v>0</v>
      </c>
      <c r="BE37" s="49">
        <f t="shared" si="51"/>
        <v>0</v>
      </c>
      <c r="BF37" s="61">
        <f t="shared" si="52"/>
        <v>0</v>
      </c>
      <c r="BG37" s="58">
        <f t="shared" si="37"/>
        <v>0</v>
      </c>
      <c r="BH37" s="49">
        <f t="shared" si="38"/>
        <v>0</v>
      </c>
      <c r="BI37" s="61">
        <f t="shared" si="39"/>
        <v>0</v>
      </c>
      <c r="BK37" s="217">
        <f t="shared" si="17"/>
        <v>0</v>
      </c>
      <c r="BL37" s="213">
        <f t="shared" si="18"/>
        <v>0</v>
      </c>
      <c r="BM37" s="213">
        <f t="shared" si="19"/>
        <v>0</v>
      </c>
      <c r="BN37" s="61">
        <f t="shared" si="40"/>
        <v>0</v>
      </c>
      <c r="BO37" s="58">
        <v>0</v>
      </c>
      <c r="BP37" s="49">
        <f t="shared" si="41"/>
        <v>0</v>
      </c>
      <c r="BQ37" s="61">
        <f t="shared" si="53"/>
        <v>0</v>
      </c>
      <c r="BR37" s="58">
        <f t="shared" si="42"/>
        <v>0</v>
      </c>
      <c r="BS37" s="49">
        <f t="shared" si="54"/>
        <v>0</v>
      </c>
      <c r="BT37" s="61">
        <f t="shared" si="55"/>
        <v>0</v>
      </c>
      <c r="BU37" s="58">
        <f t="shared" si="20"/>
        <v>2.1773242158072689E-4</v>
      </c>
      <c r="BV37" s="49">
        <f t="shared" si="21"/>
        <v>3.6450000000000007E-3</v>
      </c>
      <c r="BW37" s="61">
        <f t="shared" si="22"/>
        <v>6.7499999999999999E-3</v>
      </c>
      <c r="BX37" s="49">
        <f t="shared" si="56"/>
        <v>9.2598071204458982E-2</v>
      </c>
      <c r="BY37" s="49">
        <f t="shared" si="43"/>
        <v>0.14304906540045109</v>
      </c>
      <c r="BZ37" s="49">
        <f t="shared" si="44"/>
        <v>91.293682677358973</v>
      </c>
    </row>
    <row r="38" spans="17:78" x14ac:dyDescent="0.3">
      <c r="Q38" s="49">
        <v>31</v>
      </c>
      <c r="R38" s="217">
        <f t="shared" si="0"/>
        <v>1.55</v>
      </c>
      <c r="S38" s="213">
        <f t="shared" si="1"/>
        <v>15</v>
      </c>
      <c r="T38" s="218">
        <f t="shared" si="2"/>
        <v>0.10333333333333333</v>
      </c>
      <c r="U38" s="217">
        <f t="shared" si="3"/>
        <v>1</v>
      </c>
      <c r="V38" s="213">
        <f t="shared" si="4"/>
        <v>0.24899799195977465</v>
      </c>
      <c r="W38" s="213">
        <f t="shared" si="5"/>
        <v>1.9919839356781974E-2</v>
      </c>
      <c r="X38" s="213">
        <f t="shared" si="23"/>
        <v>0.73108216868344333</v>
      </c>
      <c r="Y38" s="217">
        <f t="shared" si="24"/>
        <v>0.41499665326629104</v>
      </c>
      <c r="Z38" s="213">
        <f t="shared" si="6"/>
        <v>0.82999330653258219</v>
      </c>
      <c r="AA38" s="213">
        <f t="shared" si="25"/>
        <v>0.82999330653258219</v>
      </c>
      <c r="AB38" s="218">
        <f t="shared" si="7"/>
        <v>0.23911778828068095</v>
      </c>
      <c r="AC38" s="217">
        <v>0</v>
      </c>
      <c r="AD38" s="213">
        <f t="shared" si="26"/>
        <v>6.5753914173081254E-2</v>
      </c>
      <c r="AE38" s="218">
        <f t="shared" si="27"/>
        <v>6.5753914173081254E-2</v>
      </c>
      <c r="AF38" s="58">
        <f t="shared" si="8"/>
        <v>3.1000000000000003E-2</v>
      </c>
      <c r="AG38" s="61">
        <f t="shared" si="9"/>
        <v>3.1000000000000003E-2</v>
      </c>
      <c r="AH38" s="58">
        <f t="shared" si="10"/>
        <v>4.0024121670571193E-3</v>
      </c>
      <c r="AI38" s="49">
        <f t="shared" si="11"/>
        <v>4.9311307281757043E-3</v>
      </c>
      <c r="AJ38" s="61">
        <f t="shared" si="45"/>
        <v>8.9335428952328245E-3</v>
      </c>
      <c r="AK38" s="217">
        <f t="shared" si="12"/>
        <v>1.55</v>
      </c>
      <c r="AL38" s="213">
        <f t="shared" si="13"/>
        <v>1500</v>
      </c>
      <c r="AM38" s="218">
        <f t="shared" si="28"/>
        <v>1.0333333333333334E-3</v>
      </c>
      <c r="AN38" s="217">
        <f t="shared" si="29"/>
        <v>2</v>
      </c>
      <c r="AO38" s="213">
        <f t="shared" si="30"/>
        <v>1.9919839356781974E-2</v>
      </c>
      <c r="AP38" s="213">
        <f t="shared" si="31"/>
        <v>5.187458165828638E-2</v>
      </c>
      <c r="AQ38" s="213">
        <f t="shared" si="32"/>
        <v>0.10374916331657277</v>
      </c>
      <c r="AR38" s="213">
        <f t="shared" si="46"/>
        <v>0.10374916331657277</v>
      </c>
      <c r="AS38" s="218">
        <f t="shared" si="47"/>
        <v>8.454090479779932E-3</v>
      </c>
      <c r="AT38" s="217"/>
      <c r="AU38" s="213">
        <f t="shared" si="33"/>
        <v>2.883E-5</v>
      </c>
      <c r="AV38" s="218">
        <f t="shared" si="48"/>
        <v>2.883E-5</v>
      </c>
      <c r="AW38" s="217">
        <f t="shared" si="34"/>
        <v>0</v>
      </c>
      <c r="AX38" s="213">
        <f t="shared" si="35"/>
        <v>1.1883333333333333E-3</v>
      </c>
      <c r="AY38" s="218">
        <f t="shared" si="49"/>
        <v>1.1883333333333333E-3</v>
      </c>
      <c r="AZ38" s="217">
        <f t="shared" si="14"/>
        <v>0</v>
      </c>
      <c r="BA38" s="213">
        <f t="shared" si="15"/>
        <v>0</v>
      </c>
      <c r="BB38" s="213">
        <f t="shared" si="50"/>
        <v>0</v>
      </c>
      <c r="BC38" s="61">
        <f t="shared" si="36"/>
        <v>0</v>
      </c>
      <c r="BD38" s="58">
        <v>0</v>
      </c>
      <c r="BE38" s="49">
        <f t="shared" si="51"/>
        <v>0</v>
      </c>
      <c r="BF38" s="61">
        <f t="shared" si="52"/>
        <v>0</v>
      </c>
      <c r="BG38" s="58">
        <f t="shared" si="37"/>
        <v>0</v>
      </c>
      <c r="BH38" s="49">
        <f t="shared" si="38"/>
        <v>0</v>
      </c>
      <c r="BI38" s="61">
        <f t="shared" si="39"/>
        <v>0</v>
      </c>
      <c r="BK38" s="217">
        <f t="shared" si="17"/>
        <v>0</v>
      </c>
      <c r="BL38" s="213">
        <f t="shared" si="18"/>
        <v>0</v>
      </c>
      <c r="BM38" s="213">
        <f t="shared" si="19"/>
        <v>0</v>
      </c>
      <c r="BN38" s="61">
        <f t="shared" si="40"/>
        <v>0</v>
      </c>
      <c r="BO38" s="58">
        <v>0</v>
      </c>
      <c r="BP38" s="49">
        <f t="shared" si="41"/>
        <v>0</v>
      </c>
      <c r="BQ38" s="61">
        <f t="shared" si="53"/>
        <v>0</v>
      </c>
      <c r="BR38" s="58">
        <f t="shared" si="42"/>
        <v>0</v>
      </c>
      <c r="BS38" s="49">
        <f t="shared" si="54"/>
        <v>0</v>
      </c>
      <c r="BT38" s="61">
        <f t="shared" si="55"/>
        <v>0</v>
      </c>
      <c r="BU38" s="58">
        <f t="shared" si="20"/>
        <v>2.2870926668897823E-4</v>
      </c>
      <c r="BV38" s="49">
        <f t="shared" si="21"/>
        <v>3.6450000000000007E-3</v>
      </c>
      <c r="BW38" s="61">
        <f t="shared" si="22"/>
        <v>6.7499999999999999E-3</v>
      </c>
      <c r="BX38" s="49">
        <f t="shared" si="56"/>
        <v>9.6753914173081254E-2</v>
      </c>
      <c r="BY38" s="49">
        <f t="shared" si="43"/>
        <v>0.1485283296683364</v>
      </c>
      <c r="BZ38" s="49">
        <f t="shared" si="44"/>
        <v>91.255469392298053</v>
      </c>
    </row>
    <row r="39" spans="17:78" x14ac:dyDescent="0.3">
      <c r="Q39" s="49">
        <v>32</v>
      </c>
      <c r="R39" s="217">
        <f t="shared" ref="R39:R70" si="57">AK39+AZ39+BK39</f>
        <v>1.6</v>
      </c>
      <c r="S39" s="213">
        <f t="shared" si="1"/>
        <v>15</v>
      </c>
      <c r="T39" s="218">
        <f t="shared" ref="T39:T70" si="58">(R39)/(S39*EFF_est)</f>
        <v>0.10666666666666667</v>
      </c>
      <c r="U39" s="217">
        <f t="shared" ref="U39:U70" si="59">IF(R39&lt;((((Np/NS1_)*(AL39)/((S39+((Np/NS1_)*(AL39)))))^2)*(S39^2))/(2*Lm*Fsw),1,2)</f>
        <v>1</v>
      </c>
      <c r="V39" s="213">
        <f t="shared" ref="V39:V70" si="60">CHOOSE(U39,SQRT((2*Lm*R39*Fsw)/((S39^2)*EFF_est)),(((Np/NS1_)*(AL39))/(S39+((Np/NS1_)*(AL39)))))</f>
        <v>0.25298221281347033</v>
      </c>
      <c r="W39" s="213">
        <f t="shared" ref="W39:W70" si="61">CHOOSE(U39,(NS1_*S39*V39)/(Np*AL39),1-V39)</f>
        <v>2.0238577025077628E-2</v>
      </c>
      <c r="X39" s="213">
        <f t="shared" si="23"/>
        <v>0.72677921016145208</v>
      </c>
      <c r="Y39" s="217">
        <f t="shared" si="24"/>
        <v>0.42163702135578396</v>
      </c>
      <c r="Z39" s="213">
        <f t="shared" ref="Z39:Z70" si="62">(S39*V39)/(Lm*Fsw)</f>
        <v>0.84327404271156781</v>
      </c>
      <c r="AA39" s="213">
        <f t="shared" si="25"/>
        <v>0.84327404271156792</v>
      </c>
      <c r="AB39" s="218">
        <f t="shared" ref="AB39:AB70" si="63">CHOOSE(U39,AA39*SQRT(V39/3),SQRT(V39*((AA39^2)+((Z39^2)/(3))-(AA39*Z39))))</f>
        <v>0.2448798769772195</v>
      </c>
      <c r="AC39" s="217">
        <v>0</v>
      </c>
      <c r="AD39" s="213">
        <f t="shared" ref="AD39:AD70" si="64">(AB39^2)*Rdcr</f>
        <v>6.8961077270634885E-2</v>
      </c>
      <c r="AE39" s="218">
        <f t="shared" si="27"/>
        <v>6.8961077270634885E-2</v>
      </c>
      <c r="AF39" s="58">
        <f t="shared" ref="AF39:AF70" si="65">R39*0.02</f>
        <v>3.2000000000000001E-2</v>
      </c>
      <c r="AG39" s="61">
        <f t="shared" ref="AG39:AG70" si="66">R39*0.02</f>
        <v>3.2000000000000001E-2</v>
      </c>
      <c r="AH39" s="58">
        <f t="shared" ref="AH39:AH70" si="67">(AB39^2)*RDS_on</f>
        <v>4.1976307903864715E-3</v>
      </c>
      <c r="AI39" s="49">
        <f t="shared" ref="AI39:AI70" si="68">((Y39*(S39+((Np/NS1_)*VOUT1)))/2)*Fsw*(tr_sw+tf_sw)</f>
        <v>5.0100338298628509E-3</v>
      </c>
      <c r="AJ39" s="61">
        <f t="shared" si="45"/>
        <v>9.2076646202493215E-3</v>
      </c>
      <c r="AK39" s="217">
        <f t="shared" ref="AK39:AK70" si="69">Q39*$B$11</f>
        <v>1.6</v>
      </c>
      <c r="AL39" s="213">
        <f t="shared" si="13"/>
        <v>1500</v>
      </c>
      <c r="AM39" s="218">
        <f t="shared" si="28"/>
        <v>1.0666666666666667E-3</v>
      </c>
      <c r="AN39" s="217">
        <f t="shared" si="29"/>
        <v>2</v>
      </c>
      <c r="AO39" s="213">
        <f t="shared" si="30"/>
        <v>2.0238577025077628E-2</v>
      </c>
      <c r="AP39" s="213">
        <f t="shared" si="31"/>
        <v>5.2704627669472995E-2</v>
      </c>
      <c r="AQ39" s="213">
        <f t="shared" si="32"/>
        <v>0.10540925533894598</v>
      </c>
      <c r="AR39" s="213">
        <f t="shared" si="46"/>
        <v>0.10540925533894599</v>
      </c>
      <c r="AS39" s="218">
        <f t="shared" si="47"/>
        <v>8.6578110793359732E-3</v>
      </c>
      <c r="AT39" s="217"/>
      <c r="AU39" s="213">
        <f t="shared" si="33"/>
        <v>3.0720000000000004E-5</v>
      </c>
      <c r="AV39" s="218">
        <f t="shared" si="48"/>
        <v>3.0720000000000004E-5</v>
      </c>
      <c r="AW39" s="217">
        <f t="shared" si="34"/>
        <v>0</v>
      </c>
      <c r="AX39" s="213">
        <f t="shared" si="35"/>
        <v>1.2266666666666667E-3</v>
      </c>
      <c r="AY39" s="218">
        <f t="shared" si="49"/>
        <v>1.2266666666666667E-3</v>
      </c>
      <c r="AZ39" s="217">
        <f t="shared" ref="AZ39:AZ70" si="70">IF(EN_OUT_2=1,Q39*$B$15,0)</f>
        <v>0</v>
      </c>
      <c r="BA39" s="213">
        <f t="shared" ref="BA39:BA70" si="71">IF(EN_OUT_2=1,VOUT2,0)</f>
        <v>0</v>
      </c>
      <c r="BB39" s="213">
        <f t="shared" si="50"/>
        <v>0</v>
      </c>
      <c r="BC39" s="61">
        <f t="shared" si="36"/>
        <v>0</v>
      </c>
      <c r="BD39" s="58">
        <v>0</v>
      </c>
      <c r="BE39" s="49">
        <f t="shared" si="51"/>
        <v>0</v>
      </c>
      <c r="BF39" s="61">
        <f t="shared" si="52"/>
        <v>0</v>
      </c>
      <c r="BG39" s="58">
        <f t="shared" si="37"/>
        <v>0</v>
      </c>
      <c r="BH39" s="49">
        <f t="shared" si="38"/>
        <v>0</v>
      </c>
      <c r="BI39" s="61">
        <f t="shared" si="39"/>
        <v>0</v>
      </c>
      <c r="BK39" s="217">
        <f t="shared" ref="BK39:BK70" si="72">IF(EN_OUT_3=1,Q39*$B$19,0)</f>
        <v>0</v>
      </c>
      <c r="BL39" s="213">
        <f t="shared" si="18"/>
        <v>0</v>
      </c>
      <c r="BM39" s="213">
        <f t="shared" ref="BM39:BM70" si="73">IF(EN_OUT_3=1,BK39/BL39,0)</f>
        <v>0</v>
      </c>
      <c r="BN39" s="61">
        <f t="shared" si="40"/>
        <v>0</v>
      </c>
      <c r="BO39" s="58">
        <v>0</v>
      </c>
      <c r="BP39" s="49">
        <f t="shared" si="41"/>
        <v>0</v>
      </c>
      <c r="BQ39" s="61">
        <f t="shared" si="53"/>
        <v>0</v>
      </c>
      <c r="BR39" s="58">
        <f t="shared" si="42"/>
        <v>0</v>
      </c>
      <c r="BS39" s="49">
        <f t="shared" si="54"/>
        <v>0</v>
      </c>
      <c r="BT39" s="61">
        <f t="shared" si="55"/>
        <v>0</v>
      </c>
      <c r="BU39" s="58">
        <f t="shared" ref="BU39:BU70" si="74">(AB39^2)*R_cs</f>
        <v>2.3986461659351264E-4</v>
      </c>
      <c r="BV39" s="49">
        <f t="shared" si="21"/>
        <v>3.6450000000000007E-3</v>
      </c>
      <c r="BW39" s="61">
        <f t="shared" ref="BW39:BW70" si="75">IQ*S39</f>
        <v>6.7499999999999999E-3</v>
      </c>
      <c r="BX39" s="49">
        <f t="shared" si="56"/>
        <v>0.10096107727063489</v>
      </c>
      <c r="BY39" s="49">
        <f t="shared" si="43"/>
        <v>0.1540609931741444</v>
      </c>
      <c r="BZ39" s="49">
        <f t="shared" si="44"/>
        <v>91.216896460632427</v>
      </c>
    </row>
    <row r="40" spans="17:78" x14ac:dyDescent="0.3">
      <c r="Q40" s="49">
        <v>33</v>
      </c>
      <c r="R40" s="217">
        <f t="shared" si="57"/>
        <v>1.6500000000000001</v>
      </c>
      <c r="S40" s="213">
        <f t="shared" si="1"/>
        <v>15</v>
      </c>
      <c r="T40" s="218">
        <f t="shared" si="58"/>
        <v>0.11000000000000001</v>
      </c>
      <c r="U40" s="217">
        <f t="shared" si="59"/>
        <v>1</v>
      </c>
      <c r="V40" s="213">
        <f t="shared" si="60"/>
        <v>0.25690465157330261</v>
      </c>
      <c r="W40" s="213">
        <f t="shared" si="61"/>
        <v>2.0552372125864211E-2</v>
      </c>
      <c r="X40" s="213">
        <f t="shared" si="23"/>
        <v>0.72254297630083308</v>
      </c>
      <c r="Y40" s="217">
        <f t="shared" ref="Y40:Y71" si="76">R40/(S40*EFF_est*V40)</f>
        <v>0.42817441928883759</v>
      </c>
      <c r="Z40" s="213">
        <f t="shared" si="62"/>
        <v>0.85634883857767541</v>
      </c>
      <c r="AA40" s="213">
        <f t="shared" si="25"/>
        <v>0.8563488385776753</v>
      </c>
      <c r="AB40" s="218">
        <f t="shared" si="63"/>
        <v>0.2505971165616826</v>
      </c>
      <c r="AC40" s="217">
        <v>0</v>
      </c>
      <c r="AD40" s="213">
        <f t="shared" si="64"/>
        <v>7.2218752053383975E-2</v>
      </c>
      <c r="AE40" s="218">
        <f t="shared" si="27"/>
        <v>7.2218752053383975E-2</v>
      </c>
      <c r="AF40" s="58">
        <f t="shared" si="65"/>
        <v>3.3000000000000002E-2</v>
      </c>
      <c r="AG40" s="61">
        <f t="shared" si="66"/>
        <v>3.3000000000000002E-2</v>
      </c>
      <c r="AH40" s="58">
        <f t="shared" si="67"/>
        <v>4.3959240380320678E-3</v>
      </c>
      <c r="AI40" s="49">
        <f t="shared" si="68"/>
        <v>5.0877134052913974E-3</v>
      </c>
      <c r="AJ40" s="61">
        <f t="shared" si="45"/>
        <v>9.4836374433234644E-3</v>
      </c>
      <c r="AK40" s="217">
        <f t="shared" si="69"/>
        <v>1.6500000000000001</v>
      </c>
      <c r="AL40" s="213">
        <f t="shared" si="13"/>
        <v>1500</v>
      </c>
      <c r="AM40" s="218">
        <f t="shared" si="28"/>
        <v>1.1000000000000001E-3</v>
      </c>
      <c r="AN40" s="217">
        <f t="shared" ref="AN40:AN71" si="77">IF(((AL40*AO40)/(Fsw*$AO$2))/2&gt;AP40,1,2)</f>
        <v>2</v>
      </c>
      <c r="AO40" s="213">
        <f t="shared" ref="AO40:AO71" si="78">AM40/AP40</f>
        <v>2.0552372125864211E-2</v>
      </c>
      <c r="AP40" s="213">
        <f t="shared" ref="AP40:AP71" si="79">Np*$Y40*AK40/(R40*NS1_)</f>
        <v>5.3521802411104699E-2</v>
      </c>
      <c r="AQ40" s="213">
        <f t="shared" ref="AQ40:AQ71" si="80">(AL40*AO40)/(Fsw*$AO$2)</f>
        <v>0.10704360482220943</v>
      </c>
      <c r="AR40" s="213">
        <f t="shared" si="46"/>
        <v>0.10704360482220941</v>
      </c>
      <c r="AS40" s="218">
        <f t="shared" si="47"/>
        <v>8.8599460233280726E-3</v>
      </c>
      <c r="AT40" s="217"/>
      <c r="AU40" s="213">
        <f t="shared" ref="AU40:AU71" si="81">(AM40^2)*Rdcr1</f>
        <v>3.2670000000000004E-5</v>
      </c>
      <c r="AV40" s="218">
        <f t="shared" si="48"/>
        <v>3.2670000000000004E-5</v>
      </c>
      <c r="AW40" s="217">
        <f t="shared" ref="AW40:AW71" si="82">(VOUT1+((NS1_/Np)*S40))*QRR1_*Fsw</f>
        <v>0</v>
      </c>
      <c r="AX40" s="213">
        <f t="shared" ref="AX40:AX71" si="83">AM40*VD1_</f>
        <v>1.2650000000000001E-3</v>
      </c>
      <c r="AY40" s="218">
        <f t="shared" si="49"/>
        <v>1.2650000000000001E-3</v>
      </c>
      <c r="AZ40" s="217">
        <f t="shared" si="70"/>
        <v>0</v>
      </c>
      <c r="BA40" s="213">
        <f t="shared" si="71"/>
        <v>0</v>
      </c>
      <c r="BB40" s="213">
        <f t="shared" si="50"/>
        <v>0</v>
      </c>
      <c r="BC40" s="61">
        <f t="shared" ref="BC40:BC71" si="84">IF(EN_OUT_2=1,AZ40/BA40,0)</f>
        <v>0</v>
      </c>
      <c r="BD40" s="58">
        <v>0</v>
      </c>
      <c r="BE40" s="49">
        <f t="shared" ref="BE40:BE71" si="85">(BB40^2)*Rdcr2</f>
        <v>0</v>
      </c>
      <c r="BF40" s="61">
        <f t="shared" si="52"/>
        <v>0</v>
      </c>
      <c r="BG40" s="58">
        <f t="shared" ref="BG40:BG71" si="86">(VOUT2+((NS2_/Np)*S40))*QRR2_*Fsw</f>
        <v>0</v>
      </c>
      <c r="BH40" s="49">
        <f t="shared" ref="BH40:BH71" si="87">BB40*VD2_</f>
        <v>0</v>
      </c>
      <c r="BI40" s="61">
        <f t="shared" ref="BI40:BI71" si="88">BH40+BG40</f>
        <v>0</v>
      </c>
      <c r="BK40" s="217">
        <f t="shared" si="72"/>
        <v>0</v>
      </c>
      <c r="BL40" s="213">
        <f t="shared" si="18"/>
        <v>0</v>
      </c>
      <c r="BM40" s="213">
        <f t="shared" si="73"/>
        <v>0</v>
      </c>
      <c r="BN40" s="61">
        <f t="shared" ref="BN40:BN71" si="89">Y40*(Np/NS3_)*(BK40/R40)</f>
        <v>0</v>
      </c>
      <c r="BO40" s="58">
        <v>0</v>
      </c>
      <c r="BP40" s="49">
        <f t="shared" ref="BP40:BP71" si="90">(BM40^2)*Rdcr3</f>
        <v>0</v>
      </c>
      <c r="BQ40" s="61">
        <f t="shared" si="53"/>
        <v>0</v>
      </c>
      <c r="BR40" s="58">
        <f t="shared" ref="BR40:BR71" si="91">(VOUT3+((NS3_/Np)*S40))*QRR3_*Fsw</f>
        <v>0</v>
      </c>
      <c r="BS40" s="49">
        <f t="shared" ref="BS40:BS71" si="92">BM40*VD3_</f>
        <v>0</v>
      </c>
      <c r="BT40" s="61">
        <f t="shared" si="55"/>
        <v>0</v>
      </c>
      <c r="BU40" s="58">
        <f t="shared" si="74"/>
        <v>2.5119565931611815E-4</v>
      </c>
      <c r="BV40" s="49">
        <f t="shared" si="21"/>
        <v>3.6450000000000007E-3</v>
      </c>
      <c r="BW40" s="61">
        <f t="shared" si="75"/>
        <v>6.7499999999999999E-3</v>
      </c>
      <c r="BX40" s="49">
        <f t="shared" si="56"/>
        <v>0.10521875205338398</v>
      </c>
      <c r="BY40" s="49">
        <f t="shared" si="43"/>
        <v>0.15964625515602357</v>
      </c>
      <c r="BZ40" s="49">
        <f t="shared" ref="BZ40:BZ71" si="93">(R40/(R40+BY40))*100</f>
        <v>91.178040752375694</v>
      </c>
    </row>
    <row r="41" spans="17:78" x14ac:dyDescent="0.3">
      <c r="Q41" s="49">
        <v>34</v>
      </c>
      <c r="R41" s="217">
        <f t="shared" si="57"/>
        <v>1.7000000000000002</v>
      </c>
      <c r="S41" s="213">
        <f t="shared" si="1"/>
        <v>15</v>
      </c>
      <c r="T41" s="218">
        <f t="shared" si="58"/>
        <v>0.11333333333333334</v>
      </c>
      <c r="U41" s="217">
        <f t="shared" si="59"/>
        <v>1</v>
      </c>
      <c r="V41" s="213">
        <f t="shared" si="60"/>
        <v>0.26076809620810598</v>
      </c>
      <c r="W41" s="213">
        <f t="shared" si="61"/>
        <v>2.0861447696648477E-2</v>
      </c>
      <c r="X41" s="213">
        <f t="shared" si="23"/>
        <v>0.71837045609524552</v>
      </c>
      <c r="Y41" s="217">
        <f t="shared" si="76"/>
        <v>0.4346134936801766</v>
      </c>
      <c r="Z41" s="213">
        <f t="shared" si="62"/>
        <v>0.86922698736035331</v>
      </c>
      <c r="AA41" s="213">
        <f t="shared" si="25"/>
        <v>0.86922698736035331</v>
      </c>
      <c r="AB41" s="218">
        <f t="shared" si="63"/>
        <v>0.25627119996966763</v>
      </c>
      <c r="AC41" s="217">
        <v>0</v>
      </c>
      <c r="AD41" s="213">
        <f t="shared" si="64"/>
        <v>7.5526167123977389E-2</v>
      </c>
      <c r="AE41" s="218">
        <f t="shared" si="27"/>
        <v>7.5526167123977389E-2</v>
      </c>
      <c r="AF41" s="58">
        <f t="shared" si="65"/>
        <v>3.4000000000000002E-2</v>
      </c>
      <c r="AG41" s="61">
        <f t="shared" si="66"/>
        <v>3.4000000000000002E-2</v>
      </c>
      <c r="AH41" s="58">
        <f t="shared" si="67"/>
        <v>4.5972449553725366E-3</v>
      </c>
      <c r="AI41" s="49">
        <f t="shared" si="68"/>
        <v>5.1642246671105771E-3</v>
      </c>
      <c r="AJ41" s="61">
        <f t="shared" si="45"/>
        <v>9.7614696224831137E-3</v>
      </c>
      <c r="AK41" s="217">
        <f t="shared" si="69"/>
        <v>1.7000000000000002</v>
      </c>
      <c r="AL41" s="213">
        <f t="shared" si="13"/>
        <v>1500</v>
      </c>
      <c r="AM41" s="218">
        <f t="shared" si="28"/>
        <v>1.1333333333333334E-3</v>
      </c>
      <c r="AN41" s="217">
        <f t="shared" si="77"/>
        <v>2</v>
      </c>
      <c r="AO41" s="213">
        <f t="shared" si="78"/>
        <v>2.0861447696648477E-2</v>
      </c>
      <c r="AP41" s="213">
        <f t="shared" si="79"/>
        <v>5.4326686710022075E-2</v>
      </c>
      <c r="AQ41" s="213">
        <f t="shared" si="80"/>
        <v>0.10865337342004415</v>
      </c>
      <c r="AR41" s="213">
        <f t="shared" si="46"/>
        <v>0.10865337342004415</v>
      </c>
      <c r="AS41" s="218">
        <f t="shared" si="47"/>
        <v>9.0605551660682855E-3</v>
      </c>
      <c r="AT41" s="217"/>
      <c r="AU41" s="213">
        <f t="shared" si="81"/>
        <v>3.468E-5</v>
      </c>
      <c r="AV41" s="218">
        <f t="shared" si="48"/>
        <v>3.468E-5</v>
      </c>
      <c r="AW41" s="217">
        <f t="shared" si="82"/>
        <v>0</v>
      </c>
      <c r="AX41" s="213">
        <f t="shared" si="83"/>
        <v>1.3033333333333334E-3</v>
      </c>
      <c r="AY41" s="218">
        <f t="shared" si="49"/>
        <v>1.3033333333333334E-3</v>
      </c>
      <c r="AZ41" s="217">
        <f t="shared" si="70"/>
        <v>0</v>
      </c>
      <c r="BA41" s="213">
        <f t="shared" si="71"/>
        <v>0</v>
      </c>
      <c r="BB41" s="213">
        <f t="shared" si="50"/>
        <v>0</v>
      </c>
      <c r="BC41" s="61">
        <f t="shared" si="84"/>
        <v>0</v>
      </c>
      <c r="BD41" s="58">
        <v>0</v>
      </c>
      <c r="BE41" s="49">
        <f t="shared" si="85"/>
        <v>0</v>
      </c>
      <c r="BF41" s="61">
        <f t="shared" si="52"/>
        <v>0</v>
      </c>
      <c r="BG41" s="58">
        <f t="shared" si="86"/>
        <v>0</v>
      </c>
      <c r="BH41" s="49">
        <f t="shared" si="87"/>
        <v>0</v>
      </c>
      <c r="BI41" s="61">
        <f t="shared" si="88"/>
        <v>0</v>
      </c>
      <c r="BK41" s="217">
        <f t="shared" si="72"/>
        <v>0</v>
      </c>
      <c r="BL41" s="213">
        <f t="shared" si="18"/>
        <v>0</v>
      </c>
      <c r="BM41" s="213">
        <f t="shared" si="73"/>
        <v>0</v>
      </c>
      <c r="BN41" s="61">
        <f t="shared" si="89"/>
        <v>0</v>
      </c>
      <c r="BO41" s="58">
        <v>0</v>
      </c>
      <c r="BP41" s="49">
        <f t="shared" si="90"/>
        <v>0</v>
      </c>
      <c r="BQ41" s="61">
        <f t="shared" si="53"/>
        <v>0</v>
      </c>
      <c r="BR41" s="58">
        <f t="shared" si="91"/>
        <v>0</v>
      </c>
      <c r="BS41" s="49">
        <f t="shared" si="92"/>
        <v>0</v>
      </c>
      <c r="BT41" s="61">
        <f t="shared" si="55"/>
        <v>0</v>
      </c>
      <c r="BU41" s="58">
        <f t="shared" si="74"/>
        <v>2.626997117355735E-4</v>
      </c>
      <c r="BV41" s="49">
        <f t="shared" si="21"/>
        <v>3.6450000000000007E-3</v>
      </c>
      <c r="BW41" s="61">
        <f t="shared" si="75"/>
        <v>6.7499999999999999E-3</v>
      </c>
      <c r="BX41" s="49">
        <f t="shared" si="56"/>
        <v>0.10952616712397739</v>
      </c>
      <c r="BY41" s="49">
        <f t="shared" si="43"/>
        <v>0.16528334979152942</v>
      </c>
      <c r="BZ41" s="49">
        <f t="shared" si="93"/>
        <v>91.138968253268231</v>
      </c>
    </row>
    <row r="42" spans="17:78" x14ac:dyDescent="0.3">
      <c r="Q42" s="49">
        <v>35</v>
      </c>
      <c r="R42" s="217">
        <f t="shared" si="57"/>
        <v>1.75</v>
      </c>
      <c r="S42" s="213">
        <f t="shared" si="1"/>
        <v>15</v>
      </c>
      <c r="T42" s="218">
        <f t="shared" si="58"/>
        <v>0.11666666666666667</v>
      </c>
      <c r="U42" s="217">
        <f t="shared" si="59"/>
        <v>1</v>
      </c>
      <c r="V42" s="213">
        <f t="shared" si="60"/>
        <v>0.26457513110645903</v>
      </c>
      <c r="W42" s="213">
        <f t="shared" si="61"/>
        <v>2.1166010488516723E-2</v>
      </c>
      <c r="X42" s="213">
        <f t="shared" si="23"/>
        <v>0.71425885840502423</v>
      </c>
      <c r="Y42" s="217">
        <f t="shared" si="76"/>
        <v>0.44095855184409843</v>
      </c>
      <c r="Z42" s="213">
        <f t="shared" si="62"/>
        <v>0.88191710368819676</v>
      </c>
      <c r="AA42" s="213">
        <f t="shared" si="25"/>
        <v>0.88191710368819676</v>
      </c>
      <c r="AB42" s="218">
        <f t="shared" si="63"/>
        <v>0.26190370846760064</v>
      </c>
      <c r="AC42" s="217">
        <v>0</v>
      </c>
      <c r="AD42" s="213">
        <f t="shared" si="64"/>
        <v>7.8882585385444251E-2</v>
      </c>
      <c r="AE42" s="218">
        <f t="shared" si="27"/>
        <v>7.8882585385444251E-2</v>
      </c>
      <c r="AF42" s="58">
        <f t="shared" si="65"/>
        <v>3.5000000000000003E-2</v>
      </c>
      <c r="AG42" s="61">
        <f t="shared" si="66"/>
        <v>3.5000000000000003E-2</v>
      </c>
      <c r="AH42" s="58">
        <f t="shared" si="67"/>
        <v>4.8015486756357367E-3</v>
      </c>
      <c r="AI42" s="49">
        <f t="shared" si="68"/>
        <v>5.2396187962870863E-3</v>
      </c>
      <c r="AJ42" s="61">
        <f t="shared" si="45"/>
        <v>1.0041167471922824E-2</v>
      </c>
      <c r="AK42" s="217">
        <f t="shared" si="69"/>
        <v>1.75</v>
      </c>
      <c r="AL42" s="213">
        <f t="shared" si="13"/>
        <v>1500</v>
      </c>
      <c r="AM42" s="218">
        <f t="shared" si="28"/>
        <v>1.1666666666666668E-3</v>
      </c>
      <c r="AN42" s="217">
        <f t="shared" si="77"/>
        <v>2</v>
      </c>
      <c r="AO42" s="213">
        <f t="shared" si="78"/>
        <v>2.1166010488516726E-2</v>
      </c>
      <c r="AP42" s="213">
        <f t="shared" si="79"/>
        <v>5.5119818980512304E-2</v>
      </c>
      <c r="AQ42" s="213">
        <f t="shared" si="80"/>
        <v>0.11023963796102461</v>
      </c>
      <c r="AR42" s="213">
        <f t="shared" si="46"/>
        <v>0.11023963796102461</v>
      </c>
      <c r="AS42" s="218">
        <f t="shared" si="47"/>
        <v>9.259694413767252E-3</v>
      </c>
      <c r="AT42" s="217"/>
      <c r="AU42" s="213">
        <f t="shared" si="81"/>
        <v>3.6750000000000006E-5</v>
      </c>
      <c r="AV42" s="218">
        <f t="shared" si="48"/>
        <v>3.6750000000000006E-5</v>
      </c>
      <c r="AW42" s="217">
        <f t="shared" si="82"/>
        <v>0</v>
      </c>
      <c r="AX42" s="213">
        <f t="shared" si="83"/>
        <v>1.3416666666666666E-3</v>
      </c>
      <c r="AY42" s="218">
        <f t="shared" si="49"/>
        <v>1.3416666666666666E-3</v>
      </c>
      <c r="AZ42" s="217">
        <f t="shared" si="70"/>
        <v>0</v>
      </c>
      <c r="BA42" s="213">
        <f t="shared" si="71"/>
        <v>0</v>
      </c>
      <c r="BB42" s="213">
        <f t="shared" si="50"/>
        <v>0</v>
      </c>
      <c r="BC42" s="61">
        <f t="shared" si="84"/>
        <v>0</v>
      </c>
      <c r="BD42" s="58">
        <v>0</v>
      </c>
      <c r="BE42" s="49">
        <f t="shared" si="85"/>
        <v>0</v>
      </c>
      <c r="BF42" s="61">
        <f t="shared" si="52"/>
        <v>0</v>
      </c>
      <c r="BG42" s="58">
        <f t="shared" si="86"/>
        <v>0</v>
      </c>
      <c r="BH42" s="49">
        <f t="shared" si="87"/>
        <v>0</v>
      </c>
      <c r="BI42" s="61">
        <f t="shared" si="88"/>
        <v>0</v>
      </c>
      <c r="BK42" s="217">
        <f t="shared" si="72"/>
        <v>0</v>
      </c>
      <c r="BL42" s="213">
        <f t="shared" si="18"/>
        <v>0</v>
      </c>
      <c r="BM42" s="213">
        <f t="shared" si="73"/>
        <v>0</v>
      </c>
      <c r="BN42" s="61">
        <f t="shared" si="89"/>
        <v>0</v>
      </c>
      <c r="BO42" s="58">
        <v>0</v>
      </c>
      <c r="BP42" s="49">
        <f t="shared" si="90"/>
        <v>0</v>
      </c>
      <c r="BQ42" s="61">
        <f t="shared" si="53"/>
        <v>0</v>
      </c>
      <c r="BR42" s="58">
        <f t="shared" si="91"/>
        <v>0</v>
      </c>
      <c r="BS42" s="49">
        <f t="shared" si="92"/>
        <v>0</v>
      </c>
      <c r="BT42" s="61">
        <f t="shared" si="55"/>
        <v>0</v>
      </c>
      <c r="BU42" s="58">
        <f t="shared" si="74"/>
        <v>2.7437421003632777E-4</v>
      </c>
      <c r="BV42" s="49">
        <f t="shared" si="21"/>
        <v>3.6450000000000007E-3</v>
      </c>
      <c r="BW42" s="61">
        <f t="shared" si="75"/>
        <v>6.7499999999999999E-3</v>
      </c>
      <c r="BX42" s="49">
        <f t="shared" si="56"/>
        <v>0.11388258538544425</v>
      </c>
      <c r="BY42" s="49">
        <f t="shared" si="43"/>
        <v>0.17097154373407009</v>
      </c>
      <c r="BZ42" s="49">
        <f t="shared" si="93"/>
        <v>91.099735740919513</v>
      </c>
    </row>
    <row r="43" spans="17:78" x14ac:dyDescent="0.3">
      <c r="Q43" s="49">
        <v>36</v>
      </c>
      <c r="R43" s="217">
        <f t="shared" si="57"/>
        <v>1.8</v>
      </c>
      <c r="S43" s="213">
        <f t="shared" si="1"/>
        <v>15</v>
      </c>
      <c r="T43" s="218">
        <f t="shared" si="58"/>
        <v>0.12000000000000001</v>
      </c>
      <c r="U43" s="217">
        <f t="shared" si="59"/>
        <v>1</v>
      </c>
      <c r="V43" s="213">
        <f t="shared" si="60"/>
        <v>0.26832815729997478</v>
      </c>
      <c r="W43" s="213">
        <f t="shared" si="61"/>
        <v>2.146625258399798E-2</v>
      </c>
      <c r="X43" s="213">
        <f t="shared" si="23"/>
        <v>0.71020559011602735</v>
      </c>
      <c r="Y43" s="217">
        <f t="shared" si="76"/>
        <v>0.44721359549995798</v>
      </c>
      <c r="Z43" s="213">
        <f t="shared" si="62"/>
        <v>0.89442719099991586</v>
      </c>
      <c r="AA43" s="213">
        <f t="shared" si="25"/>
        <v>0.89442719099991597</v>
      </c>
      <c r="AB43" s="218">
        <f t="shared" si="63"/>
        <v>0.26749612199056882</v>
      </c>
      <c r="AC43" s="217">
        <v>0</v>
      </c>
      <c r="AD43" s="213">
        <f t="shared" si="64"/>
        <v>8.228730157199228E-2</v>
      </c>
      <c r="AE43" s="218">
        <f t="shared" si="27"/>
        <v>8.228730157199228E-2</v>
      </c>
      <c r="AF43" s="58">
        <f t="shared" si="65"/>
        <v>3.6000000000000004E-2</v>
      </c>
      <c r="AG43" s="61">
        <f t="shared" si="66"/>
        <v>3.6000000000000004E-2</v>
      </c>
      <c r="AH43" s="58">
        <f t="shared" si="67"/>
        <v>5.00879226959953E-3</v>
      </c>
      <c r="AI43" s="49">
        <f t="shared" si="68"/>
        <v>5.3139433426050474E-3</v>
      </c>
      <c r="AJ43" s="61">
        <f t="shared" si="45"/>
        <v>1.0322735612204578E-2</v>
      </c>
      <c r="AK43" s="217">
        <f t="shared" si="69"/>
        <v>1.8</v>
      </c>
      <c r="AL43" s="213">
        <f t="shared" si="13"/>
        <v>1500</v>
      </c>
      <c r="AM43" s="218">
        <f t="shared" si="28"/>
        <v>1.2000000000000001E-3</v>
      </c>
      <c r="AN43" s="217">
        <f t="shared" si="77"/>
        <v>2</v>
      </c>
      <c r="AO43" s="213">
        <f t="shared" si="78"/>
        <v>2.146625258399798E-2</v>
      </c>
      <c r="AP43" s="213">
        <f t="shared" si="79"/>
        <v>5.5901699437494748E-2</v>
      </c>
      <c r="AQ43" s="213">
        <f t="shared" si="80"/>
        <v>0.11180339887498948</v>
      </c>
      <c r="AR43" s="213">
        <f t="shared" si="46"/>
        <v>0.1118033988749895</v>
      </c>
      <c r="AS43" s="218">
        <f t="shared" si="47"/>
        <v>9.4574160900317613E-3</v>
      </c>
      <c r="AT43" s="217"/>
      <c r="AU43" s="213">
        <f t="shared" si="81"/>
        <v>3.8880000000000007E-5</v>
      </c>
      <c r="AV43" s="218">
        <f t="shared" si="48"/>
        <v>3.8880000000000007E-5</v>
      </c>
      <c r="AW43" s="217">
        <f t="shared" si="82"/>
        <v>0</v>
      </c>
      <c r="AX43" s="213">
        <f t="shared" si="83"/>
        <v>1.3799999999999999E-3</v>
      </c>
      <c r="AY43" s="218">
        <f t="shared" si="49"/>
        <v>1.3799999999999999E-3</v>
      </c>
      <c r="AZ43" s="217">
        <f t="shared" si="70"/>
        <v>0</v>
      </c>
      <c r="BA43" s="213">
        <f t="shared" si="71"/>
        <v>0</v>
      </c>
      <c r="BB43" s="213">
        <f t="shared" si="50"/>
        <v>0</v>
      </c>
      <c r="BC43" s="61">
        <f t="shared" si="84"/>
        <v>0</v>
      </c>
      <c r="BD43" s="58">
        <v>0</v>
      </c>
      <c r="BE43" s="49">
        <f t="shared" si="85"/>
        <v>0</v>
      </c>
      <c r="BF43" s="61">
        <f t="shared" si="52"/>
        <v>0</v>
      </c>
      <c r="BG43" s="58">
        <f t="shared" si="86"/>
        <v>0</v>
      </c>
      <c r="BH43" s="49">
        <f t="shared" si="87"/>
        <v>0</v>
      </c>
      <c r="BI43" s="61">
        <f t="shared" si="88"/>
        <v>0</v>
      </c>
      <c r="BK43" s="217">
        <f t="shared" si="72"/>
        <v>0</v>
      </c>
      <c r="BL43" s="213">
        <f t="shared" si="18"/>
        <v>0</v>
      </c>
      <c r="BM43" s="213">
        <f t="shared" si="73"/>
        <v>0</v>
      </c>
      <c r="BN43" s="61">
        <f t="shared" si="89"/>
        <v>0</v>
      </c>
      <c r="BO43" s="58">
        <v>0</v>
      </c>
      <c r="BP43" s="49">
        <f t="shared" si="90"/>
        <v>0</v>
      </c>
      <c r="BQ43" s="61">
        <f t="shared" si="53"/>
        <v>0</v>
      </c>
      <c r="BR43" s="58">
        <f t="shared" si="91"/>
        <v>0</v>
      </c>
      <c r="BS43" s="49">
        <f t="shared" si="92"/>
        <v>0</v>
      </c>
      <c r="BT43" s="61">
        <f t="shared" si="55"/>
        <v>0</v>
      </c>
      <c r="BU43" s="58">
        <f t="shared" si="74"/>
        <v>2.8621670111997311E-4</v>
      </c>
      <c r="BV43" s="49">
        <f t="shared" si="21"/>
        <v>3.6450000000000007E-3</v>
      </c>
      <c r="BW43" s="61">
        <f t="shared" si="75"/>
        <v>6.7499999999999999E-3</v>
      </c>
      <c r="BX43" s="49">
        <f t="shared" si="56"/>
        <v>0.11828730157199228</v>
      </c>
      <c r="BY43" s="49">
        <f t="shared" si="43"/>
        <v>0.17671013388531684</v>
      </c>
      <c r="BZ43" s="49">
        <f t="shared" si="93"/>
        <v>91.06039217100664</v>
      </c>
    </row>
    <row r="44" spans="17:78" x14ac:dyDescent="0.3">
      <c r="Q44" s="49">
        <v>37</v>
      </c>
      <c r="R44" s="217">
        <f t="shared" si="57"/>
        <v>1.85</v>
      </c>
      <c r="S44" s="213">
        <f t="shared" si="1"/>
        <v>15</v>
      </c>
      <c r="T44" s="218">
        <f t="shared" si="58"/>
        <v>0.12333333333333334</v>
      </c>
      <c r="U44" s="217">
        <f t="shared" si="59"/>
        <v>1</v>
      </c>
      <c r="V44" s="213">
        <f t="shared" si="60"/>
        <v>0.27202941017470889</v>
      </c>
      <c r="W44" s="213">
        <f t="shared" si="61"/>
        <v>2.1762352813976708E-2</v>
      </c>
      <c r="X44" s="213">
        <f t="shared" si="23"/>
        <v>0.7062082370113143</v>
      </c>
      <c r="Y44" s="217">
        <f t="shared" si="76"/>
        <v>0.45338235029118146</v>
      </c>
      <c r="Z44" s="213">
        <f t="shared" si="62"/>
        <v>0.90676470058236291</v>
      </c>
      <c r="AA44" s="213">
        <f t="shared" si="25"/>
        <v>0.90676470058236291</v>
      </c>
      <c r="AB44" s="218">
        <f t="shared" si="63"/>
        <v>0.27304982826317586</v>
      </c>
      <c r="AC44" s="217">
        <v>0</v>
      </c>
      <c r="AD44" s="213">
        <f t="shared" si="64"/>
        <v>8.5739640021732316E-2</v>
      </c>
      <c r="AE44" s="218">
        <f t="shared" si="27"/>
        <v>8.5739640021732316E-2</v>
      </c>
      <c r="AF44" s="58">
        <f t="shared" si="65"/>
        <v>3.7000000000000005E-2</v>
      </c>
      <c r="AG44" s="61">
        <f t="shared" si="66"/>
        <v>3.7000000000000005E-2</v>
      </c>
      <c r="AH44" s="58">
        <f t="shared" si="67"/>
        <v>5.2189346100184886E-3</v>
      </c>
      <c r="AI44" s="49">
        <f t="shared" si="68"/>
        <v>5.3872425754209431E-3</v>
      </c>
      <c r="AJ44" s="61">
        <f t="shared" si="45"/>
        <v>1.0606177185439433E-2</v>
      </c>
      <c r="AK44" s="217">
        <f t="shared" si="69"/>
        <v>1.85</v>
      </c>
      <c r="AL44" s="213">
        <f t="shared" si="13"/>
        <v>1500</v>
      </c>
      <c r="AM44" s="218">
        <f t="shared" si="28"/>
        <v>1.2333333333333335E-3</v>
      </c>
      <c r="AN44" s="217">
        <f t="shared" si="77"/>
        <v>2</v>
      </c>
      <c r="AO44" s="213">
        <f t="shared" si="78"/>
        <v>2.1762352813976711E-2</v>
      </c>
      <c r="AP44" s="213">
        <f t="shared" si="79"/>
        <v>5.6672793786397682E-2</v>
      </c>
      <c r="AQ44" s="213">
        <f t="shared" si="80"/>
        <v>0.11334558757279536</v>
      </c>
      <c r="AR44" s="213">
        <f t="shared" si="46"/>
        <v>0.11334558757279536</v>
      </c>
      <c r="AS44" s="218">
        <f t="shared" si="47"/>
        <v>9.6537692583356944E-3</v>
      </c>
      <c r="AT44" s="217"/>
      <c r="AU44" s="213">
        <f t="shared" si="81"/>
        <v>4.1070000000000005E-5</v>
      </c>
      <c r="AV44" s="218">
        <f t="shared" si="48"/>
        <v>4.1070000000000005E-5</v>
      </c>
      <c r="AW44" s="217">
        <f t="shared" si="82"/>
        <v>0</v>
      </c>
      <c r="AX44" s="213">
        <f t="shared" si="83"/>
        <v>1.4183333333333333E-3</v>
      </c>
      <c r="AY44" s="218">
        <f t="shared" si="49"/>
        <v>1.4183333333333333E-3</v>
      </c>
      <c r="AZ44" s="217">
        <f t="shared" si="70"/>
        <v>0</v>
      </c>
      <c r="BA44" s="213">
        <f t="shared" si="71"/>
        <v>0</v>
      </c>
      <c r="BB44" s="213">
        <f t="shared" si="50"/>
        <v>0</v>
      </c>
      <c r="BC44" s="61">
        <f t="shared" si="84"/>
        <v>0</v>
      </c>
      <c r="BD44" s="58">
        <v>0</v>
      </c>
      <c r="BE44" s="49">
        <f t="shared" si="85"/>
        <v>0</v>
      </c>
      <c r="BF44" s="61">
        <f t="shared" si="52"/>
        <v>0</v>
      </c>
      <c r="BG44" s="58">
        <f t="shared" si="86"/>
        <v>0</v>
      </c>
      <c r="BH44" s="49">
        <f t="shared" si="87"/>
        <v>0</v>
      </c>
      <c r="BI44" s="61">
        <f t="shared" si="88"/>
        <v>0</v>
      </c>
      <c r="BK44" s="217">
        <f t="shared" si="72"/>
        <v>0</v>
      </c>
      <c r="BL44" s="213">
        <f t="shared" si="18"/>
        <v>0</v>
      </c>
      <c r="BM44" s="213">
        <f t="shared" si="73"/>
        <v>0</v>
      </c>
      <c r="BN44" s="61">
        <f t="shared" si="89"/>
        <v>0</v>
      </c>
      <c r="BO44" s="58">
        <v>0</v>
      </c>
      <c r="BP44" s="49">
        <f t="shared" si="90"/>
        <v>0</v>
      </c>
      <c r="BQ44" s="61">
        <f t="shared" si="53"/>
        <v>0</v>
      </c>
      <c r="BR44" s="58">
        <f t="shared" si="91"/>
        <v>0</v>
      </c>
      <c r="BS44" s="49">
        <f t="shared" si="92"/>
        <v>0</v>
      </c>
      <c r="BT44" s="61">
        <f t="shared" si="55"/>
        <v>0</v>
      </c>
      <c r="BU44" s="58">
        <f t="shared" si="74"/>
        <v>2.9822483485819932E-4</v>
      </c>
      <c r="BV44" s="49">
        <f t="shared" si="21"/>
        <v>3.6450000000000007E-3</v>
      </c>
      <c r="BW44" s="61">
        <f t="shared" si="75"/>
        <v>6.7499999999999999E-3</v>
      </c>
      <c r="BX44" s="49">
        <f t="shared" si="56"/>
        <v>0.12273964002173232</v>
      </c>
      <c r="BY44" s="49">
        <f t="shared" si="43"/>
        <v>0.18249844537536328</v>
      </c>
      <c r="BZ44" s="49">
        <f t="shared" si="93"/>
        <v>91.020979829499495</v>
      </c>
    </row>
    <row r="45" spans="17:78" x14ac:dyDescent="0.3">
      <c r="Q45" s="49">
        <v>38</v>
      </c>
      <c r="R45" s="217">
        <f t="shared" si="57"/>
        <v>1.9000000000000001</v>
      </c>
      <c r="S45" s="213">
        <f t="shared" si="1"/>
        <v>15</v>
      </c>
      <c r="T45" s="218">
        <f t="shared" si="58"/>
        <v>0.12666666666666668</v>
      </c>
      <c r="U45" s="217">
        <f t="shared" si="59"/>
        <v>1</v>
      </c>
      <c r="V45" s="213">
        <f t="shared" si="60"/>
        <v>0.27568097504180444</v>
      </c>
      <c r="W45" s="213">
        <f t="shared" si="61"/>
        <v>2.2054478003344358E-2</v>
      </c>
      <c r="X45" s="213">
        <f t="shared" si="23"/>
        <v>0.70226454695485119</v>
      </c>
      <c r="Y45" s="217">
        <f t="shared" si="76"/>
        <v>0.45946829173634068</v>
      </c>
      <c r="Z45" s="213">
        <f t="shared" si="62"/>
        <v>0.91893658347268159</v>
      </c>
      <c r="AA45" s="213">
        <f t="shared" si="25"/>
        <v>0.91893658347268148</v>
      </c>
      <c r="AB45" s="218">
        <f t="shared" si="63"/>
        <v>0.27856613087564402</v>
      </c>
      <c r="AC45" s="217">
        <v>0</v>
      </c>
      <c r="AD45" s="213">
        <f t="shared" si="64"/>
        <v>8.9238952661680415E-2</v>
      </c>
      <c r="AE45" s="218">
        <f t="shared" si="27"/>
        <v>8.9238952661680415E-2</v>
      </c>
      <c r="AF45" s="58">
        <f t="shared" si="65"/>
        <v>3.8000000000000006E-2</v>
      </c>
      <c r="AG45" s="61">
        <f t="shared" si="66"/>
        <v>3.8000000000000006E-2</v>
      </c>
      <c r="AH45" s="58">
        <f t="shared" si="67"/>
        <v>5.431936248971851E-3</v>
      </c>
      <c r="AI45" s="49">
        <f t="shared" si="68"/>
        <v>5.4595577920230533E-3</v>
      </c>
      <c r="AJ45" s="61">
        <f t="shared" si="45"/>
        <v>1.0891494040994903E-2</v>
      </c>
      <c r="AK45" s="217">
        <f t="shared" si="69"/>
        <v>1.9000000000000001</v>
      </c>
      <c r="AL45" s="213">
        <f t="shared" si="13"/>
        <v>1500</v>
      </c>
      <c r="AM45" s="218">
        <f t="shared" si="28"/>
        <v>1.2666666666666668E-3</v>
      </c>
      <c r="AN45" s="217">
        <f t="shared" si="77"/>
        <v>2</v>
      </c>
      <c r="AO45" s="213">
        <f t="shared" si="78"/>
        <v>2.2054478003344358E-2</v>
      </c>
      <c r="AP45" s="213">
        <f t="shared" si="79"/>
        <v>5.7433536467042585E-2</v>
      </c>
      <c r="AQ45" s="213">
        <f t="shared" si="80"/>
        <v>0.1148670729340852</v>
      </c>
      <c r="AR45" s="213">
        <f t="shared" si="46"/>
        <v>0.11486707293408518</v>
      </c>
      <c r="AS45" s="218">
        <f t="shared" si="47"/>
        <v>9.8488000075533585E-3</v>
      </c>
      <c r="AT45" s="217"/>
      <c r="AU45" s="213">
        <f t="shared" si="81"/>
        <v>4.3320000000000012E-5</v>
      </c>
      <c r="AV45" s="218">
        <f t="shared" si="48"/>
        <v>4.3320000000000012E-5</v>
      </c>
      <c r="AW45" s="217">
        <f t="shared" si="82"/>
        <v>0</v>
      </c>
      <c r="AX45" s="213">
        <f t="shared" si="83"/>
        <v>1.4566666666666667E-3</v>
      </c>
      <c r="AY45" s="218">
        <f t="shared" si="49"/>
        <v>1.4566666666666667E-3</v>
      </c>
      <c r="AZ45" s="217">
        <f t="shared" si="70"/>
        <v>0</v>
      </c>
      <c r="BA45" s="213">
        <f t="shared" si="71"/>
        <v>0</v>
      </c>
      <c r="BB45" s="213">
        <f t="shared" si="50"/>
        <v>0</v>
      </c>
      <c r="BC45" s="61">
        <f t="shared" si="84"/>
        <v>0</v>
      </c>
      <c r="BD45" s="58">
        <v>0</v>
      </c>
      <c r="BE45" s="49">
        <f t="shared" si="85"/>
        <v>0</v>
      </c>
      <c r="BF45" s="61">
        <f t="shared" si="52"/>
        <v>0</v>
      </c>
      <c r="BG45" s="58">
        <f t="shared" si="86"/>
        <v>0</v>
      </c>
      <c r="BH45" s="49">
        <f t="shared" si="87"/>
        <v>0</v>
      </c>
      <c r="BI45" s="61">
        <f t="shared" si="88"/>
        <v>0</v>
      </c>
      <c r="BK45" s="217">
        <f t="shared" si="72"/>
        <v>0</v>
      </c>
      <c r="BL45" s="213">
        <f t="shared" si="18"/>
        <v>0</v>
      </c>
      <c r="BM45" s="213">
        <f t="shared" si="73"/>
        <v>0</v>
      </c>
      <c r="BN45" s="61">
        <f t="shared" si="89"/>
        <v>0</v>
      </c>
      <c r="BO45" s="58">
        <v>0</v>
      </c>
      <c r="BP45" s="49">
        <f t="shared" si="90"/>
        <v>0</v>
      </c>
      <c r="BQ45" s="61">
        <f t="shared" si="53"/>
        <v>0</v>
      </c>
      <c r="BR45" s="58">
        <f t="shared" si="91"/>
        <v>0</v>
      </c>
      <c r="BS45" s="49">
        <f t="shared" si="92"/>
        <v>0</v>
      </c>
      <c r="BT45" s="61">
        <f t="shared" si="55"/>
        <v>0</v>
      </c>
      <c r="BU45" s="58">
        <f t="shared" si="74"/>
        <v>3.1039635708410572E-4</v>
      </c>
      <c r="BV45" s="49">
        <f t="shared" si="21"/>
        <v>3.6450000000000007E-3</v>
      </c>
      <c r="BW45" s="61">
        <f t="shared" si="75"/>
        <v>6.7499999999999999E-3</v>
      </c>
      <c r="BX45" s="49">
        <f t="shared" si="56"/>
        <v>0.12723895266168042</v>
      </c>
      <c r="BY45" s="49">
        <f t="shared" si="43"/>
        <v>0.1883358297264261</v>
      </c>
      <c r="BZ45" s="49">
        <f t="shared" si="93"/>
        <v>90.981535294967472</v>
      </c>
    </row>
    <row r="46" spans="17:78" x14ac:dyDescent="0.3">
      <c r="Q46" s="49">
        <v>39</v>
      </c>
      <c r="R46" s="217">
        <f t="shared" si="57"/>
        <v>1.9500000000000002</v>
      </c>
      <c r="S46" s="213">
        <f t="shared" si="1"/>
        <v>15</v>
      </c>
      <c r="T46" s="218">
        <f t="shared" si="58"/>
        <v>0.13</v>
      </c>
      <c r="U46" s="217">
        <f t="shared" si="59"/>
        <v>1</v>
      </c>
      <c r="V46" s="213">
        <f t="shared" si="60"/>
        <v>0.27928480087537882</v>
      </c>
      <c r="W46" s="213">
        <f t="shared" si="61"/>
        <v>2.2342784070030305E-2</v>
      </c>
      <c r="X46" s="213">
        <f t="shared" si="23"/>
        <v>0.69837241505459091</v>
      </c>
      <c r="Y46" s="217">
        <f t="shared" si="76"/>
        <v>0.46547466812563143</v>
      </c>
      <c r="Z46" s="213">
        <f t="shared" si="62"/>
        <v>0.93094933625126275</v>
      </c>
      <c r="AA46" s="213">
        <f t="shared" si="25"/>
        <v>0.93094933625126286</v>
      </c>
      <c r="AB46" s="218">
        <f t="shared" si="63"/>
        <v>0.28404625645912462</v>
      </c>
      <c r="AC46" s="217">
        <v>0</v>
      </c>
      <c r="AD46" s="213">
        <f t="shared" si="64"/>
        <v>9.2784617179709233E-2</v>
      </c>
      <c r="AE46" s="218">
        <f t="shared" si="27"/>
        <v>9.2784617179709233E-2</v>
      </c>
      <c r="AF46" s="58">
        <f t="shared" si="65"/>
        <v>3.9000000000000007E-2</v>
      </c>
      <c r="AG46" s="61">
        <f t="shared" si="66"/>
        <v>3.9000000000000007E-2</v>
      </c>
      <c r="AH46" s="58">
        <f t="shared" si="67"/>
        <v>5.6477593065909961E-3</v>
      </c>
      <c r="AI46" s="49">
        <f t="shared" si="68"/>
        <v>5.5309275896951691E-3</v>
      </c>
      <c r="AJ46" s="61">
        <f t="shared" si="45"/>
        <v>1.1178686896286165E-2</v>
      </c>
      <c r="AK46" s="217">
        <f t="shared" si="69"/>
        <v>1.9500000000000002</v>
      </c>
      <c r="AL46" s="213">
        <f t="shared" si="13"/>
        <v>1500</v>
      </c>
      <c r="AM46" s="218">
        <f t="shared" si="28"/>
        <v>1.3000000000000002E-3</v>
      </c>
      <c r="AN46" s="217">
        <f t="shared" si="77"/>
        <v>2</v>
      </c>
      <c r="AO46" s="213">
        <f t="shared" si="78"/>
        <v>2.2342784070030305E-2</v>
      </c>
      <c r="AP46" s="213">
        <f t="shared" si="79"/>
        <v>5.8184333515703929E-2</v>
      </c>
      <c r="AQ46" s="213">
        <f t="shared" si="80"/>
        <v>0.11636866703140784</v>
      </c>
      <c r="AR46" s="213">
        <f t="shared" si="46"/>
        <v>0.11636866703140786</v>
      </c>
      <c r="AS46" s="218">
        <f t="shared" si="47"/>
        <v>1.0042551705645011E-2</v>
      </c>
      <c r="AT46" s="217"/>
      <c r="AU46" s="213">
        <f t="shared" si="81"/>
        <v>4.5630000000000009E-5</v>
      </c>
      <c r="AV46" s="218">
        <f t="shared" si="48"/>
        <v>4.5630000000000009E-5</v>
      </c>
      <c r="AW46" s="217">
        <f t="shared" si="82"/>
        <v>0</v>
      </c>
      <c r="AX46" s="213">
        <f t="shared" si="83"/>
        <v>1.495E-3</v>
      </c>
      <c r="AY46" s="218">
        <f t="shared" si="49"/>
        <v>1.495E-3</v>
      </c>
      <c r="AZ46" s="217">
        <f t="shared" si="70"/>
        <v>0</v>
      </c>
      <c r="BA46" s="213">
        <f t="shared" si="71"/>
        <v>0</v>
      </c>
      <c r="BB46" s="213">
        <f t="shared" si="50"/>
        <v>0</v>
      </c>
      <c r="BC46" s="61">
        <f t="shared" si="84"/>
        <v>0</v>
      </c>
      <c r="BD46" s="58">
        <v>0</v>
      </c>
      <c r="BE46" s="49">
        <f t="shared" si="85"/>
        <v>0</v>
      </c>
      <c r="BF46" s="61">
        <f t="shared" si="52"/>
        <v>0</v>
      </c>
      <c r="BG46" s="58">
        <f t="shared" si="86"/>
        <v>0</v>
      </c>
      <c r="BH46" s="49">
        <f t="shared" si="87"/>
        <v>0</v>
      </c>
      <c r="BI46" s="61">
        <f t="shared" si="88"/>
        <v>0</v>
      </c>
      <c r="BK46" s="217">
        <f t="shared" si="72"/>
        <v>0</v>
      </c>
      <c r="BL46" s="213">
        <f t="shared" si="18"/>
        <v>0</v>
      </c>
      <c r="BM46" s="213">
        <f t="shared" si="73"/>
        <v>0</v>
      </c>
      <c r="BN46" s="61">
        <f t="shared" si="89"/>
        <v>0</v>
      </c>
      <c r="BO46" s="58">
        <v>0</v>
      </c>
      <c r="BP46" s="49">
        <f t="shared" si="90"/>
        <v>0</v>
      </c>
      <c r="BQ46" s="61">
        <f t="shared" si="53"/>
        <v>0</v>
      </c>
      <c r="BR46" s="58">
        <f t="shared" si="91"/>
        <v>0</v>
      </c>
      <c r="BS46" s="49">
        <f t="shared" si="92"/>
        <v>0</v>
      </c>
      <c r="BT46" s="61">
        <f t="shared" si="55"/>
        <v>0</v>
      </c>
      <c r="BU46" s="58">
        <f t="shared" si="74"/>
        <v>3.227291032337712E-4</v>
      </c>
      <c r="BV46" s="49">
        <f t="shared" si="21"/>
        <v>3.6450000000000007E-3</v>
      </c>
      <c r="BW46" s="61">
        <f t="shared" si="75"/>
        <v>6.7499999999999999E-3</v>
      </c>
      <c r="BX46" s="49">
        <f t="shared" si="56"/>
        <v>0.13178461717970924</v>
      </c>
      <c r="BY46" s="49">
        <f t="shared" si="43"/>
        <v>0.19422166317922918</v>
      </c>
      <c r="BZ46" s="49">
        <f t="shared" si="93"/>
        <v>90.942090245872379</v>
      </c>
    </row>
    <row r="47" spans="17:78" x14ac:dyDescent="0.3">
      <c r="Q47" s="49">
        <v>40</v>
      </c>
      <c r="R47" s="217">
        <f t="shared" si="57"/>
        <v>2</v>
      </c>
      <c r="S47" s="213">
        <f t="shared" si="1"/>
        <v>15</v>
      </c>
      <c r="T47" s="218">
        <f t="shared" si="58"/>
        <v>0.13333333333333333</v>
      </c>
      <c r="U47" s="217">
        <f t="shared" si="59"/>
        <v>1</v>
      </c>
      <c r="V47" s="213">
        <f t="shared" si="60"/>
        <v>0.28284271247461901</v>
      </c>
      <c r="W47" s="213">
        <f t="shared" si="61"/>
        <v>2.262741699796952E-2</v>
      </c>
      <c r="X47" s="213">
        <f t="shared" si="23"/>
        <v>0.69452987052741144</v>
      </c>
      <c r="Y47" s="217">
        <f t="shared" si="76"/>
        <v>0.47140452079103173</v>
      </c>
      <c r="Z47" s="213">
        <f t="shared" si="62"/>
        <v>0.94280904158206325</v>
      </c>
      <c r="AA47" s="213">
        <f t="shared" si="25"/>
        <v>0.94280904158206336</v>
      </c>
      <c r="AB47" s="218">
        <f t="shared" si="63"/>
        <v>0.28949136108116913</v>
      </c>
      <c r="AC47" s="217">
        <v>0</v>
      </c>
      <c r="AD47" s="213">
        <f t="shared" si="64"/>
        <v>9.6376035361722026E-2</v>
      </c>
      <c r="AE47" s="218">
        <f t="shared" si="27"/>
        <v>9.6376035361722026E-2</v>
      </c>
      <c r="AF47" s="58">
        <f t="shared" si="65"/>
        <v>0.04</v>
      </c>
      <c r="AG47" s="61">
        <f t="shared" si="66"/>
        <v>0.04</v>
      </c>
      <c r="AH47" s="58">
        <f t="shared" si="67"/>
        <v>5.8663673698439497E-3</v>
      </c>
      <c r="AI47" s="49">
        <f t="shared" si="68"/>
        <v>5.6013881065734746E-3</v>
      </c>
      <c r="AJ47" s="61">
        <f t="shared" si="45"/>
        <v>1.1467755476417424E-2</v>
      </c>
      <c r="AK47" s="217">
        <f t="shared" si="69"/>
        <v>2</v>
      </c>
      <c r="AL47" s="213">
        <f t="shared" si="13"/>
        <v>1500</v>
      </c>
      <c r="AM47" s="218">
        <f t="shared" si="28"/>
        <v>1.3333333333333333E-3</v>
      </c>
      <c r="AN47" s="217">
        <f t="shared" si="77"/>
        <v>2</v>
      </c>
      <c r="AO47" s="213">
        <f t="shared" si="78"/>
        <v>2.2627416997969517E-2</v>
      </c>
      <c r="AP47" s="213">
        <f t="shared" si="79"/>
        <v>5.8925565098878967E-2</v>
      </c>
      <c r="AQ47" s="213">
        <f t="shared" si="80"/>
        <v>0.11785113019775791</v>
      </c>
      <c r="AR47" s="213">
        <f t="shared" si="46"/>
        <v>0.11785113019775792</v>
      </c>
      <c r="AS47" s="218">
        <f t="shared" si="47"/>
        <v>1.0235065225770905E-2</v>
      </c>
      <c r="AT47" s="217"/>
      <c r="AU47" s="213">
        <f t="shared" si="81"/>
        <v>4.8000000000000001E-5</v>
      </c>
      <c r="AV47" s="218">
        <f t="shared" si="48"/>
        <v>4.8000000000000001E-5</v>
      </c>
      <c r="AW47" s="217">
        <f t="shared" si="82"/>
        <v>0</v>
      </c>
      <c r="AX47" s="213">
        <f t="shared" si="83"/>
        <v>1.5333333333333332E-3</v>
      </c>
      <c r="AY47" s="218">
        <f t="shared" si="49"/>
        <v>1.5333333333333332E-3</v>
      </c>
      <c r="AZ47" s="217">
        <f t="shared" si="70"/>
        <v>0</v>
      </c>
      <c r="BA47" s="213">
        <f t="shared" si="71"/>
        <v>0</v>
      </c>
      <c r="BB47" s="213">
        <f t="shared" si="50"/>
        <v>0</v>
      </c>
      <c r="BC47" s="61">
        <f t="shared" si="84"/>
        <v>0</v>
      </c>
      <c r="BD47" s="58">
        <v>0</v>
      </c>
      <c r="BE47" s="49">
        <f t="shared" si="85"/>
        <v>0</v>
      </c>
      <c r="BF47" s="61">
        <f t="shared" si="52"/>
        <v>0</v>
      </c>
      <c r="BG47" s="58">
        <f t="shared" si="86"/>
        <v>0</v>
      </c>
      <c r="BH47" s="49">
        <f t="shared" si="87"/>
        <v>0</v>
      </c>
      <c r="BI47" s="61">
        <f t="shared" si="88"/>
        <v>0</v>
      </c>
      <c r="BK47" s="217">
        <f t="shared" si="72"/>
        <v>0</v>
      </c>
      <c r="BL47" s="213">
        <f t="shared" si="18"/>
        <v>0</v>
      </c>
      <c r="BM47" s="213">
        <f t="shared" si="73"/>
        <v>0</v>
      </c>
      <c r="BN47" s="61">
        <f t="shared" si="89"/>
        <v>0</v>
      </c>
      <c r="BO47" s="58">
        <v>0</v>
      </c>
      <c r="BP47" s="49">
        <f t="shared" si="90"/>
        <v>0</v>
      </c>
      <c r="BQ47" s="61">
        <f t="shared" si="53"/>
        <v>0</v>
      </c>
      <c r="BR47" s="58">
        <f t="shared" si="91"/>
        <v>0</v>
      </c>
      <c r="BS47" s="49">
        <f t="shared" si="92"/>
        <v>0</v>
      </c>
      <c r="BT47" s="61">
        <f t="shared" si="55"/>
        <v>0</v>
      </c>
      <c r="BU47" s="58">
        <f t="shared" si="74"/>
        <v>3.3522099256251135E-4</v>
      </c>
      <c r="BV47" s="49">
        <f t="shared" si="21"/>
        <v>3.6450000000000007E-3</v>
      </c>
      <c r="BW47" s="61">
        <f t="shared" si="75"/>
        <v>6.7499999999999999E-3</v>
      </c>
      <c r="BX47" s="49">
        <f t="shared" si="56"/>
        <v>0.13637603536172202</v>
      </c>
      <c r="BY47" s="49">
        <f t="shared" si="43"/>
        <v>0.2001553451640353</v>
      </c>
      <c r="BZ47" s="49">
        <f t="shared" si="93"/>
        <v>90.902672140675037</v>
      </c>
    </row>
    <row r="48" spans="17:78" x14ac:dyDescent="0.3">
      <c r="Q48" s="49">
        <v>41</v>
      </c>
      <c r="R48" s="217">
        <f t="shared" si="57"/>
        <v>2.0500000000000003</v>
      </c>
      <c r="S48" s="213">
        <f t="shared" si="1"/>
        <v>15</v>
      </c>
      <c r="T48" s="218">
        <f t="shared" si="58"/>
        <v>0.13666666666666669</v>
      </c>
      <c r="U48" s="217">
        <f t="shared" si="59"/>
        <v>1</v>
      </c>
      <c r="V48" s="213">
        <f t="shared" si="60"/>
        <v>0.28635642126552707</v>
      </c>
      <c r="W48" s="213">
        <f t="shared" si="61"/>
        <v>2.2908513701242167E-2</v>
      </c>
      <c r="X48" s="213">
        <f t="shared" si="23"/>
        <v>0.69073506503323079</v>
      </c>
      <c r="Y48" s="217">
        <f t="shared" si="76"/>
        <v>0.47726070210921179</v>
      </c>
      <c r="Z48" s="213">
        <f t="shared" si="62"/>
        <v>0.95452140421842357</v>
      </c>
      <c r="AA48" s="213">
        <f t="shared" si="25"/>
        <v>0.95452140421842357</v>
      </c>
      <c r="AB48" s="218">
        <f t="shared" si="63"/>
        <v>0.29490253596345795</v>
      </c>
      <c r="AC48" s="217">
        <v>0</v>
      </c>
      <c r="AD48" s="213">
        <f t="shared" si="64"/>
        <v>0.10001263157533041</v>
      </c>
      <c r="AE48" s="218">
        <f t="shared" si="27"/>
        <v>0.10001263157533041</v>
      </c>
      <c r="AF48" s="58">
        <f t="shared" si="65"/>
        <v>4.1000000000000009E-2</v>
      </c>
      <c r="AG48" s="61">
        <f t="shared" si="66"/>
        <v>4.1000000000000009E-2</v>
      </c>
      <c r="AH48" s="58">
        <f t="shared" si="67"/>
        <v>6.0877254002375033E-3</v>
      </c>
      <c r="AI48" s="49">
        <f t="shared" si="68"/>
        <v>5.6709732355632184E-3</v>
      </c>
      <c r="AJ48" s="61">
        <f t="shared" si="45"/>
        <v>1.1758698635800723E-2</v>
      </c>
      <c r="AK48" s="217">
        <f t="shared" si="69"/>
        <v>2.0500000000000003</v>
      </c>
      <c r="AL48" s="213">
        <f t="shared" si="13"/>
        <v>1500</v>
      </c>
      <c r="AM48" s="218">
        <f t="shared" si="28"/>
        <v>1.3666666666666669E-3</v>
      </c>
      <c r="AN48" s="217">
        <f t="shared" si="77"/>
        <v>2</v>
      </c>
      <c r="AO48" s="213">
        <f t="shared" si="78"/>
        <v>2.2908513701242167E-2</v>
      </c>
      <c r="AP48" s="213">
        <f t="shared" si="79"/>
        <v>5.9657587763651473E-2</v>
      </c>
      <c r="AQ48" s="213">
        <f t="shared" si="80"/>
        <v>0.11931517552730295</v>
      </c>
      <c r="AR48" s="213">
        <f t="shared" si="46"/>
        <v>0.11931517552730295</v>
      </c>
      <c r="AS48" s="218">
        <f t="shared" si="47"/>
        <v>1.0426379148443542E-2</v>
      </c>
      <c r="AT48" s="217"/>
      <c r="AU48" s="213">
        <f t="shared" si="81"/>
        <v>5.0430000000000017E-5</v>
      </c>
      <c r="AV48" s="218">
        <f t="shared" si="48"/>
        <v>5.0430000000000017E-5</v>
      </c>
      <c r="AW48" s="217">
        <f t="shared" si="82"/>
        <v>0</v>
      </c>
      <c r="AX48" s="213">
        <f t="shared" si="83"/>
        <v>1.5716666666666667E-3</v>
      </c>
      <c r="AY48" s="218">
        <f t="shared" si="49"/>
        <v>1.5716666666666667E-3</v>
      </c>
      <c r="AZ48" s="217">
        <f t="shared" si="70"/>
        <v>0</v>
      </c>
      <c r="BA48" s="213">
        <f t="shared" si="71"/>
        <v>0</v>
      </c>
      <c r="BB48" s="213">
        <f t="shared" si="50"/>
        <v>0</v>
      </c>
      <c r="BC48" s="61">
        <f t="shared" si="84"/>
        <v>0</v>
      </c>
      <c r="BD48" s="58">
        <v>0</v>
      </c>
      <c r="BE48" s="49">
        <f t="shared" si="85"/>
        <v>0</v>
      </c>
      <c r="BF48" s="61">
        <f t="shared" si="52"/>
        <v>0</v>
      </c>
      <c r="BG48" s="58">
        <f t="shared" si="86"/>
        <v>0</v>
      </c>
      <c r="BH48" s="49">
        <f t="shared" si="87"/>
        <v>0</v>
      </c>
      <c r="BI48" s="61">
        <f t="shared" si="88"/>
        <v>0</v>
      </c>
      <c r="BK48" s="217">
        <f t="shared" si="72"/>
        <v>0</v>
      </c>
      <c r="BL48" s="213">
        <f t="shared" si="18"/>
        <v>0</v>
      </c>
      <c r="BM48" s="213">
        <f t="shared" si="73"/>
        <v>0</v>
      </c>
      <c r="BN48" s="61">
        <f t="shared" si="89"/>
        <v>0</v>
      </c>
      <c r="BO48" s="58">
        <v>0</v>
      </c>
      <c r="BP48" s="49">
        <f t="shared" si="90"/>
        <v>0</v>
      </c>
      <c r="BQ48" s="61">
        <f t="shared" si="53"/>
        <v>0</v>
      </c>
      <c r="BR48" s="58">
        <f t="shared" si="91"/>
        <v>0</v>
      </c>
      <c r="BS48" s="49">
        <f t="shared" si="92"/>
        <v>0</v>
      </c>
      <c r="BT48" s="61">
        <f t="shared" si="55"/>
        <v>0</v>
      </c>
      <c r="BU48" s="58">
        <f t="shared" si="74"/>
        <v>3.4787002287071445E-4</v>
      </c>
      <c r="BV48" s="49">
        <f t="shared" si="21"/>
        <v>3.6450000000000007E-3</v>
      </c>
      <c r="BW48" s="61">
        <f t="shared" si="75"/>
        <v>6.7499999999999999E-3</v>
      </c>
      <c r="BX48" s="49">
        <f t="shared" si="56"/>
        <v>0.14101263157533042</v>
      </c>
      <c r="BY48" s="49">
        <f t="shared" si="43"/>
        <v>0.20613629690066854</v>
      </c>
      <c r="BZ48" s="49">
        <f t="shared" si="93"/>
        <v>90.8633047930728</v>
      </c>
    </row>
    <row r="49" spans="17:78" x14ac:dyDescent="0.3">
      <c r="Q49" s="49">
        <v>42</v>
      </c>
      <c r="R49" s="217">
        <f t="shared" si="57"/>
        <v>2.1</v>
      </c>
      <c r="S49" s="213">
        <f t="shared" si="1"/>
        <v>15</v>
      </c>
      <c r="T49" s="218">
        <f t="shared" si="58"/>
        <v>0.14000000000000001</v>
      </c>
      <c r="U49" s="217">
        <f t="shared" si="59"/>
        <v>1</v>
      </c>
      <c r="V49" s="213">
        <f t="shared" si="60"/>
        <v>0.28982753492378877</v>
      </c>
      <c r="W49" s="213">
        <f t="shared" si="61"/>
        <v>2.3186202793903102E-2</v>
      </c>
      <c r="X49" s="213">
        <f t="shared" si="23"/>
        <v>0.68698626228230808</v>
      </c>
      <c r="Y49" s="217">
        <f t="shared" si="76"/>
        <v>0.483045891539648</v>
      </c>
      <c r="Z49" s="213">
        <f t="shared" si="62"/>
        <v>0.96609178307929588</v>
      </c>
      <c r="AA49" s="213">
        <f t="shared" si="25"/>
        <v>0.96609178307929588</v>
      </c>
      <c r="AB49" s="218">
        <f t="shared" si="63"/>
        <v>0.30028081260835549</v>
      </c>
      <c r="AC49" s="217">
        <v>0</v>
      </c>
      <c r="AD49" s="213">
        <f t="shared" si="64"/>
        <v>0.10369385138384446</v>
      </c>
      <c r="AE49" s="218">
        <f t="shared" si="27"/>
        <v>0.10369385138384446</v>
      </c>
      <c r="AF49" s="58">
        <f t="shared" si="65"/>
        <v>4.2000000000000003E-2</v>
      </c>
      <c r="AG49" s="61">
        <f t="shared" si="66"/>
        <v>4.2000000000000003E-2</v>
      </c>
      <c r="AH49" s="58">
        <f t="shared" si="67"/>
        <v>6.3117996494514014E-3</v>
      </c>
      <c r="AI49" s="49">
        <f t="shared" si="68"/>
        <v>5.7397148149090057E-3</v>
      </c>
      <c r="AJ49" s="61">
        <f t="shared" si="45"/>
        <v>1.2051514464360407E-2</v>
      </c>
      <c r="AK49" s="217">
        <f t="shared" si="69"/>
        <v>2.1</v>
      </c>
      <c r="AL49" s="213">
        <f t="shared" si="13"/>
        <v>1500</v>
      </c>
      <c r="AM49" s="218">
        <f t="shared" si="28"/>
        <v>1.4E-3</v>
      </c>
      <c r="AN49" s="217">
        <f t="shared" si="77"/>
        <v>2</v>
      </c>
      <c r="AO49" s="213">
        <f t="shared" si="78"/>
        <v>2.3186202793903102E-2</v>
      </c>
      <c r="AP49" s="213">
        <f t="shared" si="79"/>
        <v>6.0380736442455993E-2</v>
      </c>
      <c r="AQ49" s="213">
        <f t="shared" si="80"/>
        <v>0.12076147288491199</v>
      </c>
      <c r="AR49" s="213">
        <f t="shared" si="46"/>
        <v>0.12076147288491199</v>
      </c>
      <c r="AS49" s="218">
        <f t="shared" si="47"/>
        <v>1.0616529942778754E-2</v>
      </c>
      <c r="AT49" s="217"/>
      <c r="AU49" s="213">
        <f t="shared" si="81"/>
        <v>5.2919999999999995E-5</v>
      </c>
      <c r="AV49" s="218">
        <f t="shared" si="48"/>
        <v>5.2919999999999995E-5</v>
      </c>
      <c r="AW49" s="217">
        <f t="shared" si="82"/>
        <v>0</v>
      </c>
      <c r="AX49" s="213">
        <f t="shared" si="83"/>
        <v>1.6099999999999999E-3</v>
      </c>
      <c r="AY49" s="218">
        <f t="shared" si="49"/>
        <v>1.6099999999999999E-3</v>
      </c>
      <c r="AZ49" s="217">
        <f t="shared" si="70"/>
        <v>0</v>
      </c>
      <c r="BA49" s="213">
        <f t="shared" si="71"/>
        <v>0</v>
      </c>
      <c r="BB49" s="213">
        <f t="shared" si="50"/>
        <v>0</v>
      </c>
      <c r="BC49" s="61">
        <f t="shared" si="84"/>
        <v>0</v>
      </c>
      <c r="BD49" s="58">
        <v>0</v>
      </c>
      <c r="BE49" s="49">
        <f t="shared" si="85"/>
        <v>0</v>
      </c>
      <c r="BF49" s="61">
        <f t="shared" si="52"/>
        <v>0</v>
      </c>
      <c r="BG49" s="58">
        <f t="shared" si="86"/>
        <v>0</v>
      </c>
      <c r="BH49" s="49">
        <f t="shared" si="87"/>
        <v>0</v>
      </c>
      <c r="BI49" s="61">
        <f t="shared" si="88"/>
        <v>0</v>
      </c>
      <c r="BK49" s="217">
        <f t="shared" si="72"/>
        <v>0</v>
      </c>
      <c r="BL49" s="213">
        <f t="shared" si="18"/>
        <v>0</v>
      </c>
      <c r="BM49" s="213">
        <f t="shared" si="73"/>
        <v>0</v>
      </c>
      <c r="BN49" s="61">
        <f t="shared" si="89"/>
        <v>0</v>
      </c>
      <c r="BO49" s="58">
        <v>0</v>
      </c>
      <c r="BP49" s="49">
        <f t="shared" si="90"/>
        <v>0</v>
      </c>
      <c r="BQ49" s="61">
        <f t="shared" si="53"/>
        <v>0</v>
      </c>
      <c r="BR49" s="58">
        <f t="shared" si="91"/>
        <v>0</v>
      </c>
      <c r="BS49" s="49">
        <f t="shared" si="92"/>
        <v>0</v>
      </c>
      <c r="BT49" s="61">
        <f t="shared" si="55"/>
        <v>0</v>
      </c>
      <c r="BU49" s="58">
        <f t="shared" si="74"/>
        <v>3.6067426568293719E-4</v>
      </c>
      <c r="BV49" s="49">
        <f t="shared" si="21"/>
        <v>3.6450000000000007E-3</v>
      </c>
      <c r="BW49" s="61">
        <f t="shared" si="75"/>
        <v>6.7499999999999999E-3</v>
      </c>
      <c r="BX49" s="49">
        <f t="shared" si="56"/>
        <v>0.14569385138384447</v>
      </c>
      <c r="BY49" s="49">
        <f t="shared" si="43"/>
        <v>0.2121639601138878</v>
      </c>
      <c r="BZ49" s="49">
        <f t="shared" si="93"/>
        <v>90.824008860364842</v>
      </c>
    </row>
    <row r="50" spans="17:78" x14ac:dyDescent="0.3">
      <c r="Q50" s="49">
        <v>43</v>
      </c>
      <c r="R50" s="217">
        <f t="shared" si="57"/>
        <v>2.15</v>
      </c>
      <c r="S50" s="213">
        <f t="shared" si="1"/>
        <v>15</v>
      </c>
      <c r="T50" s="218">
        <f t="shared" si="58"/>
        <v>0.14333333333333334</v>
      </c>
      <c r="U50" s="217">
        <f t="shared" si="59"/>
        <v>1</v>
      </c>
      <c r="V50" s="213">
        <f t="shared" si="60"/>
        <v>0.29325756597230357</v>
      </c>
      <c r="W50" s="213">
        <f t="shared" si="61"/>
        <v>2.3460605277784288E-2</v>
      </c>
      <c r="X50" s="213">
        <f t="shared" si="23"/>
        <v>0.68328182874991217</v>
      </c>
      <c r="Y50" s="217">
        <f t="shared" si="76"/>
        <v>0.48876260995383936</v>
      </c>
      <c r="Z50" s="213">
        <f t="shared" si="62"/>
        <v>0.9775252199076786</v>
      </c>
      <c r="AA50" s="213">
        <f t="shared" si="25"/>
        <v>0.97752521990767871</v>
      </c>
      <c r="AB50" s="218">
        <f t="shared" si="63"/>
        <v>0.30562716740801177</v>
      </c>
      <c r="AC50" s="217">
        <v>0</v>
      </c>
      <c r="AD50" s="213">
        <f t="shared" si="64"/>
        <v>0.1074191602765216</v>
      </c>
      <c r="AE50" s="218">
        <f t="shared" si="27"/>
        <v>0.1074191602765216</v>
      </c>
      <c r="AF50" s="58">
        <f t="shared" si="65"/>
        <v>4.2999999999999997E-2</v>
      </c>
      <c r="AG50" s="61">
        <f t="shared" si="66"/>
        <v>4.2999999999999997E-2</v>
      </c>
      <c r="AH50" s="58">
        <f t="shared" si="67"/>
        <v>6.5385575820491402E-3</v>
      </c>
      <c r="AI50" s="49">
        <f t="shared" si="68"/>
        <v>5.8076427984594123E-3</v>
      </c>
      <c r="AJ50" s="61">
        <f t="shared" si="45"/>
        <v>1.2346200380508553E-2</v>
      </c>
      <c r="AK50" s="217">
        <f t="shared" si="69"/>
        <v>2.15</v>
      </c>
      <c r="AL50" s="213">
        <f t="shared" si="13"/>
        <v>1500</v>
      </c>
      <c r="AM50" s="218">
        <f t="shared" si="28"/>
        <v>1.4333333333333333E-3</v>
      </c>
      <c r="AN50" s="217">
        <f t="shared" si="77"/>
        <v>2</v>
      </c>
      <c r="AO50" s="213">
        <f t="shared" si="78"/>
        <v>2.3460605277784288E-2</v>
      </c>
      <c r="AP50" s="213">
        <f t="shared" si="79"/>
        <v>6.1095326244229919E-2</v>
      </c>
      <c r="AQ50" s="213">
        <f t="shared" si="80"/>
        <v>0.12219065248845982</v>
      </c>
      <c r="AR50" s="213">
        <f t="shared" si="46"/>
        <v>0.12219065248845984</v>
      </c>
      <c r="AS50" s="218">
        <f t="shared" si="47"/>
        <v>1.0805552129452067E-2</v>
      </c>
      <c r="AT50" s="217"/>
      <c r="AU50" s="213">
        <f t="shared" si="81"/>
        <v>5.5470000000000003E-5</v>
      </c>
      <c r="AV50" s="218">
        <f t="shared" si="48"/>
        <v>5.5470000000000003E-5</v>
      </c>
      <c r="AW50" s="217">
        <f t="shared" si="82"/>
        <v>0</v>
      </c>
      <c r="AX50" s="213">
        <f t="shared" si="83"/>
        <v>1.6483333333333332E-3</v>
      </c>
      <c r="AY50" s="218">
        <f t="shared" si="49"/>
        <v>1.6483333333333332E-3</v>
      </c>
      <c r="AZ50" s="217">
        <f t="shared" si="70"/>
        <v>0</v>
      </c>
      <c r="BA50" s="213">
        <f t="shared" si="71"/>
        <v>0</v>
      </c>
      <c r="BB50" s="213">
        <f t="shared" si="50"/>
        <v>0</v>
      </c>
      <c r="BC50" s="61">
        <f t="shared" si="84"/>
        <v>0</v>
      </c>
      <c r="BD50" s="58">
        <v>0</v>
      </c>
      <c r="BE50" s="49">
        <f t="shared" si="85"/>
        <v>0</v>
      </c>
      <c r="BF50" s="61">
        <f t="shared" si="52"/>
        <v>0</v>
      </c>
      <c r="BG50" s="58">
        <f t="shared" si="86"/>
        <v>0</v>
      </c>
      <c r="BH50" s="49">
        <f t="shared" si="87"/>
        <v>0</v>
      </c>
      <c r="BI50" s="61">
        <f t="shared" si="88"/>
        <v>0</v>
      </c>
      <c r="BK50" s="217">
        <f t="shared" si="72"/>
        <v>0</v>
      </c>
      <c r="BL50" s="213">
        <f t="shared" si="18"/>
        <v>0</v>
      </c>
      <c r="BM50" s="213">
        <f t="shared" si="73"/>
        <v>0</v>
      </c>
      <c r="BN50" s="61">
        <f t="shared" si="89"/>
        <v>0</v>
      </c>
      <c r="BO50" s="58">
        <v>0</v>
      </c>
      <c r="BP50" s="49">
        <f t="shared" si="90"/>
        <v>0</v>
      </c>
      <c r="BQ50" s="61">
        <f t="shared" si="53"/>
        <v>0</v>
      </c>
      <c r="BR50" s="58">
        <f t="shared" si="91"/>
        <v>0</v>
      </c>
      <c r="BS50" s="49">
        <f t="shared" si="92"/>
        <v>0</v>
      </c>
      <c r="BT50" s="61">
        <f t="shared" si="55"/>
        <v>0</v>
      </c>
      <c r="BU50" s="58">
        <f t="shared" si="74"/>
        <v>3.736318618313794E-4</v>
      </c>
      <c r="BV50" s="49">
        <f t="shared" si="21"/>
        <v>3.6450000000000007E-3</v>
      </c>
      <c r="BW50" s="61">
        <f t="shared" si="75"/>
        <v>6.7499999999999999E-3</v>
      </c>
      <c r="BX50" s="49">
        <f t="shared" si="56"/>
        <v>0.15041916027652158</v>
      </c>
      <c r="BY50" s="49">
        <f t="shared" si="43"/>
        <v>0.21823779585219483</v>
      </c>
      <c r="BZ50" s="49">
        <f t="shared" si="93"/>
        <v>90.784802259535638</v>
      </c>
    </row>
    <row r="51" spans="17:78" x14ac:dyDescent="0.3">
      <c r="Q51" s="49">
        <v>44</v>
      </c>
      <c r="R51" s="217">
        <f t="shared" si="57"/>
        <v>2.2000000000000002</v>
      </c>
      <c r="S51" s="213">
        <f t="shared" si="1"/>
        <v>15</v>
      </c>
      <c r="T51" s="218">
        <f t="shared" si="58"/>
        <v>0.14666666666666667</v>
      </c>
      <c r="U51" s="217">
        <f t="shared" si="59"/>
        <v>1</v>
      </c>
      <c r="V51" s="213">
        <f t="shared" si="60"/>
        <v>0.29664793948382651</v>
      </c>
      <c r="W51" s="213">
        <f t="shared" si="61"/>
        <v>2.3731835158706117E-2</v>
      </c>
      <c r="X51" s="213">
        <f t="shared" si="23"/>
        <v>0.67962022535746736</v>
      </c>
      <c r="Y51" s="217">
        <f t="shared" si="76"/>
        <v>0.49441323247304431</v>
      </c>
      <c r="Z51" s="213">
        <f t="shared" si="62"/>
        <v>0.98882646494608828</v>
      </c>
      <c r="AA51" s="213">
        <f t="shared" si="25"/>
        <v>0.9888264649460885</v>
      </c>
      <c r="AB51" s="218">
        <f t="shared" si="63"/>
        <v>0.31094252579903608</v>
      </c>
      <c r="AC51" s="217">
        <v>0</v>
      </c>
      <c r="AD51" s="213">
        <f t="shared" si="64"/>
        <v>0.11118804250282686</v>
      </c>
      <c r="AE51" s="218">
        <f t="shared" si="27"/>
        <v>0.11118804250282686</v>
      </c>
      <c r="AF51" s="58">
        <f t="shared" si="65"/>
        <v>4.4000000000000004E-2</v>
      </c>
      <c r="AG51" s="61">
        <f t="shared" si="66"/>
        <v>4.4000000000000004E-2</v>
      </c>
      <c r="AH51" s="58">
        <f t="shared" si="67"/>
        <v>6.7679678045198957E-3</v>
      </c>
      <c r="AI51" s="49">
        <f t="shared" si="68"/>
        <v>5.8747854082093131E-3</v>
      </c>
      <c r="AJ51" s="61">
        <f t="shared" si="45"/>
        <v>1.2642753212729209E-2</v>
      </c>
      <c r="AK51" s="217">
        <f t="shared" si="69"/>
        <v>2.2000000000000002</v>
      </c>
      <c r="AL51" s="213">
        <f t="shared" si="13"/>
        <v>1500</v>
      </c>
      <c r="AM51" s="218">
        <f t="shared" si="28"/>
        <v>1.4666666666666667E-3</v>
      </c>
      <c r="AN51" s="217">
        <f t="shared" si="77"/>
        <v>2</v>
      </c>
      <c r="AO51" s="213">
        <f t="shared" si="78"/>
        <v>2.3731835158706117E-2</v>
      </c>
      <c r="AP51" s="213">
        <f t="shared" si="79"/>
        <v>6.1801654059130538E-2</v>
      </c>
      <c r="AQ51" s="213">
        <f t="shared" si="80"/>
        <v>0.12360330811826103</v>
      </c>
      <c r="AR51" s="213">
        <f t="shared" si="46"/>
        <v>0.12360330811826106</v>
      </c>
      <c r="AS51" s="218">
        <f t="shared" si="47"/>
        <v>1.0993478427588571E-2</v>
      </c>
      <c r="AT51" s="217"/>
      <c r="AU51" s="213">
        <f t="shared" si="81"/>
        <v>5.808E-5</v>
      </c>
      <c r="AV51" s="218">
        <f t="shared" si="48"/>
        <v>5.808E-5</v>
      </c>
      <c r="AW51" s="217">
        <f t="shared" si="82"/>
        <v>0</v>
      </c>
      <c r="AX51" s="213">
        <f t="shared" si="83"/>
        <v>1.6866666666666666E-3</v>
      </c>
      <c r="AY51" s="218">
        <f t="shared" si="49"/>
        <v>1.6866666666666666E-3</v>
      </c>
      <c r="AZ51" s="217">
        <f t="shared" si="70"/>
        <v>0</v>
      </c>
      <c r="BA51" s="213">
        <f t="shared" si="71"/>
        <v>0</v>
      </c>
      <c r="BB51" s="213">
        <f t="shared" si="50"/>
        <v>0</v>
      </c>
      <c r="BC51" s="61">
        <f t="shared" si="84"/>
        <v>0</v>
      </c>
      <c r="BD51" s="58">
        <v>0</v>
      </c>
      <c r="BE51" s="49">
        <f t="shared" si="85"/>
        <v>0</v>
      </c>
      <c r="BF51" s="61">
        <f t="shared" si="52"/>
        <v>0</v>
      </c>
      <c r="BG51" s="58">
        <f t="shared" si="86"/>
        <v>0</v>
      </c>
      <c r="BH51" s="49">
        <f t="shared" si="87"/>
        <v>0</v>
      </c>
      <c r="BI51" s="61">
        <f t="shared" si="88"/>
        <v>0</v>
      </c>
      <c r="BK51" s="217">
        <f t="shared" si="72"/>
        <v>0</v>
      </c>
      <c r="BL51" s="213">
        <f t="shared" si="18"/>
        <v>0</v>
      </c>
      <c r="BM51" s="213">
        <f t="shared" si="73"/>
        <v>0</v>
      </c>
      <c r="BN51" s="61">
        <f t="shared" si="89"/>
        <v>0</v>
      </c>
      <c r="BO51" s="58">
        <v>0</v>
      </c>
      <c r="BP51" s="49">
        <f t="shared" si="90"/>
        <v>0</v>
      </c>
      <c r="BQ51" s="61">
        <f t="shared" si="53"/>
        <v>0</v>
      </c>
      <c r="BR51" s="58">
        <f t="shared" si="91"/>
        <v>0</v>
      </c>
      <c r="BS51" s="49">
        <f t="shared" si="92"/>
        <v>0</v>
      </c>
      <c r="BT51" s="61">
        <f t="shared" si="55"/>
        <v>0</v>
      </c>
      <c r="BU51" s="58">
        <f t="shared" si="74"/>
        <v>3.8674101740113686E-4</v>
      </c>
      <c r="BV51" s="49">
        <f t="shared" si="21"/>
        <v>3.6450000000000007E-3</v>
      </c>
      <c r="BW51" s="61">
        <f t="shared" si="75"/>
        <v>6.7499999999999999E-3</v>
      </c>
      <c r="BX51" s="49">
        <f t="shared" si="56"/>
        <v>0.15518804250282686</v>
      </c>
      <c r="BY51" s="49">
        <f t="shared" si="43"/>
        <v>0.22435728339962388</v>
      </c>
      <c r="BZ51" s="49">
        <f t="shared" si="93"/>
        <v>90.745700522943864</v>
      </c>
    </row>
    <row r="52" spans="17:78" x14ac:dyDescent="0.3">
      <c r="Q52" s="49">
        <v>45</v>
      </c>
      <c r="R52" s="217">
        <f t="shared" si="57"/>
        <v>2.25</v>
      </c>
      <c r="S52" s="213">
        <f t="shared" si="1"/>
        <v>15</v>
      </c>
      <c r="T52" s="218">
        <f t="shared" si="58"/>
        <v>0.15</v>
      </c>
      <c r="U52" s="217">
        <f t="shared" si="59"/>
        <v>1</v>
      </c>
      <c r="V52" s="213">
        <f t="shared" si="60"/>
        <v>0.3</v>
      </c>
      <c r="W52" s="213">
        <f t="shared" si="61"/>
        <v>2.4E-2</v>
      </c>
      <c r="X52" s="213">
        <f t="shared" si="23"/>
        <v>0.67599999999999993</v>
      </c>
      <c r="Y52" s="217">
        <f t="shared" si="76"/>
        <v>0.5</v>
      </c>
      <c r="Z52" s="213">
        <f t="shared" si="62"/>
        <v>1</v>
      </c>
      <c r="AA52" s="213">
        <f t="shared" si="25"/>
        <v>1</v>
      </c>
      <c r="AB52" s="218">
        <f t="shared" si="63"/>
        <v>0.31622776601683794</v>
      </c>
      <c r="AC52" s="217">
        <v>0</v>
      </c>
      <c r="AD52" s="213">
        <f t="shared" si="64"/>
        <v>0.11500000000000002</v>
      </c>
      <c r="AE52" s="218">
        <f t="shared" si="27"/>
        <v>0.11500000000000002</v>
      </c>
      <c r="AF52" s="58">
        <f t="shared" si="65"/>
        <v>4.4999999999999998E-2</v>
      </c>
      <c r="AG52" s="61">
        <f t="shared" si="66"/>
        <v>4.4999999999999998E-2</v>
      </c>
      <c r="AH52" s="58">
        <f t="shared" si="67"/>
        <v>7.000000000000001E-3</v>
      </c>
      <c r="AI52" s="49">
        <f t="shared" si="68"/>
        <v>5.9411692713236697E-3</v>
      </c>
      <c r="AJ52" s="61">
        <f t="shared" si="45"/>
        <v>1.2941169271323671E-2</v>
      </c>
      <c r="AK52" s="217">
        <f t="shared" si="69"/>
        <v>2.25</v>
      </c>
      <c r="AL52" s="213">
        <f t="shared" si="13"/>
        <v>1500</v>
      </c>
      <c r="AM52" s="218">
        <f t="shared" si="28"/>
        <v>1.5E-3</v>
      </c>
      <c r="AN52" s="217">
        <f t="shared" si="77"/>
        <v>2</v>
      </c>
      <c r="AO52" s="213">
        <f t="shared" si="78"/>
        <v>2.4E-2</v>
      </c>
      <c r="AP52" s="213">
        <f t="shared" si="79"/>
        <v>6.25E-2</v>
      </c>
      <c r="AQ52" s="213">
        <f t="shared" si="80"/>
        <v>0.125</v>
      </c>
      <c r="AR52" s="213">
        <f t="shared" si="46"/>
        <v>0.125</v>
      </c>
      <c r="AS52" s="218">
        <f t="shared" si="47"/>
        <v>1.1180339887498947E-2</v>
      </c>
      <c r="AT52" s="217"/>
      <c r="AU52" s="213">
        <f t="shared" si="81"/>
        <v>6.0749999999999999E-5</v>
      </c>
      <c r="AV52" s="218">
        <f t="shared" si="48"/>
        <v>6.0749999999999999E-5</v>
      </c>
      <c r="AW52" s="217">
        <f t="shared" si="82"/>
        <v>0</v>
      </c>
      <c r="AX52" s="213">
        <f t="shared" si="83"/>
        <v>1.725E-3</v>
      </c>
      <c r="AY52" s="218">
        <f t="shared" si="49"/>
        <v>1.725E-3</v>
      </c>
      <c r="AZ52" s="217">
        <f t="shared" si="70"/>
        <v>0</v>
      </c>
      <c r="BA52" s="213">
        <f t="shared" si="71"/>
        <v>0</v>
      </c>
      <c r="BB52" s="213">
        <f t="shared" si="50"/>
        <v>0</v>
      </c>
      <c r="BC52" s="61">
        <f t="shared" si="84"/>
        <v>0</v>
      </c>
      <c r="BD52" s="58">
        <v>0</v>
      </c>
      <c r="BE52" s="49">
        <f t="shared" si="85"/>
        <v>0</v>
      </c>
      <c r="BF52" s="61">
        <f t="shared" si="52"/>
        <v>0</v>
      </c>
      <c r="BG52" s="58">
        <f t="shared" si="86"/>
        <v>0</v>
      </c>
      <c r="BH52" s="49">
        <f t="shared" si="87"/>
        <v>0</v>
      </c>
      <c r="BI52" s="61">
        <f t="shared" si="88"/>
        <v>0</v>
      </c>
      <c r="BK52" s="217">
        <f t="shared" si="72"/>
        <v>0</v>
      </c>
      <c r="BL52" s="213">
        <f t="shared" si="18"/>
        <v>0</v>
      </c>
      <c r="BM52" s="213">
        <f t="shared" si="73"/>
        <v>0</v>
      </c>
      <c r="BN52" s="61">
        <f t="shared" si="89"/>
        <v>0</v>
      </c>
      <c r="BO52" s="58">
        <v>0</v>
      </c>
      <c r="BP52" s="49">
        <f t="shared" si="90"/>
        <v>0</v>
      </c>
      <c r="BQ52" s="61">
        <f t="shared" si="53"/>
        <v>0</v>
      </c>
      <c r="BR52" s="58">
        <f t="shared" si="91"/>
        <v>0</v>
      </c>
      <c r="BS52" s="49">
        <f t="shared" si="92"/>
        <v>0</v>
      </c>
      <c r="BT52" s="61">
        <f t="shared" si="55"/>
        <v>0</v>
      </c>
      <c r="BU52" s="58">
        <f t="shared" si="74"/>
        <v>4.0000000000000002E-4</v>
      </c>
      <c r="BV52" s="49">
        <f t="shared" si="21"/>
        <v>3.6450000000000007E-3</v>
      </c>
      <c r="BW52" s="61">
        <f t="shared" si="75"/>
        <v>6.7499999999999999E-3</v>
      </c>
      <c r="BX52" s="49">
        <f t="shared" si="56"/>
        <v>0.16000000000000003</v>
      </c>
      <c r="BY52" s="49">
        <f t="shared" si="43"/>
        <v>0.23052191927132371</v>
      </c>
      <c r="BZ52" s="49">
        <f t="shared" si="93"/>
        <v>90.706717103348893</v>
      </c>
    </row>
    <row r="53" spans="17:78" x14ac:dyDescent="0.3">
      <c r="Q53" s="49">
        <v>46</v>
      </c>
      <c r="R53" s="217">
        <f t="shared" si="57"/>
        <v>2.3000000000000003</v>
      </c>
      <c r="S53" s="213">
        <f t="shared" si="1"/>
        <v>15</v>
      </c>
      <c r="T53" s="218">
        <f t="shared" si="58"/>
        <v>0.15333333333333335</v>
      </c>
      <c r="U53" s="217">
        <f t="shared" si="59"/>
        <v>1</v>
      </c>
      <c r="V53" s="213">
        <f t="shared" si="60"/>
        <v>0.30331501776206204</v>
      </c>
      <c r="W53" s="213">
        <f t="shared" si="61"/>
        <v>2.4265201420964964E-2</v>
      </c>
      <c r="X53" s="213">
        <f t="shared" si="23"/>
        <v>0.67241978081697296</v>
      </c>
      <c r="Y53" s="217">
        <f t="shared" si="76"/>
        <v>0.5055250296034367</v>
      </c>
      <c r="Z53" s="213">
        <f t="shared" si="62"/>
        <v>1.0110500592068736</v>
      </c>
      <c r="AA53" s="213">
        <f t="shared" si="25"/>
        <v>1.0110500592068736</v>
      </c>
      <c r="AB53" s="218">
        <f t="shared" si="63"/>
        <v>0.32148372249623464</v>
      </c>
      <c r="AC53" s="217">
        <v>0</v>
      </c>
      <c r="AD53" s="213">
        <f t="shared" si="64"/>
        <v>0.11885455140454142</v>
      </c>
      <c r="AE53" s="218">
        <f t="shared" si="27"/>
        <v>0.11885455140454142</v>
      </c>
      <c r="AF53" s="58">
        <f t="shared" si="65"/>
        <v>4.6000000000000006E-2</v>
      </c>
      <c r="AG53" s="61">
        <f t="shared" si="66"/>
        <v>4.6000000000000006E-2</v>
      </c>
      <c r="AH53" s="58">
        <f t="shared" si="67"/>
        <v>7.2346248681025207E-3</v>
      </c>
      <c r="AI53" s="49">
        <f t="shared" si="68"/>
        <v>6.0068195435298531E-3</v>
      </c>
      <c r="AJ53" s="61">
        <f t="shared" si="45"/>
        <v>1.3241444411632374E-2</v>
      </c>
      <c r="AK53" s="217">
        <f t="shared" si="69"/>
        <v>2.3000000000000003</v>
      </c>
      <c r="AL53" s="213">
        <f t="shared" si="13"/>
        <v>1500</v>
      </c>
      <c r="AM53" s="218">
        <f t="shared" si="28"/>
        <v>1.5333333333333336E-3</v>
      </c>
      <c r="AN53" s="217">
        <f t="shared" si="77"/>
        <v>2</v>
      </c>
      <c r="AO53" s="213">
        <f t="shared" si="78"/>
        <v>2.4265201420964964E-2</v>
      </c>
      <c r="AP53" s="213">
        <f t="shared" si="79"/>
        <v>6.3190628700429588E-2</v>
      </c>
      <c r="AQ53" s="213">
        <f t="shared" si="80"/>
        <v>0.1263812574008592</v>
      </c>
      <c r="AR53" s="213">
        <f t="shared" si="46"/>
        <v>0.1263812574008592</v>
      </c>
      <c r="AS53" s="218">
        <f t="shared" si="47"/>
        <v>1.1366166010909087E-2</v>
      </c>
      <c r="AT53" s="217"/>
      <c r="AU53" s="213">
        <f t="shared" si="81"/>
        <v>6.3480000000000022E-5</v>
      </c>
      <c r="AV53" s="218">
        <f t="shared" si="48"/>
        <v>6.3480000000000022E-5</v>
      </c>
      <c r="AW53" s="217">
        <f t="shared" si="82"/>
        <v>0</v>
      </c>
      <c r="AX53" s="213">
        <f t="shared" si="83"/>
        <v>1.7633333333333335E-3</v>
      </c>
      <c r="AY53" s="218">
        <f t="shared" si="49"/>
        <v>1.7633333333333335E-3</v>
      </c>
      <c r="AZ53" s="217">
        <f t="shared" si="70"/>
        <v>0</v>
      </c>
      <c r="BA53" s="213">
        <f t="shared" si="71"/>
        <v>0</v>
      </c>
      <c r="BB53" s="213">
        <f t="shared" si="50"/>
        <v>0</v>
      </c>
      <c r="BC53" s="61">
        <f t="shared" si="84"/>
        <v>0</v>
      </c>
      <c r="BD53" s="58">
        <v>0</v>
      </c>
      <c r="BE53" s="49">
        <f t="shared" si="85"/>
        <v>0</v>
      </c>
      <c r="BF53" s="61">
        <f t="shared" si="52"/>
        <v>0</v>
      </c>
      <c r="BG53" s="58">
        <f t="shared" si="86"/>
        <v>0</v>
      </c>
      <c r="BH53" s="49">
        <f t="shared" si="87"/>
        <v>0</v>
      </c>
      <c r="BI53" s="61">
        <f t="shared" si="88"/>
        <v>0</v>
      </c>
      <c r="BK53" s="217">
        <f t="shared" si="72"/>
        <v>0</v>
      </c>
      <c r="BL53" s="213">
        <f t="shared" si="18"/>
        <v>0</v>
      </c>
      <c r="BM53" s="213">
        <f t="shared" si="73"/>
        <v>0</v>
      </c>
      <c r="BN53" s="61">
        <f t="shared" si="89"/>
        <v>0</v>
      </c>
      <c r="BO53" s="58">
        <v>0</v>
      </c>
      <c r="BP53" s="49">
        <f t="shared" si="90"/>
        <v>0</v>
      </c>
      <c r="BQ53" s="61">
        <f t="shared" si="53"/>
        <v>0</v>
      </c>
      <c r="BR53" s="58">
        <f t="shared" si="91"/>
        <v>0</v>
      </c>
      <c r="BS53" s="49">
        <f t="shared" si="92"/>
        <v>0</v>
      </c>
      <c r="BT53" s="61">
        <f t="shared" si="55"/>
        <v>0</v>
      </c>
      <c r="BU53" s="58">
        <f t="shared" si="74"/>
        <v>4.13407135320144E-4</v>
      </c>
      <c r="BV53" s="49">
        <f t="shared" si="21"/>
        <v>3.6450000000000007E-3</v>
      </c>
      <c r="BW53" s="61">
        <f t="shared" si="75"/>
        <v>6.7499999999999999E-3</v>
      </c>
      <c r="BX53" s="49">
        <f t="shared" si="56"/>
        <v>0.16485455140454142</v>
      </c>
      <c r="BY53" s="49">
        <f t="shared" si="43"/>
        <v>0.23673121628482727</v>
      </c>
      <c r="BZ53" s="49">
        <f t="shared" si="93"/>
        <v>90.667863636277076</v>
      </c>
    </row>
    <row r="54" spans="17:78" x14ac:dyDescent="0.3">
      <c r="Q54" s="49">
        <v>47</v>
      </c>
      <c r="R54" s="217">
        <f t="shared" si="57"/>
        <v>2.35</v>
      </c>
      <c r="S54" s="213">
        <f t="shared" si="1"/>
        <v>15</v>
      </c>
      <c r="T54" s="218">
        <f t="shared" si="58"/>
        <v>0.15666666666666668</v>
      </c>
      <c r="U54" s="217">
        <f t="shared" si="59"/>
        <v>1</v>
      </c>
      <c r="V54" s="213">
        <f t="shared" si="60"/>
        <v>0.30659419433511781</v>
      </c>
      <c r="W54" s="213">
        <f t="shared" si="61"/>
        <v>2.4527535546809427E-2</v>
      </c>
      <c r="X54" s="213">
        <f t="shared" si="23"/>
        <v>0.66887827011807277</v>
      </c>
      <c r="Y54" s="217">
        <f t="shared" si="76"/>
        <v>0.51099032389186305</v>
      </c>
      <c r="Z54" s="213">
        <f t="shared" si="62"/>
        <v>1.0219806477837261</v>
      </c>
      <c r="AA54" s="213">
        <f t="shared" si="25"/>
        <v>1.0219806477837261</v>
      </c>
      <c r="AB54" s="218">
        <f t="shared" si="63"/>
        <v>0.32671118895860413</v>
      </c>
      <c r="AC54" s="217">
        <v>0</v>
      </c>
      <c r="AD54" s="213">
        <f t="shared" si="64"/>
        <v>0.12275123113935646</v>
      </c>
      <c r="AE54" s="218">
        <f t="shared" si="27"/>
        <v>0.12275123113935646</v>
      </c>
      <c r="AF54" s="58">
        <f t="shared" si="65"/>
        <v>4.7E-2</v>
      </c>
      <c r="AG54" s="61">
        <f t="shared" si="66"/>
        <v>4.7E-2</v>
      </c>
      <c r="AH54" s="58">
        <f t="shared" si="67"/>
        <v>7.4718140693521319E-3</v>
      </c>
      <c r="AI54" s="49">
        <f t="shared" si="68"/>
        <v>6.0717600205001318E-3</v>
      </c>
      <c r="AJ54" s="61">
        <f t="shared" si="45"/>
        <v>1.3543574089852264E-2</v>
      </c>
      <c r="AK54" s="217">
        <f t="shared" si="69"/>
        <v>2.35</v>
      </c>
      <c r="AL54" s="213">
        <f t="shared" si="13"/>
        <v>1500</v>
      </c>
      <c r="AM54" s="218">
        <f t="shared" si="28"/>
        <v>1.5666666666666667E-3</v>
      </c>
      <c r="AN54" s="217">
        <f t="shared" si="77"/>
        <v>2</v>
      </c>
      <c r="AO54" s="213">
        <f t="shared" si="78"/>
        <v>2.4527535546809427E-2</v>
      </c>
      <c r="AP54" s="213">
        <f t="shared" si="79"/>
        <v>6.3873790486482881E-2</v>
      </c>
      <c r="AQ54" s="213">
        <f t="shared" si="80"/>
        <v>0.12774758097296576</v>
      </c>
      <c r="AR54" s="213">
        <f t="shared" si="46"/>
        <v>0.12774758097296576</v>
      </c>
      <c r="AS54" s="218">
        <f t="shared" si="47"/>
        <v>1.1550984860107423E-2</v>
      </c>
      <c r="AT54" s="217"/>
      <c r="AU54" s="213">
        <f t="shared" si="81"/>
        <v>6.6270000000000001E-5</v>
      </c>
      <c r="AV54" s="218">
        <f t="shared" si="48"/>
        <v>6.6270000000000001E-5</v>
      </c>
      <c r="AW54" s="217">
        <f t="shared" si="82"/>
        <v>0</v>
      </c>
      <c r="AX54" s="213">
        <f t="shared" si="83"/>
        <v>1.8016666666666667E-3</v>
      </c>
      <c r="AY54" s="218">
        <f t="shared" si="49"/>
        <v>1.8016666666666667E-3</v>
      </c>
      <c r="AZ54" s="217">
        <f t="shared" si="70"/>
        <v>0</v>
      </c>
      <c r="BA54" s="213">
        <f t="shared" si="71"/>
        <v>0</v>
      </c>
      <c r="BB54" s="213">
        <f t="shared" si="50"/>
        <v>0</v>
      </c>
      <c r="BC54" s="61">
        <f t="shared" si="84"/>
        <v>0</v>
      </c>
      <c r="BD54" s="58">
        <v>0</v>
      </c>
      <c r="BE54" s="49">
        <f t="shared" si="85"/>
        <v>0</v>
      </c>
      <c r="BF54" s="61">
        <f t="shared" si="52"/>
        <v>0</v>
      </c>
      <c r="BG54" s="58">
        <f t="shared" si="86"/>
        <v>0</v>
      </c>
      <c r="BH54" s="49">
        <f t="shared" si="87"/>
        <v>0</v>
      </c>
      <c r="BI54" s="61">
        <f t="shared" si="88"/>
        <v>0</v>
      </c>
      <c r="BK54" s="217">
        <f t="shared" si="72"/>
        <v>0</v>
      </c>
      <c r="BL54" s="213">
        <f t="shared" si="18"/>
        <v>0</v>
      </c>
      <c r="BM54" s="213">
        <f t="shared" si="73"/>
        <v>0</v>
      </c>
      <c r="BN54" s="61">
        <f t="shared" si="89"/>
        <v>0</v>
      </c>
      <c r="BO54" s="58">
        <v>0</v>
      </c>
      <c r="BP54" s="49">
        <f t="shared" si="90"/>
        <v>0</v>
      </c>
      <c r="BQ54" s="61">
        <f t="shared" si="53"/>
        <v>0</v>
      </c>
      <c r="BR54" s="58">
        <f t="shared" si="91"/>
        <v>0</v>
      </c>
      <c r="BS54" s="49">
        <f t="shared" si="92"/>
        <v>0</v>
      </c>
      <c r="BT54" s="61">
        <f t="shared" si="55"/>
        <v>0</v>
      </c>
      <c r="BU54" s="58">
        <f t="shared" si="74"/>
        <v>4.2696080396297892E-4</v>
      </c>
      <c r="BV54" s="49">
        <f t="shared" si="21"/>
        <v>3.6450000000000007E-3</v>
      </c>
      <c r="BW54" s="61">
        <f t="shared" si="75"/>
        <v>6.7499999999999999E-3</v>
      </c>
      <c r="BX54" s="49">
        <f t="shared" si="56"/>
        <v>0.16975123113935647</v>
      </c>
      <c r="BY54" s="49">
        <f t="shared" si="43"/>
        <v>0.24298470269983835</v>
      </c>
      <c r="BZ54" s="49">
        <f t="shared" si="93"/>
        <v>90.629150166337652</v>
      </c>
    </row>
    <row r="55" spans="17:78" x14ac:dyDescent="0.3">
      <c r="Q55" s="49">
        <v>48</v>
      </c>
      <c r="R55" s="217">
        <f t="shared" si="57"/>
        <v>2.4000000000000004</v>
      </c>
      <c r="S55" s="213">
        <f t="shared" si="1"/>
        <v>15</v>
      </c>
      <c r="T55" s="218">
        <f t="shared" si="58"/>
        <v>0.16000000000000003</v>
      </c>
      <c r="U55" s="217">
        <f t="shared" si="59"/>
        <v>1</v>
      </c>
      <c r="V55" s="213">
        <f t="shared" si="60"/>
        <v>0.30983866769659335</v>
      </c>
      <c r="W55" s="213">
        <f t="shared" si="61"/>
        <v>2.4787093415727469E-2</v>
      </c>
      <c r="X55" s="213">
        <f t="shared" si="23"/>
        <v>0.6653742388876791</v>
      </c>
      <c r="Y55" s="217">
        <f t="shared" si="76"/>
        <v>0.51639777949432231</v>
      </c>
      <c r="Z55" s="213">
        <f t="shared" si="62"/>
        <v>1.0327955589886446</v>
      </c>
      <c r="AA55" s="213">
        <f t="shared" si="25"/>
        <v>1.0327955589886446</v>
      </c>
      <c r="AB55" s="218">
        <f t="shared" si="63"/>
        <v>0.33191092122052179</v>
      </c>
      <c r="AC55" s="217">
        <v>0</v>
      </c>
      <c r="AD55" s="213">
        <f t="shared" si="64"/>
        <v>0.12668958856927376</v>
      </c>
      <c r="AE55" s="218">
        <f t="shared" si="27"/>
        <v>0.12668958856927376</v>
      </c>
      <c r="AF55" s="58">
        <f t="shared" si="65"/>
        <v>4.8000000000000008E-2</v>
      </c>
      <c r="AG55" s="61">
        <f t="shared" si="66"/>
        <v>4.8000000000000008E-2</v>
      </c>
      <c r="AH55" s="58">
        <f t="shared" si="67"/>
        <v>7.7115401737818806E-3</v>
      </c>
      <c r="AI55" s="49">
        <f t="shared" si="68"/>
        <v>6.1360132386228871E-3</v>
      </c>
      <c r="AJ55" s="61">
        <f t="shared" si="45"/>
        <v>1.3847553412404769E-2</v>
      </c>
      <c r="AK55" s="217">
        <f t="shared" si="69"/>
        <v>2.4000000000000004</v>
      </c>
      <c r="AL55" s="213">
        <f t="shared" si="13"/>
        <v>1500</v>
      </c>
      <c r="AM55" s="218">
        <f t="shared" si="28"/>
        <v>1.6000000000000003E-3</v>
      </c>
      <c r="AN55" s="217">
        <f t="shared" si="77"/>
        <v>2</v>
      </c>
      <c r="AO55" s="213">
        <f t="shared" si="78"/>
        <v>2.4787093415727469E-2</v>
      </c>
      <c r="AP55" s="213">
        <f t="shared" si="79"/>
        <v>6.4549722436790288E-2</v>
      </c>
      <c r="AQ55" s="213">
        <f t="shared" si="80"/>
        <v>0.12909944487358058</v>
      </c>
      <c r="AR55" s="213">
        <f t="shared" si="46"/>
        <v>0.12909944487358058</v>
      </c>
      <c r="AS55" s="218">
        <f t="shared" si="47"/>
        <v>1.1734823157245246E-2</v>
      </c>
      <c r="AT55" s="217"/>
      <c r="AU55" s="213">
        <f t="shared" si="81"/>
        <v>6.9120000000000029E-5</v>
      </c>
      <c r="AV55" s="218">
        <f t="shared" si="48"/>
        <v>6.9120000000000029E-5</v>
      </c>
      <c r="AW55" s="217">
        <f t="shared" si="82"/>
        <v>0</v>
      </c>
      <c r="AX55" s="213">
        <f t="shared" si="83"/>
        <v>1.8400000000000003E-3</v>
      </c>
      <c r="AY55" s="218">
        <f t="shared" si="49"/>
        <v>1.8400000000000003E-3</v>
      </c>
      <c r="AZ55" s="217">
        <f t="shared" si="70"/>
        <v>0</v>
      </c>
      <c r="BA55" s="213">
        <f t="shared" si="71"/>
        <v>0</v>
      </c>
      <c r="BB55" s="213">
        <f t="shared" si="50"/>
        <v>0</v>
      </c>
      <c r="BC55" s="61">
        <f t="shared" si="84"/>
        <v>0</v>
      </c>
      <c r="BD55" s="58">
        <v>0</v>
      </c>
      <c r="BE55" s="49">
        <f t="shared" si="85"/>
        <v>0</v>
      </c>
      <c r="BF55" s="61">
        <f t="shared" si="52"/>
        <v>0</v>
      </c>
      <c r="BG55" s="58">
        <f t="shared" si="86"/>
        <v>0</v>
      </c>
      <c r="BH55" s="49">
        <f t="shared" si="87"/>
        <v>0</v>
      </c>
      <c r="BI55" s="61">
        <f t="shared" si="88"/>
        <v>0</v>
      </c>
      <c r="BK55" s="217">
        <f t="shared" si="72"/>
        <v>0</v>
      </c>
      <c r="BL55" s="213">
        <f t="shared" si="18"/>
        <v>0</v>
      </c>
      <c r="BM55" s="213">
        <f t="shared" si="73"/>
        <v>0</v>
      </c>
      <c r="BN55" s="61">
        <f t="shared" si="89"/>
        <v>0</v>
      </c>
      <c r="BO55" s="58">
        <v>0</v>
      </c>
      <c r="BP55" s="49">
        <f t="shared" si="90"/>
        <v>0</v>
      </c>
      <c r="BQ55" s="61">
        <f t="shared" si="53"/>
        <v>0</v>
      </c>
      <c r="BR55" s="58">
        <f t="shared" si="91"/>
        <v>0</v>
      </c>
      <c r="BS55" s="49">
        <f t="shared" si="92"/>
        <v>0</v>
      </c>
      <c r="BT55" s="61">
        <f t="shared" si="55"/>
        <v>0</v>
      </c>
      <c r="BU55" s="58">
        <f t="shared" si="74"/>
        <v>4.406594385018217E-4</v>
      </c>
      <c r="BV55" s="49">
        <f t="shared" si="21"/>
        <v>3.6450000000000007E-3</v>
      </c>
      <c r="BW55" s="61">
        <f t="shared" si="75"/>
        <v>6.7499999999999999E-3</v>
      </c>
      <c r="BX55" s="49">
        <f t="shared" si="56"/>
        <v>0.17468958856927377</v>
      </c>
      <c r="BY55" s="49">
        <f t="shared" si="43"/>
        <v>0.24928192142018038</v>
      </c>
      <c r="BZ55" s="49">
        <f t="shared" si="93"/>
        <v>90.590585342969092</v>
      </c>
    </row>
    <row r="56" spans="17:78" x14ac:dyDescent="0.3">
      <c r="Q56" s="49">
        <v>49</v>
      </c>
      <c r="R56" s="217">
        <f t="shared" si="57"/>
        <v>2.4500000000000002</v>
      </c>
      <c r="S56" s="213">
        <f t="shared" si="1"/>
        <v>15</v>
      </c>
      <c r="T56" s="218">
        <f t="shared" si="58"/>
        <v>0.16333333333333336</v>
      </c>
      <c r="U56" s="217">
        <f t="shared" si="59"/>
        <v>1</v>
      </c>
      <c r="V56" s="213">
        <f t="shared" si="60"/>
        <v>0.31304951684997057</v>
      </c>
      <c r="W56" s="213">
        <f t="shared" si="61"/>
        <v>2.5043961347997648E-2</v>
      </c>
      <c r="X56" s="213">
        <f t="shared" si="23"/>
        <v>0.6619065218020318</v>
      </c>
      <c r="Y56" s="217">
        <f t="shared" si="76"/>
        <v>0.52174919474995096</v>
      </c>
      <c r="Z56" s="213">
        <f t="shared" si="62"/>
        <v>1.0434983894999019</v>
      </c>
      <c r="AA56" s="213">
        <f t="shared" si="25"/>
        <v>1.0434983894999019</v>
      </c>
      <c r="AB56" s="218">
        <f t="shared" si="63"/>
        <v>0.33708363975427424</v>
      </c>
      <c r="AC56" s="217">
        <v>0</v>
      </c>
      <c r="AD56" s="213">
        <f t="shared" si="64"/>
        <v>0.13066918721848775</v>
      </c>
      <c r="AE56" s="218">
        <f t="shared" si="27"/>
        <v>0.13066918721848775</v>
      </c>
      <c r="AF56" s="58">
        <f t="shared" si="65"/>
        <v>4.9000000000000002E-2</v>
      </c>
      <c r="AG56" s="61">
        <f t="shared" si="66"/>
        <v>4.9000000000000002E-2</v>
      </c>
      <c r="AH56" s="58">
        <f t="shared" si="67"/>
        <v>7.9537766132992543E-3</v>
      </c>
      <c r="AI56" s="49">
        <f t="shared" si="68"/>
        <v>6.1996005663725552E-3</v>
      </c>
      <c r="AJ56" s="61">
        <f t="shared" si="45"/>
        <v>1.415337717967181E-2</v>
      </c>
      <c r="AK56" s="217">
        <f t="shared" si="69"/>
        <v>2.4500000000000002</v>
      </c>
      <c r="AL56" s="213">
        <f t="shared" si="13"/>
        <v>1500</v>
      </c>
      <c r="AM56" s="218">
        <f t="shared" si="28"/>
        <v>1.6333333333333334E-3</v>
      </c>
      <c r="AN56" s="217">
        <f t="shared" si="77"/>
        <v>2</v>
      </c>
      <c r="AO56" s="213">
        <f t="shared" si="78"/>
        <v>2.5043961347997645E-2</v>
      </c>
      <c r="AP56" s="213">
        <f t="shared" si="79"/>
        <v>6.521864934374387E-2</v>
      </c>
      <c r="AQ56" s="213">
        <f t="shared" si="80"/>
        <v>0.13043729868748774</v>
      </c>
      <c r="AR56" s="213">
        <f t="shared" si="46"/>
        <v>0.13043729868748774</v>
      </c>
      <c r="AS56" s="218">
        <f t="shared" si="47"/>
        <v>1.1917706374864528E-2</v>
      </c>
      <c r="AT56" s="217"/>
      <c r="AU56" s="213">
        <f t="shared" si="81"/>
        <v>7.2030000000000013E-5</v>
      </c>
      <c r="AV56" s="218">
        <f t="shared" si="48"/>
        <v>7.2030000000000013E-5</v>
      </c>
      <c r="AW56" s="217">
        <f t="shared" si="82"/>
        <v>0</v>
      </c>
      <c r="AX56" s="213">
        <f t="shared" si="83"/>
        <v>1.8783333333333332E-3</v>
      </c>
      <c r="AY56" s="218">
        <f t="shared" si="49"/>
        <v>1.8783333333333332E-3</v>
      </c>
      <c r="AZ56" s="217">
        <f t="shared" si="70"/>
        <v>0</v>
      </c>
      <c r="BA56" s="213">
        <f t="shared" si="71"/>
        <v>0</v>
      </c>
      <c r="BB56" s="213">
        <f t="shared" si="50"/>
        <v>0</v>
      </c>
      <c r="BC56" s="61">
        <f t="shared" si="84"/>
        <v>0</v>
      </c>
      <c r="BD56" s="58">
        <v>0</v>
      </c>
      <c r="BE56" s="49">
        <f t="shared" si="85"/>
        <v>0</v>
      </c>
      <c r="BF56" s="61">
        <f t="shared" si="52"/>
        <v>0</v>
      </c>
      <c r="BG56" s="58">
        <f t="shared" si="86"/>
        <v>0</v>
      </c>
      <c r="BH56" s="49">
        <f t="shared" si="87"/>
        <v>0</v>
      </c>
      <c r="BI56" s="61">
        <f t="shared" si="88"/>
        <v>0</v>
      </c>
      <c r="BK56" s="217">
        <f t="shared" si="72"/>
        <v>0</v>
      </c>
      <c r="BL56" s="213">
        <f t="shared" si="18"/>
        <v>0</v>
      </c>
      <c r="BM56" s="213">
        <f t="shared" si="73"/>
        <v>0</v>
      </c>
      <c r="BN56" s="61">
        <f t="shared" si="89"/>
        <v>0</v>
      </c>
      <c r="BO56" s="58">
        <v>0</v>
      </c>
      <c r="BP56" s="49">
        <f t="shared" si="90"/>
        <v>0</v>
      </c>
      <c r="BQ56" s="61">
        <f t="shared" si="53"/>
        <v>0</v>
      </c>
      <c r="BR56" s="58">
        <f t="shared" si="91"/>
        <v>0</v>
      </c>
      <c r="BS56" s="49">
        <f t="shared" si="92"/>
        <v>0</v>
      </c>
      <c r="BT56" s="61">
        <f t="shared" si="55"/>
        <v>0</v>
      </c>
      <c r="BU56" s="58">
        <f t="shared" si="74"/>
        <v>4.5450152075995735E-4</v>
      </c>
      <c r="BV56" s="49">
        <f t="shared" si="21"/>
        <v>3.6450000000000007E-3</v>
      </c>
      <c r="BW56" s="61">
        <f t="shared" si="75"/>
        <v>6.7499999999999999E-3</v>
      </c>
      <c r="BX56" s="49">
        <f t="shared" si="56"/>
        <v>0.17966918721848774</v>
      </c>
      <c r="BY56" s="49">
        <f t="shared" si="43"/>
        <v>0.25562242925225287</v>
      </c>
      <c r="BZ56" s="49">
        <f t="shared" si="93"/>
        <v>90.552176590179329</v>
      </c>
    </row>
    <row r="57" spans="17:78" x14ac:dyDescent="0.3">
      <c r="Q57" s="49">
        <v>50</v>
      </c>
      <c r="R57" s="217">
        <f t="shared" si="57"/>
        <v>2.5</v>
      </c>
      <c r="S57" s="213">
        <f t="shared" si="1"/>
        <v>15</v>
      </c>
      <c r="T57" s="218">
        <f t="shared" si="58"/>
        <v>0.16666666666666666</v>
      </c>
      <c r="U57" s="217">
        <f t="shared" si="59"/>
        <v>1</v>
      </c>
      <c r="V57" s="213">
        <f t="shared" si="60"/>
        <v>0.31622776601683794</v>
      </c>
      <c r="W57" s="213">
        <f t="shared" si="61"/>
        <v>2.5298221281347035E-2</v>
      </c>
      <c r="X57" s="213">
        <f t="shared" si="23"/>
        <v>0.65847401270181494</v>
      </c>
      <c r="Y57" s="217">
        <f t="shared" si="76"/>
        <v>0.52704627669472992</v>
      </c>
      <c r="Z57" s="213">
        <f t="shared" si="62"/>
        <v>1.0540925533894598</v>
      </c>
      <c r="AA57" s="213">
        <f t="shared" si="25"/>
        <v>1.0540925533894598</v>
      </c>
      <c r="AB57" s="218">
        <f t="shared" si="63"/>
        <v>0.34223003202678037</v>
      </c>
      <c r="AC57" s="217">
        <v>0</v>
      </c>
      <c r="AD57" s="213">
        <f t="shared" si="64"/>
        <v>0.13468960404420879</v>
      </c>
      <c r="AE57" s="218">
        <f t="shared" si="27"/>
        <v>0.13468960404420879</v>
      </c>
      <c r="AF57" s="58">
        <f t="shared" si="65"/>
        <v>0.05</v>
      </c>
      <c r="AG57" s="61">
        <f t="shared" si="66"/>
        <v>0.05</v>
      </c>
      <c r="AH57" s="58">
        <f t="shared" si="67"/>
        <v>8.1984976374735799E-3</v>
      </c>
      <c r="AI57" s="49">
        <f t="shared" si="68"/>
        <v>6.2625422873285631E-3</v>
      </c>
      <c r="AJ57" s="61">
        <f t="shared" si="45"/>
        <v>1.4461039924802143E-2</v>
      </c>
      <c r="AK57" s="217">
        <f t="shared" si="69"/>
        <v>2.5</v>
      </c>
      <c r="AL57" s="213">
        <f t="shared" si="13"/>
        <v>1500</v>
      </c>
      <c r="AM57" s="218">
        <f t="shared" si="28"/>
        <v>1.6666666666666668E-3</v>
      </c>
      <c r="AN57" s="217">
        <f t="shared" si="77"/>
        <v>2</v>
      </c>
      <c r="AO57" s="213">
        <f t="shared" si="78"/>
        <v>2.5298221281347035E-2</v>
      </c>
      <c r="AP57" s="213">
        <f t="shared" si="79"/>
        <v>6.588078458684124E-2</v>
      </c>
      <c r="AQ57" s="213">
        <f t="shared" si="80"/>
        <v>0.13176156917368248</v>
      </c>
      <c r="AR57" s="213">
        <f t="shared" si="46"/>
        <v>0.13176156917368248</v>
      </c>
      <c r="AS57" s="218">
        <f t="shared" si="47"/>
        <v>1.2099658818591286E-2</v>
      </c>
      <c r="AT57" s="217"/>
      <c r="AU57" s="213">
        <f t="shared" si="81"/>
        <v>7.5000000000000021E-5</v>
      </c>
      <c r="AV57" s="218">
        <f t="shared" si="48"/>
        <v>7.5000000000000021E-5</v>
      </c>
      <c r="AW57" s="217">
        <f t="shared" si="82"/>
        <v>0</v>
      </c>
      <c r="AX57" s="213">
        <f t="shared" si="83"/>
        <v>1.9166666666666666E-3</v>
      </c>
      <c r="AY57" s="218">
        <f t="shared" si="49"/>
        <v>1.9166666666666666E-3</v>
      </c>
      <c r="AZ57" s="217">
        <f t="shared" si="70"/>
        <v>0</v>
      </c>
      <c r="BA57" s="213">
        <f t="shared" si="71"/>
        <v>0</v>
      </c>
      <c r="BB57" s="213">
        <f t="shared" si="50"/>
        <v>0</v>
      </c>
      <c r="BC57" s="61">
        <f t="shared" si="84"/>
        <v>0</v>
      </c>
      <c r="BD57" s="58">
        <v>0</v>
      </c>
      <c r="BE57" s="49">
        <f t="shared" si="85"/>
        <v>0</v>
      </c>
      <c r="BF57" s="61">
        <f t="shared" si="52"/>
        <v>0</v>
      </c>
      <c r="BG57" s="58">
        <f t="shared" si="86"/>
        <v>0</v>
      </c>
      <c r="BH57" s="49">
        <f t="shared" si="87"/>
        <v>0</v>
      </c>
      <c r="BI57" s="61">
        <f t="shared" si="88"/>
        <v>0</v>
      </c>
      <c r="BK57" s="217">
        <f t="shared" si="72"/>
        <v>0</v>
      </c>
      <c r="BL57" s="213">
        <f t="shared" si="18"/>
        <v>0</v>
      </c>
      <c r="BM57" s="213">
        <f t="shared" si="73"/>
        <v>0</v>
      </c>
      <c r="BN57" s="61">
        <f t="shared" si="89"/>
        <v>0</v>
      </c>
      <c r="BO57" s="58">
        <v>0</v>
      </c>
      <c r="BP57" s="49">
        <f t="shared" si="90"/>
        <v>0</v>
      </c>
      <c r="BQ57" s="61">
        <f t="shared" si="53"/>
        <v>0</v>
      </c>
      <c r="BR57" s="58">
        <f t="shared" si="91"/>
        <v>0</v>
      </c>
      <c r="BS57" s="49">
        <f t="shared" si="92"/>
        <v>0</v>
      </c>
      <c r="BT57" s="61">
        <f t="shared" si="55"/>
        <v>0</v>
      </c>
      <c r="BU57" s="58">
        <f t="shared" si="74"/>
        <v>4.6848557928420447E-4</v>
      </c>
      <c r="BV57" s="49">
        <f t="shared" si="21"/>
        <v>3.6450000000000007E-3</v>
      </c>
      <c r="BW57" s="61">
        <f t="shared" si="75"/>
        <v>6.7499999999999999E-3</v>
      </c>
      <c r="BX57" s="49">
        <f t="shared" si="56"/>
        <v>0.18468960404420881</v>
      </c>
      <c r="BY57" s="49">
        <f t="shared" si="43"/>
        <v>0.26200579621496184</v>
      </c>
      <c r="BZ57" s="49">
        <f t="shared" si="93"/>
        <v>90.513930254092401</v>
      </c>
    </row>
    <row r="58" spans="17:78" x14ac:dyDescent="0.3">
      <c r="Q58" s="49">
        <v>51</v>
      </c>
      <c r="R58" s="217">
        <f t="shared" si="57"/>
        <v>2.5500000000000003</v>
      </c>
      <c r="S58" s="213">
        <f t="shared" si="1"/>
        <v>15</v>
      </c>
      <c r="T58" s="218">
        <f t="shared" si="58"/>
        <v>0.17</v>
      </c>
      <c r="U58" s="217">
        <f t="shared" si="59"/>
        <v>1</v>
      </c>
      <c r="V58" s="213">
        <f t="shared" si="60"/>
        <v>0.31937438845342625</v>
      </c>
      <c r="W58" s="213">
        <f t="shared" si="61"/>
        <v>2.5549951076274099E-2</v>
      </c>
      <c r="X58" s="213">
        <f t="shared" si="23"/>
        <v>0.65507566047029964</v>
      </c>
      <c r="Y58" s="217">
        <f t="shared" si="76"/>
        <v>0.53229064742237719</v>
      </c>
      <c r="Z58" s="213">
        <f t="shared" si="62"/>
        <v>1.0645812948447542</v>
      </c>
      <c r="AA58" s="213">
        <f t="shared" si="25"/>
        <v>1.0645812948447544</v>
      </c>
      <c r="AB58" s="218">
        <f t="shared" si="63"/>
        <v>0.34735075464013632</v>
      </c>
      <c r="AC58" s="217">
        <v>0</v>
      </c>
      <c r="AD58" s="213">
        <f t="shared" si="64"/>
        <v>0.13875042876143301</v>
      </c>
      <c r="AE58" s="218">
        <f t="shared" si="27"/>
        <v>0.13875042876143301</v>
      </c>
      <c r="AF58" s="58">
        <f t="shared" si="65"/>
        <v>5.1000000000000004E-2</v>
      </c>
      <c r="AG58" s="61">
        <f t="shared" si="66"/>
        <v>5.1000000000000004E-2</v>
      </c>
      <c r="AH58" s="58">
        <f t="shared" si="67"/>
        <v>8.4456782724350535E-3</v>
      </c>
      <c r="AI58" s="49">
        <f t="shared" si="68"/>
        <v>6.324857675757618E-3</v>
      </c>
      <c r="AJ58" s="61">
        <f t="shared" si="45"/>
        <v>1.4770535948192672E-2</v>
      </c>
      <c r="AK58" s="217">
        <f t="shared" si="69"/>
        <v>2.5500000000000003</v>
      </c>
      <c r="AL58" s="213">
        <f t="shared" si="13"/>
        <v>1500</v>
      </c>
      <c r="AM58" s="218">
        <f t="shared" si="28"/>
        <v>1.7000000000000001E-3</v>
      </c>
      <c r="AN58" s="217">
        <f t="shared" si="77"/>
        <v>2</v>
      </c>
      <c r="AO58" s="213">
        <f t="shared" si="78"/>
        <v>2.5549951076274096E-2</v>
      </c>
      <c r="AP58" s="213">
        <f t="shared" si="79"/>
        <v>6.6536330927797149E-2</v>
      </c>
      <c r="AQ58" s="213">
        <f t="shared" si="80"/>
        <v>0.13307266185559427</v>
      </c>
      <c r="AR58" s="213">
        <f t="shared" si="46"/>
        <v>0.1330726618555943</v>
      </c>
      <c r="AS58" s="218">
        <f t="shared" si="47"/>
        <v>1.2280703702815251E-2</v>
      </c>
      <c r="AT58" s="217"/>
      <c r="AU58" s="213">
        <f t="shared" si="81"/>
        <v>7.803000000000001E-5</v>
      </c>
      <c r="AV58" s="218">
        <f t="shared" si="48"/>
        <v>7.803000000000001E-5</v>
      </c>
      <c r="AW58" s="217">
        <f t="shared" si="82"/>
        <v>0</v>
      </c>
      <c r="AX58" s="213">
        <f t="shared" si="83"/>
        <v>1.9550000000000001E-3</v>
      </c>
      <c r="AY58" s="218">
        <f t="shared" si="49"/>
        <v>1.9550000000000001E-3</v>
      </c>
      <c r="AZ58" s="217">
        <f t="shared" si="70"/>
        <v>0</v>
      </c>
      <c r="BA58" s="213">
        <f t="shared" si="71"/>
        <v>0</v>
      </c>
      <c r="BB58" s="213">
        <f t="shared" si="50"/>
        <v>0</v>
      </c>
      <c r="BC58" s="61">
        <f t="shared" si="84"/>
        <v>0</v>
      </c>
      <c r="BD58" s="58">
        <v>0</v>
      </c>
      <c r="BE58" s="49">
        <f t="shared" si="85"/>
        <v>0</v>
      </c>
      <c r="BF58" s="61">
        <f t="shared" si="52"/>
        <v>0</v>
      </c>
      <c r="BG58" s="58">
        <f t="shared" si="86"/>
        <v>0</v>
      </c>
      <c r="BH58" s="49">
        <f t="shared" si="87"/>
        <v>0</v>
      </c>
      <c r="BI58" s="61">
        <f t="shared" si="88"/>
        <v>0</v>
      </c>
      <c r="BK58" s="217">
        <f t="shared" si="72"/>
        <v>0</v>
      </c>
      <c r="BL58" s="213">
        <f t="shared" si="18"/>
        <v>0</v>
      </c>
      <c r="BM58" s="213">
        <f t="shared" si="73"/>
        <v>0</v>
      </c>
      <c r="BN58" s="61">
        <f t="shared" si="89"/>
        <v>0</v>
      </c>
      <c r="BO58" s="58">
        <v>0</v>
      </c>
      <c r="BP58" s="49">
        <f t="shared" si="90"/>
        <v>0</v>
      </c>
      <c r="BQ58" s="61">
        <f t="shared" si="53"/>
        <v>0</v>
      </c>
      <c r="BR58" s="58">
        <f t="shared" si="91"/>
        <v>0</v>
      </c>
      <c r="BS58" s="49">
        <f t="shared" si="92"/>
        <v>0</v>
      </c>
      <c r="BT58" s="61">
        <f t="shared" si="55"/>
        <v>0</v>
      </c>
      <c r="BU58" s="58">
        <f t="shared" si="74"/>
        <v>4.8261018699628875E-4</v>
      </c>
      <c r="BV58" s="49">
        <f t="shared" si="21"/>
        <v>3.6450000000000007E-3</v>
      </c>
      <c r="BW58" s="61">
        <f t="shared" si="75"/>
        <v>6.7499999999999999E-3</v>
      </c>
      <c r="BX58" s="49">
        <f t="shared" si="56"/>
        <v>0.189750428761433</v>
      </c>
      <c r="BY58" s="49">
        <f t="shared" si="43"/>
        <v>0.26843160489662199</v>
      </c>
      <c r="BZ58" s="49">
        <f t="shared" si="93"/>
        <v>90.475851731499873</v>
      </c>
    </row>
    <row r="59" spans="17:78" x14ac:dyDescent="0.3">
      <c r="Q59" s="49">
        <v>52</v>
      </c>
      <c r="R59" s="217">
        <f t="shared" si="57"/>
        <v>2.6</v>
      </c>
      <c r="S59" s="213">
        <f t="shared" si="1"/>
        <v>15</v>
      </c>
      <c r="T59" s="218">
        <f t="shared" si="58"/>
        <v>0.17333333333333334</v>
      </c>
      <c r="U59" s="217">
        <f t="shared" si="59"/>
        <v>1</v>
      </c>
      <c r="V59" s="213">
        <f t="shared" si="60"/>
        <v>0.322490309931942</v>
      </c>
      <c r="W59" s="213">
        <f t="shared" si="61"/>
        <v>2.5799224794555362E-2</v>
      </c>
      <c r="X59" s="213">
        <f t="shared" si="23"/>
        <v>0.65171046527350263</v>
      </c>
      <c r="Y59" s="217">
        <f t="shared" si="76"/>
        <v>0.53748384988656994</v>
      </c>
      <c r="Z59" s="213">
        <f t="shared" si="62"/>
        <v>1.0749676997731401</v>
      </c>
      <c r="AA59" s="213">
        <f t="shared" si="25"/>
        <v>1.0749676997731399</v>
      </c>
      <c r="AB59" s="218">
        <f t="shared" si="63"/>
        <v>0.35244643529416325</v>
      </c>
      <c r="AC59" s="217">
        <v>0</v>
      </c>
      <c r="AD59" s="213">
        <f t="shared" si="64"/>
        <v>0.14285126321429722</v>
      </c>
      <c r="AE59" s="218">
        <f t="shared" si="27"/>
        <v>0.14285126321429722</v>
      </c>
      <c r="AF59" s="58">
        <f t="shared" si="65"/>
        <v>5.2000000000000005E-2</v>
      </c>
      <c r="AG59" s="61">
        <f t="shared" si="66"/>
        <v>5.2000000000000005E-2</v>
      </c>
      <c r="AH59" s="58">
        <f t="shared" si="67"/>
        <v>8.6952942826093969E-3</v>
      </c>
      <c r="AI59" s="49">
        <f t="shared" si="68"/>
        <v>6.3865650655576672E-3</v>
      </c>
      <c r="AJ59" s="61">
        <f t="shared" si="45"/>
        <v>1.5081859348167064E-2</v>
      </c>
      <c r="AK59" s="217">
        <f t="shared" si="69"/>
        <v>2.6</v>
      </c>
      <c r="AL59" s="213">
        <f t="shared" si="13"/>
        <v>1500</v>
      </c>
      <c r="AM59" s="218">
        <f t="shared" si="28"/>
        <v>1.7333333333333335E-3</v>
      </c>
      <c r="AN59" s="217">
        <f t="shared" si="77"/>
        <v>1</v>
      </c>
      <c r="AO59" s="213">
        <f t="shared" si="78"/>
        <v>2.5799224794555362E-2</v>
      </c>
      <c r="AP59" s="213">
        <f t="shared" si="79"/>
        <v>6.7185481235821243E-2</v>
      </c>
      <c r="AQ59" s="213">
        <f t="shared" si="80"/>
        <v>0.13437096247164251</v>
      </c>
      <c r="AR59" s="213">
        <f t="shared" si="46"/>
        <v>0.13437096247164249</v>
      </c>
      <c r="AS59" s="218">
        <f t="shared" si="47"/>
        <v>1.246086322007643E-2</v>
      </c>
      <c r="AT59" s="217"/>
      <c r="AU59" s="213">
        <f t="shared" si="81"/>
        <v>8.1120000000000009E-5</v>
      </c>
      <c r="AV59" s="218">
        <f t="shared" si="48"/>
        <v>8.1120000000000009E-5</v>
      </c>
      <c r="AW59" s="217">
        <f t="shared" si="82"/>
        <v>0</v>
      </c>
      <c r="AX59" s="213">
        <f t="shared" si="83"/>
        <v>1.9933333333333335E-3</v>
      </c>
      <c r="AY59" s="218">
        <f t="shared" si="49"/>
        <v>1.9933333333333335E-3</v>
      </c>
      <c r="AZ59" s="217">
        <f t="shared" si="70"/>
        <v>0</v>
      </c>
      <c r="BA59" s="213">
        <f t="shared" si="71"/>
        <v>0</v>
      </c>
      <c r="BB59" s="213">
        <f t="shared" si="50"/>
        <v>0</v>
      </c>
      <c r="BC59" s="61">
        <f t="shared" si="84"/>
        <v>0</v>
      </c>
      <c r="BD59" s="58">
        <v>0</v>
      </c>
      <c r="BE59" s="49">
        <f t="shared" si="85"/>
        <v>0</v>
      </c>
      <c r="BF59" s="61">
        <f t="shared" si="52"/>
        <v>0</v>
      </c>
      <c r="BG59" s="58">
        <f t="shared" si="86"/>
        <v>0</v>
      </c>
      <c r="BH59" s="49">
        <f t="shared" si="87"/>
        <v>0</v>
      </c>
      <c r="BI59" s="61">
        <f t="shared" si="88"/>
        <v>0</v>
      </c>
      <c r="BK59" s="217">
        <f t="shared" si="72"/>
        <v>0</v>
      </c>
      <c r="BL59" s="213">
        <f t="shared" si="18"/>
        <v>0</v>
      </c>
      <c r="BM59" s="213">
        <f t="shared" si="73"/>
        <v>0</v>
      </c>
      <c r="BN59" s="61">
        <f t="shared" si="89"/>
        <v>0</v>
      </c>
      <c r="BO59" s="58">
        <v>0</v>
      </c>
      <c r="BP59" s="49">
        <f t="shared" si="90"/>
        <v>0</v>
      </c>
      <c r="BQ59" s="61">
        <f t="shared" si="53"/>
        <v>0</v>
      </c>
      <c r="BR59" s="58">
        <f t="shared" si="91"/>
        <v>0</v>
      </c>
      <c r="BS59" s="49">
        <f t="shared" si="92"/>
        <v>0</v>
      </c>
      <c r="BT59" s="61">
        <f t="shared" si="55"/>
        <v>0</v>
      </c>
      <c r="BU59" s="58">
        <f t="shared" si="74"/>
        <v>4.9687395900625125E-4</v>
      </c>
      <c r="BV59" s="49">
        <f t="shared" si="21"/>
        <v>3.6450000000000007E-3</v>
      </c>
      <c r="BW59" s="61">
        <f t="shared" si="75"/>
        <v>6.7499999999999999E-3</v>
      </c>
      <c r="BX59" s="49">
        <f t="shared" si="56"/>
        <v>0.19485126321429724</v>
      </c>
      <c r="BY59" s="49">
        <f t="shared" si="43"/>
        <v>0.27489944985480386</v>
      </c>
      <c r="BZ59" s="49">
        <f t="shared" si="93"/>
        <v>90.437945582107645</v>
      </c>
    </row>
    <row r="60" spans="17:78" x14ac:dyDescent="0.3">
      <c r="Q60" s="49">
        <v>53</v>
      </c>
      <c r="R60" s="217">
        <f t="shared" si="57"/>
        <v>2.6500000000000004</v>
      </c>
      <c r="S60" s="213">
        <f t="shared" si="1"/>
        <v>15</v>
      </c>
      <c r="T60" s="218">
        <f t="shared" si="58"/>
        <v>0.17666666666666669</v>
      </c>
      <c r="U60" s="217">
        <f t="shared" si="59"/>
        <v>1</v>
      </c>
      <c r="V60" s="213">
        <f t="shared" si="60"/>
        <v>0.32557641192199416</v>
      </c>
      <c r="W60" s="213">
        <f t="shared" si="61"/>
        <v>2.6046112953759533E-2</v>
      </c>
      <c r="X60" s="213">
        <f t="shared" si="23"/>
        <v>0.64837747512424626</v>
      </c>
      <c r="Y60" s="217">
        <f t="shared" si="76"/>
        <v>0.54262735320332356</v>
      </c>
      <c r="Z60" s="213">
        <f t="shared" si="62"/>
        <v>1.0852547064066471</v>
      </c>
      <c r="AA60" s="213">
        <f t="shared" si="25"/>
        <v>1.0852547064066471</v>
      </c>
      <c r="AB60" s="218">
        <f t="shared" si="63"/>
        <v>0.357517674588893</v>
      </c>
      <c r="AC60" s="217">
        <v>0</v>
      </c>
      <c r="AD60" s="213">
        <f t="shared" si="64"/>
        <v>0.14699172078996706</v>
      </c>
      <c r="AE60" s="218">
        <f t="shared" si="27"/>
        <v>0.14699172078996706</v>
      </c>
      <c r="AF60" s="58">
        <f t="shared" si="65"/>
        <v>5.3000000000000005E-2</v>
      </c>
      <c r="AG60" s="61">
        <f t="shared" si="66"/>
        <v>5.3000000000000005E-2</v>
      </c>
      <c r="AH60" s="58">
        <f t="shared" si="67"/>
        <v>8.9473221350414717E-3</v>
      </c>
      <c r="AI60" s="49">
        <f t="shared" si="68"/>
        <v>6.4476819132625622E-3</v>
      </c>
      <c r="AJ60" s="61">
        <f t="shared" si="45"/>
        <v>1.5395004048304035E-2</v>
      </c>
      <c r="AK60" s="217">
        <f t="shared" si="69"/>
        <v>2.6500000000000004</v>
      </c>
      <c r="AL60" s="213">
        <f t="shared" si="13"/>
        <v>1500</v>
      </c>
      <c r="AM60" s="218">
        <f t="shared" si="28"/>
        <v>1.7666666666666668E-3</v>
      </c>
      <c r="AN60" s="217">
        <f t="shared" si="77"/>
        <v>2</v>
      </c>
      <c r="AO60" s="213">
        <f t="shared" si="78"/>
        <v>2.6046112953759533E-2</v>
      </c>
      <c r="AP60" s="213">
        <f t="shared" si="79"/>
        <v>6.7828419150415445E-2</v>
      </c>
      <c r="AQ60" s="213">
        <f t="shared" si="80"/>
        <v>0.13565683830083089</v>
      </c>
      <c r="AR60" s="213">
        <f t="shared" si="46"/>
        <v>0.13565683830083089</v>
      </c>
      <c r="AS60" s="218">
        <f t="shared" si="47"/>
        <v>1.2640158604792583E-2</v>
      </c>
      <c r="AT60" s="217"/>
      <c r="AU60" s="213">
        <f t="shared" si="81"/>
        <v>8.4270000000000005E-5</v>
      </c>
      <c r="AV60" s="218">
        <f t="shared" si="48"/>
        <v>8.4270000000000005E-5</v>
      </c>
      <c r="AW60" s="217">
        <f t="shared" si="82"/>
        <v>0</v>
      </c>
      <c r="AX60" s="213">
        <f t="shared" si="83"/>
        <v>2.0316666666666669E-3</v>
      </c>
      <c r="AY60" s="218">
        <f t="shared" si="49"/>
        <v>2.0316666666666669E-3</v>
      </c>
      <c r="AZ60" s="217">
        <f t="shared" si="70"/>
        <v>0</v>
      </c>
      <c r="BA60" s="213">
        <f t="shared" si="71"/>
        <v>0</v>
      </c>
      <c r="BB60" s="213">
        <f t="shared" si="50"/>
        <v>0</v>
      </c>
      <c r="BC60" s="61">
        <f t="shared" si="84"/>
        <v>0</v>
      </c>
      <c r="BD60" s="58">
        <v>0</v>
      </c>
      <c r="BE60" s="49">
        <f t="shared" si="85"/>
        <v>0</v>
      </c>
      <c r="BF60" s="61">
        <f t="shared" si="52"/>
        <v>0</v>
      </c>
      <c r="BG60" s="58">
        <f t="shared" si="86"/>
        <v>0</v>
      </c>
      <c r="BH60" s="49">
        <f t="shared" si="87"/>
        <v>0</v>
      </c>
      <c r="BI60" s="61">
        <f t="shared" si="88"/>
        <v>0</v>
      </c>
      <c r="BK60" s="217">
        <f t="shared" si="72"/>
        <v>0</v>
      </c>
      <c r="BL60" s="213">
        <f t="shared" si="18"/>
        <v>0</v>
      </c>
      <c r="BM60" s="213">
        <f t="shared" si="73"/>
        <v>0</v>
      </c>
      <c r="BN60" s="61">
        <f t="shared" si="89"/>
        <v>0</v>
      </c>
      <c r="BO60" s="58">
        <v>0</v>
      </c>
      <c r="BP60" s="49">
        <f t="shared" si="90"/>
        <v>0</v>
      </c>
      <c r="BQ60" s="61">
        <f t="shared" si="53"/>
        <v>0</v>
      </c>
      <c r="BR60" s="58">
        <f t="shared" si="91"/>
        <v>0</v>
      </c>
      <c r="BS60" s="49">
        <f t="shared" si="92"/>
        <v>0</v>
      </c>
      <c r="BT60" s="61">
        <f t="shared" si="55"/>
        <v>0</v>
      </c>
      <c r="BU60" s="58">
        <f t="shared" si="74"/>
        <v>5.1127555057379841E-4</v>
      </c>
      <c r="BV60" s="49">
        <f t="shared" si="21"/>
        <v>3.6450000000000007E-3</v>
      </c>
      <c r="BW60" s="61">
        <f t="shared" si="75"/>
        <v>6.7499999999999999E-3</v>
      </c>
      <c r="BX60" s="49">
        <f t="shared" si="56"/>
        <v>0.19999172078996708</v>
      </c>
      <c r="BY60" s="49">
        <f t="shared" si="43"/>
        <v>0.28140893705551157</v>
      </c>
      <c r="BZ60" s="49">
        <f t="shared" si="93"/>
        <v>90.400215626749898</v>
      </c>
    </row>
    <row r="61" spans="17:78" x14ac:dyDescent="0.3">
      <c r="Q61" s="49">
        <v>54</v>
      </c>
      <c r="R61" s="217">
        <f t="shared" si="57"/>
        <v>2.7</v>
      </c>
      <c r="S61" s="213">
        <f t="shared" si="1"/>
        <v>15</v>
      </c>
      <c r="T61" s="218">
        <f t="shared" si="58"/>
        <v>0.18000000000000002</v>
      </c>
      <c r="U61" s="217">
        <f t="shared" si="59"/>
        <v>1</v>
      </c>
      <c r="V61" s="213">
        <f t="shared" si="60"/>
        <v>0.32863353450309968</v>
      </c>
      <c r="W61" s="213">
        <f t="shared" si="61"/>
        <v>2.6290682760247975E-2</v>
      </c>
      <c r="X61" s="213">
        <f t="shared" si="23"/>
        <v>0.64507578273665234</v>
      </c>
      <c r="Y61" s="217">
        <f t="shared" si="76"/>
        <v>0.54772255750516607</v>
      </c>
      <c r="Z61" s="213">
        <f t="shared" si="62"/>
        <v>1.0954451150103324</v>
      </c>
      <c r="AA61" s="213">
        <f t="shared" si="25"/>
        <v>1.0954451150103321</v>
      </c>
      <c r="AB61" s="218">
        <f t="shared" si="63"/>
        <v>0.36256504768281217</v>
      </c>
      <c r="AC61" s="217">
        <v>0</v>
      </c>
      <c r="AD61" s="213">
        <f t="shared" si="64"/>
        <v>0.15117142587142587</v>
      </c>
      <c r="AE61" s="218">
        <f t="shared" si="27"/>
        <v>0.15117142587142587</v>
      </c>
      <c r="AF61" s="58">
        <f t="shared" si="65"/>
        <v>5.4000000000000006E-2</v>
      </c>
      <c r="AG61" s="61">
        <f t="shared" si="66"/>
        <v>5.4000000000000006E-2</v>
      </c>
      <c r="AH61" s="58">
        <f t="shared" si="67"/>
        <v>9.2017389660867914E-3</v>
      </c>
      <c r="AI61" s="49">
        <f t="shared" si="68"/>
        <v>6.5082248557210088E-3</v>
      </c>
      <c r="AJ61" s="61">
        <f t="shared" si="45"/>
        <v>1.5709963821807799E-2</v>
      </c>
      <c r="AK61" s="217">
        <f t="shared" si="69"/>
        <v>2.7</v>
      </c>
      <c r="AL61" s="213">
        <f t="shared" si="13"/>
        <v>1500</v>
      </c>
      <c r="AM61" s="218">
        <f t="shared" si="28"/>
        <v>1.8000000000000002E-3</v>
      </c>
      <c r="AN61" s="217">
        <f t="shared" si="77"/>
        <v>2</v>
      </c>
      <c r="AO61" s="213">
        <f t="shared" si="78"/>
        <v>2.6290682760247978E-2</v>
      </c>
      <c r="AP61" s="213">
        <f t="shared" si="79"/>
        <v>6.8465319688145759E-2</v>
      </c>
      <c r="AQ61" s="213">
        <f t="shared" si="80"/>
        <v>0.13693063937629157</v>
      </c>
      <c r="AR61" s="213">
        <f t="shared" si="46"/>
        <v>0.13693063937629155</v>
      </c>
      <c r="AS61" s="218">
        <f t="shared" si="47"/>
        <v>1.2818610191887025E-2</v>
      </c>
      <c r="AT61" s="217"/>
      <c r="AU61" s="213">
        <f t="shared" si="81"/>
        <v>8.7480000000000023E-5</v>
      </c>
      <c r="AV61" s="218">
        <f t="shared" si="48"/>
        <v>8.7480000000000023E-5</v>
      </c>
      <c r="AW61" s="217">
        <f t="shared" si="82"/>
        <v>0</v>
      </c>
      <c r="AX61" s="213">
        <f t="shared" si="83"/>
        <v>2.0700000000000002E-3</v>
      </c>
      <c r="AY61" s="218">
        <f t="shared" si="49"/>
        <v>2.0700000000000002E-3</v>
      </c>
      <c r="AZ61" s="217">
        <f t="shared" si="70"/>
        <v>0</v>
      </c>
      <c r="BA61" s="213">
        <f t="shared" si="71"/>
        <v>0</v>
      </c>
      <c r="BB61" s="213">
        <f t="shared" si="50"/>
        <v>0</v>
      </c>
      <c r="BC61" s="61">
        <f t="shared" si="84"/>
        <v>0</v>
      </c>
      <c r="BD61" s="58">
        <v>0</v>
      </c>
      <c r="BE61" s="49">
        <f t="shared" si="85"/>
        <v>0</v>
      </c>
      <c r="BF61" s="61">
        <f t="shared" si="52"/>
        <v>0</v>
      </c>
      <c r="BG61" s="58">
        <f t="shared" si="86"/>
        <v>0</v>
      </c>
      <c r="BH61" s="49">
        <f t="shared" si="87"/>
        <v>0</v>
      </c>
      <c r="BI61" s="61">
        <f t="shared" si="88"/>
        <v>0</v>
      </c>
      <c r="BK61" s="217">
        <f t="shared" si="72"/>
        <v>0</v>
      </c>
      <c r="BL61" s="213">
        <f t="shared" si="18"/>
        <v>0</v>
      </c>
      <c r="BM61" s="213">
        <f t="shared" si="73"/>
        <v>0</v>
      </c>
      <c r="BN61" s="61">
        <f t="shared" si="89"/>
        <v>0</v>
      </c>
      <c r="BO61" s="58">
        <v>0</v>
      </c>
      <c r="BP61" s="49">
        <f t="shared" si="90"/>
        <v>0</v>
      </c>
      <c r="BQ61" s="61">
        <f t="shared" si="53"/>
        <v>0</v>
      </c>
      <c r="BR61" s="58">
        <f t="shared" si="91"/>
        <v>0</v>
      </c>
      <c r="BS61" s="49">
        <f t="shared" si="92"/>
        <v>0</v>
      </c>
      <c r="BT61" s="61">
        <f t="shared" si="55"/>
        <v>0</v>
      </c>
      <c r="BU61" s="58">
        <f t="shared" si="74"/>
        <v>5.2581365520495949E-4</v>
      </c>
      <c r="BV61" s="49">
        <f t="shared" si="21"/>
        <v>3.6450000000000007E-3</v>
      </c>
      <c r="BW61" s="61">
        <f t="shared" si="75"/>
        <v>6.7499999999999999E-3</v>
      </c>
      <c r="BX61" s="49">
        <f t="shared" si="56"/>
        <v>0.20517142587142589</v>
      </c>
      <c r="BY61" s="49">
        <f t="shared" si="43"/>
        <v>0.28795968334843863</v>
      </c>
      <c r="BZ61" s="49">
        <f t="shared" si="93"/>
        <v>90.362665033494082</v>
      </c>
    </row>
    <row r="62" spans="17:78" x14ac:dyDescent="0.3">
      <c r="Q62" s="49">
        <v>55</v>
      </c>
      <c r="R62" s="217">
        <f t="shared" si="57"/>
        <v>2.75</v>
      </c>
      <c r="S62" s="213">
        <f t="shared" si="1"/>
        <v>15</v>
      </c>
      <c r="T62" s="218">
        <f t="shared" si="58"/>
        <v>0.18333333333333332</v>
      </c>
      <c r="U62" s="217">
        <f t="shared" si="59"/>
        <v>1</v>
      </c>
      <c r="V62" s="213">
        <f t="shared" si="60"/>
        <v>0.33166247903553997</v>
      </c>
      <c r="W62" s="213">
        <f t="shared" si="61"/>
        <v>2.6532998322843199E-2</v>
      </c>
      <c r="X62" s="213">
        <f t="shared" si="23"/>
        <v>0.6418045226416168</v>
      </c>
      <c r="Y62" s="217">
        <f t="shared" si="76"/>
        <v>0.5527707983925666</v>
      </c>
      <c r="Z62" s="213">
        <f t="shared" si="62"/>
        <v>1.1055415967851332</v>
      </c>
      <c r="AA62" s="213">
        <f t="shared" si="25"/>
        <v>1.1055415967851332</v>
      </c>
      <c r="AB62" s="218">
        <f t="shared" si="63"/>
        <v>0.36758910582086479</v>
      </c>
      <c r="AC62" s="217">
        <v>0</v>
      </c>
      <c r="AD62" s="213">
        <f t="shared" si="64"/>
        <v>0.1553900133259104</v>
      </c>
      <c r="AE62" s="218">
        <f t="shared" si="27"/>
        <v>0.1553900133259104</v>
      </c>
      <c r="AF62" s="58">
        <f t="shared" si="65"/>
        <v>5.5E-2</v>
      </c>
      <c r="AG62" s="61">
        <f t="shared" si="66"/>
        <v>5.5E-2</v>
      </c>
      <c r="AH62" s="58">
        <f t="shared" si="67"/>
        <v>9.4585225502728069E-3</v>
      </c>
      <c r="AI62" s="49">
        <f t="shared" si="68"/>
        <v>6.5682097629899353E-3</v>
      </c>
      <c r="AJ62" s="61">
        <f t="shared" si="45"/>
        <v>1.6026732313262744E-2</v>
      </c>
      <c r="AK62" s="217">
        <f t="shared" si="69"/>
        <v>2.75</v>
      </c>
      <c r="AL62" s="213">
        <f t="shared" si="13"/>
        <v>1500</v>
      </c>
      <c r="AM62" s="218">
        <f t="shared" si="28"/>
        <v>1.8333333333333333E-3</v>
      </c>
      <c r="AN62" s="217">
        <f t="shared" si="77"/>
        <v>2</v>
      </c>
      <c r="AO62" s="213">
        <f t="shared" si="78"/>
        <v>2.6532998322843199E-2</v>
      </c>
      <c r="AP62" s="213">
        <f t="shared" si="79"/>
        <v>6.9096349799070825E-2</v>
      </c>
      <c r="AQ62" s="213">
        <f t="shared" si="80"/>
        <v>0.13819269959814165</v>
      </c>
      <c r="AR62" s="213">
        <f t="shared" si="46"/>
        <v>0.13819269959814165</v>
      </c>
      <c r="AS62" s="218">
        <f t="shared" si="47"/>
        <v>1.2996237470811647E-2</v>
      </c>
      <c r="AT62" s="217"/>
      <c r="AU62" s="213">
        <f t="shared" si="81"/>
        <v>9.0749999999999997E-5</v>
      </c>
      <c r="AV62" s="218">
        <f t="shared" si="48"/>
        <v>9.0749999999999997E-5</v>
      </c>
      <c r="AW62" s="217">
        <f t="shared" si="82"/>
        <v>0</v>
      </c>
      <c r="AX62" s="213">
        <f t="shared" si="83"/>
        <v>2.1083333333333332E-3</v>
      </c>
      <c r="AY62" s="218">
        <f t="shared" si="49"/>
        <v>2.1083333333333332E-3</v>
      </c>
      <c r="AZ62" s="217">
        <f t="shared" si="70"/>
        <v>0</v>
      </c>
      <c r="BA62" s="213">
        <f t="shared" si="71"/>
        <v>0</v>
      </c>
      <c r="BB62" s="213">
        <f t="shared" si="50"/>
        <v>0</v>
      </c>
      <c r="BC62" s="61">
        <f t="shared" si="84"/>
        <v>0</v>
      </c>
      <c r="BD62" s="58">
        <v>0</v>
      </c>
      <c r="BE62" s="49">
        <f t="shared" si="85"/>
        <v>0</v>
      </c>
      <c r="BF62" s="61">
        <f t="shared" si="52"/>
        <v>0</v>
      </c>
      <c r="BG62" s="58">
        <f t="shared" si="86"/>
        <v>0</v>
      </c>
      <c r="BH62" s="49">
        <f t="shared" si="87"/>
        <v>0</v>
      </c>
      <c r="BI62" s="61">
        <f t="shared" si="88"/>
        <v>0</v>
      </c>
      <c r="BK62" s="217">
        <f t="shared" si="72"/>
        <v>0</v>
      </c>
      <c r="BL62" s="213">
        <f t="shared" si="18"/>
        <v>0</v>
      </c>
      <c r="BM62" s="213">
        <f t="shared" si="73"/>
        <v>0</v>
      </c>
      <c r="BN62" s="61">
        <f t="shared" si="89"/>
        <v>0</v>
      </c>
      <c r="BO62" s="58">
        <v>0</v>
      </c>
      <c r="BP62" s="49">
        <f t="shared" si="90"/>
        <v>0</v>
      </c>
      <c r="BQ62" s="61">
        <f t="shared" si="53"/>
        <v>0</v>
      </c>
      <c r="BR62" s="58">
        <f t="shared" si="91"/>
        <v>0</v>
      </c>
      <c r="BS62" s="49">
        <f t="shared" si="92"/>
        <v>0</v>
      </c>
      <c r="BT62" s="61">
        <f t="shared" si="55"/>
        <v>0</v>
      </c>
      <c r="BU62" s="58">
        <f t="shared" si="74"/>
        <v>5.4048700287273176E-4</v>
      </c>
      <c r="BV62" s="49">
        <f t="shared" si="21"/>
        <v>3.6450000000000007E-3</v>
      </c>
      <c r="BW62" s="61">
        <f t="shared" si="75"/>
        <v>6.7499999999999999E-3</v>
      </c>
      <c r="BX62" s="49">
        <f t="shared" si="56"/>
        <v>0.2103900133259104</v>
      </c>
      <c r="BY62" s="49">
        <f t="shared" si="43"/>
        <v>0.2945513159753792</v>
      </c>
      <c r="BZ62" s="49">
        <f t="shared" si="93"/>
        <v>90.325296393271188</v>
      </c>
    </row>
    <row r="63" spans="17:78" x14ac:dyDescent="0.3">
      <c r="Q63" s="49">
        <v>56</v>
      </c>
      <c r="R63" s="217">
        <f t="shared" si="57"/>
        <v>2.8000000000000003</v>
      </c>
      <c r="S63" s="213">
        <f t="shared" si="1"/>
        <v>15</v>
      </c>
      <c r="T63" s="218">
        <f t="shared" si="58"/>
        <v>0.18666666666666668</v>
      </c>
      <c r="U63" s="217">
        <f t="shared" si="59"/>
        <v>1</v>
      </c>
      <c r="V63" s="213">
        <f t="shared" si="60"/>
        <v>0.33466401061363021</v>
      </c>
      <c r="W63" s="213">
        <f t="shared" si="61"/>
        <v>2.6773120849090417E-2</v>
      </c>
      <c r="X63" s="213">
        <f t="shared" si="23"/>
        <v>0.63856286853727928</v>
      </c>
      <c r="Y63" s="217">
        <f t="shared" si="76"/>
        <v>0.55777335102271708</v>
      </c>
      <c r="Z63" s="213">
        <f t="shared" si="62"/>
        <v>1.1155467020454342</v>
      </c>
      <c r="AA63" s="213">
        <f t="shared" si="25"/>
        <v>1.1155467020454342</v>
      </c>
      <c r="AB63" s="218">
        <f t="shared" si="63"/>
        <v>0.37259037774461684</v>
      </c>
      <c r="AC63" s="217">
        <v>0</v>
      </c>
      <c r="AD63" s="213">
        <f t="shared" si="64"/>
        <v>0.15964712802605774</v>
      </c>
      <c r="AE63" s="218">
        <f t="shared" si="27"/>
        <v>0.15964712802605774</v>
      </c>
      <c r="AF63" s="58">
        <f t="shared" si="65"/>
        <v>5.6000000000000008E-2</v>
      </c>
      <c r="AG63" s="61">
        <f t="shared" si="66"/>
        <v>5.6000000000000008E-2</v>
      </c>
      <c r="AH63" s="58">
        <f t="shared" si="67"/>
        <v>9.71765127115134E-3</v>
      </c>
      <c r="AI63" s="49">
        <f t="shared" si="68"/>
        <v>6.6276517869187949E-3</v>
      </c>
      <c r="AJ63" s="61">
        <f t="shared" si="45"/>
        <v>1.6345303058070134E-2</v>
      </c>
      <c r="AK63" s="217">
        <f t="shared" si="69"/>
        <v>2.8000000000000003</v>
      </c>
      <c r="AL63" s="213">
        <f t="shared" si="13"/>
        <v>1500</v>
      </c>
      <c r="AM63" s="218">
        <f t="shared" si="28"/>
        <v>1.8666666666666669E-3</v>
      </c>
      <c r="AN63" s="217">
        <f t="shared" si="77"/>
        <v>2</v>
      </c>
      <c r="AO63" s="213">
        <f t="shared" si="78"/>
        <v>2.6773120849090417E-2</v>
      </c>
      <c r="AP63" s="213">
        <f t="shared" si="79"/>
        <v>6.9721668877839635E-2</v>
      </c>
      <c r="AQ63" s="213">
        <f t="shared" si="80"/>
        <v>0.13944333775567927</v>
      </c>
      <c r="AR63" s="213">
        <f t="shared" si="46"/>
        <v>0.13944333775567927</v>
      </c>
      <c r="AS63" s="218">
        <f t="shared" si="47"/>
        <v>1.3173059135403795E-2</v>
      </c>
      <c r="AT63" s="217"/>
      <c r="AU63" s="213">
        <f t="shared" si="81"/>
        <v>9.4080000000000021E-5</v>
      </c>
      <c r="AV63" s="218">
        <f t="shared" si="48"/>
        <v>9.4080000000000021E-5</v>
      </c>
      <c r="AW63" s="217">
        <f t="shared" si="82"/>
        <v>0</v>
      </c>
      <c r="AX63" s="213">
        <f t="shared" si="83"/>
        <v>2.1466666666666665E-3</v>
      </c>
      <c r="AY63" s="218">
        <f t="shared" si="49"/>
        <v>2.1466666666666665E-3</v>
      </c>
      <c r="AZ63" s="217">
        <f t="shared" si="70"/>
        <v>0</v>
      </c>
      <c r="BA63" s="213">
        <f t="shared" si="71"/>
        <v>0</v>
      </c>
      <c r="BB63" s="213">
        <f t="shared" si="50"/>
        <v>0</v>
      </c>
      <c r="BC63" s="61">
        <f t="shared" si="84"/>
        <v>0</v>
      </c>
      <c r="BD63" s="58">
        <v>0</v>
      </c>
      <c r="BE63" s="49">
        <f t="shared" si="85"/>
        <v>0</v>
      </c>
      <c r="BF63" s="61">
        <f t="shared" si="52"/>
        <v>0</v>
      </c>
      <c r="BG63" s="58">
        <f t="shared" si="86"/>
        <v>0</v>
      </c>
      <c r="BH63" s="49">
        <f t="shared" si="87"/>
        <v>0</v>
      </c>
      <c r="BI63" s="61">
        <f t="shared" si="88"/>
        <v>0</v>
      </c>
      <c r="BK63" s="217">
        <f t="shared" si="72"/>
        <v>0</v>
      </c>
      <c r="BL63" s="213">
        <f t="shared" si="18"/>
        <v>0</v>
      </c>
      <c r="BM63" s="213">
        <f t="shared" si="73"/>
        <v>0</v>
      </c>
      <c r="BN63" s="61">
        <f t="shared" si="89"/>
        <v>0</v>
      </c>
      <c r="BO63" s="58">
        <v>0</v>
      </c>
      <c r="BP63" s="49">
        <f t="shared" si="90"/>
        <v>0</v>
      </c>
      <c r="BQ63" s="61">
        <f t="shared" si="53"/>
        <v>0</v>
      </c>
      <c r="BR63" s="58">
        <f t="shared" si="91"/>
        <v>0</v>
      </c>
      <c r="BS63" s="49">
        <f t="shared" si="92"/>
        <v>0</v>
      </c>
      <c r="BT63" s="61">
        <f t="shared" si="55"/>
        <v>0</v>
      </c>
      <c r="BU63" s="58">
        <f t="shared" si="74"/>
        <v>5.5529435835150506E-4</v>
      </c>
      <c r="BV63" s="49">
        <f t="shared" si="21"/>
        <v>3.6450000000000007E-3</v>
      </c>
      <c r="BW63" s="61">
        <f t="shared" si="75"/>
        <v>6.7499999999999999E-3</v>
      </c>
      <c r="BX63" s="49">
        <f t="shared" si="56"/>
        <v>0.21564712802605773</v>
      </c>
      <c r="BY63" s="49">
        <f t="shared" si="43"/>
        <v>0.30118347210914603</v>
      </c>
      <c r="BZ63" s="49">
        <f t="shared" si="93"/>
        <v>90.288111786423656</v>
      </c>
    </row>
    <row r="64" spans="17:78" x14ac:dyDescent="0.3">
      <c r="Q64" s="49">
        <v>57</v>
      </c>
      <c r="R64" s="217">
        <f t="shared" si="57"/>
        <v>2.85</v>
      </c>
      <c r="S64" s="213">
        <f t="shared" si="1"/>
        <v>15</v>
      </c>
      <c r="T64" s="218">
        <f t="shared" si="58"/>
        <v>0.19</v>
      </c>
      <c r="U64" s="217">
        <f t="shared" si="59"/>
        <v>1</v>
      </c>
      <c r="V64" s="213">
        <f t="shared" si="60"/>
        <v>0.33763886032268264</v>
      </c>
      <c r="W64" s="213">
        <f t="shared" si="61"/>
        <v>2.7011108825814614E-2</v>
      </c>
      <c r="X64" s="213">
        <f t="shared" si="23"/>
        <v>0.63535003085150277</v>
      </c>
      <c r="Y64" s="217">
        <f t="shared" si="76"/>
        <v>0.56273143387113778</v>
      </c>
      <c r="Z64" s="213">
        <f t="shared" si="62"/>
        <v>1.1254628677422756</v>
      </c>
      <c r="AA64" s="213">
        <f t="shared" si="25"/>
        <v>1.1254628677422756</v>
      </c>
      <c r="AB64" s="218">
        <f t="shared" si="63"/>
        <v>0.37756937099561133</v>
      </c>
      <c r="AC64" s="217">
        <v>0</v>
      </c>
      <c r="AD64" s="213">
        <f t="shared" si="64"/>
        <v>0.16394242440112486</v>
      </c>
      <c r="AE64" s="218">
        <f t="shared" si="27"/>
        <v>0.16394242440112486</v>
      </c>
      <c r="AF64" s="58">
        <f t="shared" si="65"/>
        <v>5.7000000000000002E-2</v>
      </c>
      <c r="AG64" s="61">
        <f t="shared" si="66"/>
        <v>5.7000000000000002E-2</v>
      </c>
      <c r="AH64" s="58">
        <f t="shared" si="67"/>
        <v>9.9791040939815126E-3</v>
      </c>
      <c r="AI64" s="49">
        <f t="shared" si="68"/>
        <v>6.6865654058462232E-3</v>
      </c>
      <c r="AJ64" s="61">
        <f t="shared" si="45"/>
        <v>1.6665669499827736E-2</v>
      </c>
      <c r="AK64" s="217">
        <f t="shared" si="69"/>
        <v>2.85</v>
      </c>
      <c r="AL64" s="213">
        <f t="shared" si="13"/>
        <v>1500</v>
      </c>
      <c r="AM64" s="218">
        <f t="shared" si="28"/>
        <v>1.9E-3</v>
      </c>
      <c r="AN64" s="217">
        <f t="shared" si="77"/>
        <v>2</v>
      </c>
      <c r="AO64" s="213">
        <f t="shared" si="78"/>
        <v>2.701110882581461E-2</v>
      </c>
      <c r="AP64" s="213">
        <f t="shared" si="79"/>
        <v>7.0341429233892222E-2</v>
      </c>
      <c r="AQ64" s="213">
        <f t="shared" si="80"/>
        <v>0.14068285846778444</v>
      </c>
      <c r="AR64" s="213">
        <f t="shared" si="46"/>
        <v>0.14068285846778444</v>
      </c>
      <c r="AS64" s="218">
        <f t="shared" si="47"/>
        <v>1.3349093129966806E-2</v>
      </c>
      <c r="AT64" s="217"/>
      <c r="AU64" s="213">
        <f t="shared" si="81"/>
        <v>9.747E-5</v>
      </c>
      <c r="AV64" s="218">
        <f t="shared" si="48"/>
        <v>9.747E-5</v>
      </c>
      <c r="AW64" s="217">
        <f t="shared" si="82"/>
        <v>0</v>
      </c>
      <c r="AX64" s="213">
        <f t="shared" si="83"/>
        <v>2.1849999999999999E-3</v>
      </c>
      <c r="AY64" s="218">
        <f t="shared" si="49"/>
        <v>2.1849999999999999E-3</v>
      </c>
      <c r="AZ64" s="217">
        <f t="shared" si="70"/>
        <v>0</v>
      </c>
      <c r="BA64" s="213">
        <f t="shared" si="71"/>
        <v>0</v>
      </c>
      <c r="BB64" s="213">
        <f t="shared" si="50"/>
        <v>0</v>
      </c>
      <c r="BC64" s="61">
        <f t="shared" si="84"/>
        <v>0</v>
      </c>
      <c r="BD64" s="58">
        <v>0</v>
      </c>
      <c r="BE64" s="49">
        <f t="shared" si="85"/>
        <v>0</v>
      </c>
      <c r="BF64" s="61">
        <f t="shared" si="52"/>
        <v>0</v>
      </c>
      <c r="BG64" s="58">
        <f t="shared" si="86"/>
        <v>0</v>
      </c>
      <c r="BH64" s="49">
        <f t="shared" si="87"/>
        <v>0</v>
      </c>
      <c r="BI64" s="61">
        <f t="shared" si="88"/>
        <v>0</v>
      </c>
      <c r="BK64" s="217">
        <f t="shared" si="72"/>
        <v>0</v>
      </c>
      <c r="BL64" s="213">
        <f t="shared" si="18"/>
        <v>0</v>
      </c>
      <c r="BM64" s="213">
        <f t="shared" si="73"/>
        <v>0</v>
      </c>
      <c r="BN64" s="61">
        <f t="shared" si="89"/>
        <v>0</v>
      </c>
      <c r="BO64" s="58">
        <v>0</v>
      </c>
      <c r="BP64" s="49">
        <f t="shared" si="90"/>
        <v>0</v>
      </c>
      <c r="BQ64" s="61">
        <f t="shared" si="53"/>
        <v>0</v>
      </c>
      <c r="BR64" s="58">
        <f t="shared" si="91"/>
        <v>0</v>
      </c>
      <c r="BS64" s="49">
        <f t="shared" si="92"/>
        <v>0</v>
      </c>
      <c r="BT64" s="61">
        <f t="shared" si="55"/>
        <v>0</v>
      </c>
      <c r="BU64" s="58">
        <f t="shared" si="74"/>
        <v>5.7023451965608637E-4</v>
      </c>
      <c r="BV64" s="49">
        <f t="shared" si="21"/>
        <v>3.6450000000000007E-3</v>
      </c>
      <c r="BW64" s="61">
        <f t="shared" si="75"/>
        <v>6.7499999999999999E-3</v>
      </c>
      <c r="BX64" s="49">
        <f t="shared" si="56"/>
        <v>0.22094242440112485</v>
      </c>
      <c r="BY64" s="49">
        <f t="shared" si="43"/>
        <v>0.30785579842060867</v>
      </c>
      <c r="BZ64" s="49">
        <f t="shared" si="93"/>
        <v>90.251112841359586</v>
      </c>
    </row>
    <row r="65" spans="17:78" x14ac:dyDescent="0.3">
      <c r="Q65" s="49">
        <v>58</v>
      </c>
      <c r="R65" s="217">
        <f t="shared" si="57"/>
        <v>2.9000000000000004</v>
      </c>
      <c r="S65" s="213">
        <f t="shared" si="1"/>
        <v>15</v>
      </c>
      <c r="T65" s="218">
        <f t="shared" si="58"/>
        <v>0.19333333333333336</v>
      </c>
      <c r="U65" s="217">
        <f t="shared" si="59"/>
        <v>1</v>
      </c>
      <c r="V65" s="213">
        <f t="shared" si="60"/>
        <v>0.34058772731852804</v>
      </c>
      <c r="W65" s="213">
        <f t="shared" si="61"/>
        <v>2.7247018185482242E-2</v>
      </c>
      <c r="X65" s="213">
        <f t="shared" si="23"/>
        <v>0.6321652544959897</v>
      </c>
      <c r="Y65" s="217">
        <f t="shared" si="76"/>
        <v>0.56764621219754674</v>
      </c>
      <c r="Z65" s="213">
        <f t="shared" si="62"/>
        <v>1.1352924243950935</v>
      </c>
      <c r="AA65" s="213">
        <f t="shared" si="25"/>
        <v>1.1352924243950935</v>
      </c>
      <c r="AB65" s="218">
        <f t="shared" si="63"/>
        <v>0.38252657312173294</v>
      </c>
      <c r="AC65" s="217">
        <v>0</v>
      </c>
      <c r="AD65" s="213">
        <f t="shared" si="64"/>
        <v>0.168275566015895</v>
      </c>
      <c r="AE65" s="218">
        <f t="shared" si="27"/>
        <v>0.168275566015895</v>
      </c>
      <c r="AF65" s="58">
        <f t="shared" si="65"/>
        <v>5.800000000000001E-2</v>
      </c>
      <c r="AG65" s="61">
        <f t="shared" si="66"/>
        <v>5.800000000000001E-2</v>
      </c>
      <c r="AH65" s="58">
        <f t="shared" si="67"/>
        <v>1.0242860540097957E-2</v>
      </c>
      <c r="AI65" s="49">
        <f t="shared" si="68"/>
        <v>6.7449644657826789E-3</v>
      </c>
      <c r="AJ65" s="61">
        <f t="shared" si="45"/>
        <v>1.6987825005880634E-2</v>
      </c>
      <c r="AK65" s="217">
        <f t="shared" si="69"/>
        <v>2.9000000000000004</v>
      </c>
      <c r="AL65" s="213">
        <f t="shared" si="13"/>
        <v>1500</v>
      </c>
      <c r="AM65" s="218">
        <f t="shared" si="28"/>
        <v>1.9333333333333336E-3</v>
      </c>
      <c r="AN65" s="217">
        <f t="shared" si="77"/>
        <v>2</v>
      </c>
      <c r="AO65" s="213">
        <f t="shared" si="78"/>
        <v>2.7247018185482242E-2</v>
      </c>
      <c r="AP65" s="213">
        <f t="shared" si="79"/>
        <v>7.0955776524693343E-2</v>
      </c>
      <c r="AQ65" s="213">
        <f t="shared" si="80"/>
        <v>0.14191155304938669</v>
      </c>
      <c r="AR65" s="213">
        <f t="shared" si="46"/>
        <v>0.14191155304938669</v>
      </c>
      <c r="AS65" s="218">
        <f t="shared" si="47"/>
        <v>1.3524356691921454E-2</v>
      </c>
      <c r="AT65" s="217"/>
      <c r="AU65" s="213">
        <f t="shared" si="81"/>
        <v>1.0092000000000002E-4</v>
      </c>
      <c r="AV65" s="218">
        <f t="shared" si="48"/>
        <v>1.0092000000000002E-4</v>
      </c>
      <c r="AW65" s="217">
        <f t="shared" si="82"/>
        <v>0</v>
      </c>
      <c r="AX65" s="213">
        <f t="shared" si="83"/>
        <v>2.2233333333333332E-3</v>
      </c>
      <c r="AY65" s="218">
        <f t="shared" si="49"/>
        <v>2.2233333333333332E-3</v>
      </c>
      <c r="AZ65" s="217">
        <f t="shared" si="70"/>
        <v>0</v>
      </c>
      <c r="BA65" s="213">
        <f t="shared" si="71"/>
        <v>0</v>
      </c>
      <c r="BB65" s="213">
        <f t="shared" si="50"/>
        <v>0</v>
      </c>
      <c r="BC65" s="61">
        <f t="shared" si="84"/>
        <v>0</v>
      </c>
      <c r="BD65" s="58">
        <v>0</v>
      </c>
      <c r="BE65" s="49">
        <f t="shared" si="85"/>
        <v>0</v>
      </c>
      <c r="BF65" s="61">
        <f t="shared" si="52"/>
        <v>0</v>
      </c>
      <c r="BG65" s="58">
        <f t="shared" si="86"/>
        <v>0</v>
      </c>
      <c r="BH65" s="49">
        <f t="shared" si="87"/>
        <v>0</v>
      </c>
      <c r="BI65" s="61">
        <f t="shared" si="88"/>
        <v>0</v>
      </c>
      <c r="BK65" s="217">
        <f t="shared" si="72"/>
        <v>0</v>
      </c>
      <c r="BL65" s="213">
        <f t="shared" si="18"/>
        <v>0</v>
      </c>
      <c r="BM65" s="213">
        <f t="shared" si="73"/>
        <v>0</v>
      </c>
      <c r="BN65" s="61">
        <f t="shared" si="89"/>
        <v>0</v>
      </c>
      <c r="BO65" s="58">
        <v>0</v>
      </c>
      <c r="BP65" s="49">
        <f t="shared" si="90"/>
        <v>0</v>
      </c>
      <c r="BQ65" s="61">
        <f t="shared" si="53"/>
        <v>0</v>
      </c>
      <c r="BR65" s="58">
        <f t="shared" si="91"/>
        <v>0</v>
      </c>
      <c r="BS65" s="49">
        <f t="shared" si="92"/>
        <v>0</v>
      </c>
      <c r="BT65" s="61">
        <f t="shared" si="55"/>
        <v>0</v>
      </c>
      <c r="BU65" s="58">
        <f t="shared" si="74"/>
        <v>5.8530631657702605E-4</v>
      </c>
      <c r="BV65" s="49">
        <f t="shared" si="21"/>
        <v>3.6450000000000007E-3</v>
      </c>
      <c r="BW65" s="61">
        <f t="shared" si="75"/>
        <v>6.7499999999999999E-3</v>
      </c>
      <c r="BX65" s="49">
        <f t="shared" si="56"/>
        <v>0.22627556601589499</v>
      </c>
      <c r="BY65" s="49">
        <f t="shared" si="43"/>
        <v>0.31456795067168603</v>
      </c>
      <c r="BZ65" s="49">
        <f t="shared" si="93"/>
        <v>90.214300786332529</v>
      </c>
    </row>
    <row r="66" spans="17:78" x14ac:dyDescent="0.3">
      <c r="Q66" s="49">
        <v>59</v>
      </c>
      <c r="R66" s="217">
        <f t="shared" si="57"/>
        <v>2.95</v>
      </c>
      <c r="S66" s="213">
        <f t="shared" si="1"/>
        <v>15</v>
      </c>
      <c r="T66" s="218">
        <f t="shared" si="58"/>
        <v>0.19666666666666668</v>
      </c>
      <c r="U66" s="217">
        <f t="shared" si="59"/>
        <v>1</v>
      </c>
      <c r="V66" s="213">
        <f t="shared" si="60"/>
        <v>0.3435112807463534</v>
      </c>
      <c r="W66" s="213">
        <f t="shared" si="61"/>
        <v>2.7480902459708269E-2</v>
      </c>
      <c r="X66" s="213">
        <f t="shared" si="23"/>
        <v>0.62900781679393836</v>
      </c>
      <c r="Y66" s="217">
        <f t="shared" si="76"/>
        <v>0.57251880124392229</v>
      </c>
      <c r="Z66" s="213">
        <f t="shared" si="62"/>
        <v>1.1450376024878446</v>
      </c>
      <c r="AA66" s="213">
        <f t="shared" si="25"/>
        <v>1.1450376024878446</v>
      </c>
      <c r="AB66" s="218">
        <f t="shared" si="63"/>
        <v>0.38746245279534391</v>
      </c>
      <c r="AC66" s="217">
        <v>0</v>
      </c>
      <c r="AD66" s="213">
        <f t="shared" si="64"/>
        <v>0.17264622517511177</v>
      </c>
      <c r="AE66" s="218">
        <f t="shared" si="27"/>
        <v>0.17264622517511177</v>
      </c>
      <c r="AF66" s="58">
        <f t="shared" si="65"/>
        <v>5.9000000000000004E-2</v>
      </c>
      <c r="AG66" s="61">
        <f t="shared" si="66"/>
        <v>5.9000000000000004E-2</v>
      </c>
      <c r="AH66" s="58">
        <f t="shared" si="67"/>
        <v>1.0508900662832889E-2</v>
      </c>
      <c r="AI66" s="49">
        <f t="shared" si="68"/>
        <v>6.8028622184109098E-3</v>
      </c>
      <c r="AJ66" s="61">
        <f t="shared" si="45"/>
        <v>1.7311762881243798E-2</v>
      </c>
      <c r="AK66" s="217">
        <f t="shared" si="69"/>
        <v>2.95</v>
      </c>
      <c r="AL66" s="213">
        <f t="shared" si="13"/>
        <v>1500</v>
      </c>
      <c r="AM66" s="218">
        <f t="shared" si="28"/>
        <v>1.9666666666666669E-3</v>
      </c>
      <c r="AN66" s="217">
        <f t="shared" si="77"/>
        <v>2</v>
      </c>
      <c r="AO66" s="213">
        <f t="shared" si="78"/>
        <v>2.7480902459708273E-2</v>
      </c>
      <c r="AP66" s="213">
        <f t="shared" si="79"/>
        <v>7.1564850155490287E-2</v>
      </c>
      <c r="AQ66" s="213">
        <f t="shared" si="80"/>
        <v>0.14312970031098057</v>
      </c>
      <c r="AR66" s="213">
        <f t="shared" si="46"/>
        <v>0.14312970031098057</v>
      </c>
      <c r="AS66" s="218">
        <f t="shared" si="47"/>
        <v>1.3698866391338013E-2</v>
      </c>
      <c r="AT66" s="217"/>
      <c r="AU66" s="213">
        <f t="shared" si="81"/>
        <v>1.0443000000000001E-4</v>
      </c>
      <c r="AV66" s="218">
        <f t="shared" si="48"/>
        <v>1.0443000000000001E-4</v>
      </c>
      <c r="AW66" s="217">
        <f t="shared" si="82"/>
        <v>0</v>
      </c>
      <c r="AX66" s="213">
        <f t="shared" si="83"/>
        <v>2.2616666666666666E-3</v>
      </c>
      <c r="AY66" s="218">
        <f t="shared" si="49"/>
        <v>2.2616666666666666E-3</v>
      </c>
      <c r="AZ66" s="217">
        <f t="shared" si="70"/>
        <v>0</v>
      </c>
      <c r="BA66" s="213">
        <f t="shared" si="71"/>
        <v>0</v>
      </c>
      <c r="BB66" s="213">
        <f t="shared" si="50"/>
        <v>0</v>
      </c>
      <c r="BC66" s="61">
        <f t="shared" si="84"/>
        <v>0</v>
      </c>
      <c r="BD66" s="58">
        <v>0</v>
      </c>
      <c r="BE66" s="49">
        <f t="shared" si="85"/>
        <v>0</v>
      </c>
      <c r="BF66" s="61">
        <f t="shared" si="52"/>
        <v>0</v>
      </c>
      <c r="BG66" s="58">
        <f t="shared" si="86"/>
        <v>0</v>
      </c>
      <c r="BH66" s="49">
        <f t="shared" si="87"/>
        <v>0</v>
      </c>
      <c r="BI66" s="61">
        <f t="shared" si="88"/>
        <v>0</v>
      </c>
      <c r="BK66" s="217">
        <f t="shared" si="72"/>
        <v>0</v>
      </c>
      <c r="BL66" s="213">
        <f t="shared" si="18"/>
        <v>0</v>
      </c>
      <c r="BM66" s="213">
        <f t="shared" si="73"/>
        <v>0</v>
      </c>
      <c r="BN66" s="61">
        <f t="shared" si="89"/>
        <v>0</v>
      </c>
      <c r="BO66" s="58">
        <v>0</v>
      </c>
      <c r="BP66" s="49">
        <f t="shared" si="90"/>
        <v>0</v>
      </c>
      <c r="BQ66" s="61">
        <f t="shared" si="53"/>
        <v>0</v>
      </c>
      <c r="BR66" s="58">
        <f t="shared" si="91"/>
        <v>0</v>
      </c>
      <c r="BS66" s="49">
        <f t="shared" si="92"/>
        <v>0</v>
      </c>
      <c r="BT66" s="61">
        <f t="shared" si="55"/>
        <v>0</v>
      </c>
      <c r="BU66" s="58">
        <f t="shared" si="74"/>
        <v>6.0050860930473647E-4</v>
      </c>
      <c r="BV66" s="49">
        <f t="shared" si="21"/>
        <v>3.6450000000000007E-3</v>
      </c>
      <c r="BW66" s="61">
        <f t="shared" si="75"/>
        <v>6.7499999999999999E-3</v>
      </c>
      <c r="BX66" s="49">
        <f t="shared" si="56"/>
        <v>0.23164622517511177</v>
      </c>
      <c r="BY66" s="49">
        <f t="shared" si="43"/>
        <v>0.32131959333232701</v>
      </c>
      <c r="BZ66" s="49">
        <f t="shared" si="93"/>
        <v>90.177676495220837</v>
      </c>
    </row>
    <row r="67" spans="17:78" x14ac:dyDescent="0.3">
      <c r="Q67" s="49">
        <v>60</v>
      </c>
      <c r="R67" s="217">
        <f t="shared" si="57"/>
        <v>3</v>
      </c>
      <c r="S67" s="213">
        <f t="shared" si="1"/>
        <v>15</v>
      </c>
      <c r="T67" s="218">
        <f t="shared" si="58"/>
        <v>0.2</v>
      </c>
      <c r="U67" s="217">
        <f t="shared" si="59"/>
        <v>1</v>
      </c>
      <c r="V67" s="213">
        <f t="shared" si="60"/>
        <v>0.34641016151377541</v>
      </c>
      <c r="W67" s="213">
        <f t="shared" si="61"/>
        <v>2.7712812921102031E-2</v>
      </c>
      <c r="X67" s="213">
        <f t="shared" si="23"/>
        <v>0.62587702556512259</v>
      </c>
      <c r="Y67" s="217">
        <f t="shared" si="76"/>
        <v>0.57735026918962584</v>
      </c>
      <c r="Z67" s="213">
        <f t="shared" si="62"/>
        <v>1.1547005383792515</v>
      </c>
      <c r="AA67" s="213">
        <f t="shared" si="25"/>
        <v>1.1547005383792515</v>
      </c>
      <c r="AB67" s="218">
        <f t="shared" si="63"/>
        <v>0.3923774608510282</v>
      </c>
      <c r="AC67" s="217">
        <v>0</v>
      </c>
      <c r="AD67" s="213">
        <f t="shared" si="64"/>
        <v>0.17705408255148522</v>
      </c>
      <c r="AE67" s="218">
        <f t="shared" si="27"/>
        <v>0.17705408255148522</v>
      </c>
      <c r="AF67" s="58">
        <f t="shared" si="65"/>
        <v>0.06</v>
      </c>
      <c r="AG67" s="61">
        <f t="shared" si="66"/>
        <v>0.06</v>
      </c>
      <c r="AH67" s="58">
        <f t="shared" si="67"/>
        <v>1.0777205024873013E-2</v>
      </c>
      <c r="AI67" s="49">
        <f t="shared" si="68"/>
        <v>6.860271356199708E-3</v>
      </c>
      <c r="AJ67" s="61">
        <f t="shared" si="45"/>
        <v>1.7637476381072721E-2</v>
      </c>
      <c r="AK67" s="217">
        <f t="shared" si="69"/>
        <v>3</v>
      </c>
      <c r="AL67" s="213">
        <f t="shared" si="13"/>
        <v>1500</v>
      </c>
      <c r="AM67" s="218">
        <f t="shared" si="28"/>
        <v>2E-3</v>
      </c>
      <c r="AN67" s="217">
        <f t="shared" si="77"/>
        <v>2</v>
      </c>
      <c r="AO67" s="213">
        <f t="shared" si="78"/>
        <v>2.7712812921102035E-2</v>
      </c>
      <c r="AP67" s="213">
        <f t="shared" si="79"/>
        <v>7.216878364870323E-2</v>
      </c>
      <c r="AQ67" s="213">
        <f t="shared" si="80"/>
        <v>0.14433756729740643</v>
      </c>
      <c r="AR67" s="213">
        <f t="shared" si="46"/>
        <v>0.14433756729740643</v>
      </c>
      <c r="AS67" s="218">
        <f t="shared" si="47"/>
        <v>1.3872638167626057E-2</v>
      </c>
      <c r="AT67" s="217"/>
      <c r="AU67" s="213">
        <f t="shared" si="81"/>
        <v>1.08E-4</v>
      </c>
      <c r="AV67" s="218">
        <f t="shared" si="48"/>
        <v>1.08E-4</v>
      </c>
      <c r="AW67" s="217">
        <f t="shared" si="82"/>
        <v>0</v>
      </c>
      <c r="AX67" s="213">
        <f t="shared" si="83"/>
        <v>2.3E-3</v>
      </c>
      <c r="AY67" s="218">
        <f t="shared" si="49"/>
        <v>2.3E-3</v>
      </c>
      <c r="AZ67" s="217">
        <f t="shared" si="70"/>
        <v>0</v>
      </c>
      <c r="BA67" s="213">
        <f t="shared" si="71"/>
        <v>0</v>
      </c>
      <c r="BB67" s="213">
        <f t="shared" si="50"/>
        <v>0</v>
      </c>
      <c r="BC67" s="61">
        <f t="shared" si="84"/>
        <v>0</v>
      </c>
      <c r="BD67" s="58">
        <v>0</v>
      </c>
      <c r="BE67" s="49">
        <f t="shared" si="85"/>
        <v>0</v>
      </c>
      <c r="BF67" s="61">
        <f t="shared" si="52"/>
        <v>0</v>
      </c>
      <c r="BG67" s="58">
        <f t="shared" si="86"/>
        <v>0</v>
      </c>
      <c r="BH67" s="49">
        <f t="shared" si="87"/>
        <v>0</v>
      </c>
      <c r="BI67" s="61">
        <f t="shared" si="88"/>
        <v>0</v>
      </c>
      <c r="BK67" s="217">
        <f t="shared" si="72"/>
        <v>0</v>
      </c>
      <c r="BL67" s="213">
        <f t="shared" si="18"/>
        <v>0</v>
      </c>
      <c r="BM67" s="213">
        <f t="shared" si="73"/>
        <v>0</v>
      </c>
      <c r="BN67" s="61">
        <f t="shared" si="89"/>
        <v>0</v>
      </c>
      <c r="BO67" s="58">
        <v>0</v>
      </c>
      <c r="BP67" s="49">
        <f t="shared" si="90"/>
        <v>0</v>
      </c>
      <c r="BQ67" s="61">
        <f t="shared" si="53"/>
        <v>0</v>
      </c>
      <c r="BR67" s="58">
        <f t="shared" si="91"/>
        <v>0</v>
      </c>
      <c r="BS67" s="49">
        <f t="shared" si="92"/>
        <v>0</v>
      </c>
      <c r="BT67" s="61">
        <f t="shared" si="55"/>
        <v>0</v>
      </c>
      <c r="BU67" s="58">
        <f t="shared" si="74"/>
        <v>6.1584028713560065E-4</v>
      </c>
      <c r="BV67" s="49">
        <f t="shared" si="21"/>
        <v>3.6450000000000007E-3</v>
      </c>
      <c r="BW67" s="61">
        <f t="shared" si="75"/>
        <v>6.7499999999999999E-3</v>
      </c>
      <c r="BX67" s="49">
        <f t="shared" si="56"/>
        <v>0.23705408255148522</v>
      </c>
      <c r="BY67" s="49">
        <f t="shared" si="43"/>
        <v>0.32811039921969354</v>
      </c>
      <c r="BZ67" s="49">
        <f t="shared" si="93"/>
        <v>90.141240528059953</v>
      </c>
    </row>
    <row r="68" spans="17:78" x14ac:dyDescent="0.3">
      <c r="Q68" s="49">
        <v>61</v>
      </c>
      <c r="R68" s="217">
        <f t="shared" si="57"/>
        <v>3.0500000000000003</v>
      </c>
      <c r="S68" s="213">
        <f t="shared" si="1"/>
        <v>15</v>
      </c>
      <c r="T68" s="218">
        <f t="shared" si="58"/>
        <v>0.20333333333333334</v>
      </c>
      <c r="U68" s="217">
        <f t="shared" si="59"/>
        <v>1</v>
      </c>
      <c r="V68" s="213">
        <f t="shared" si="60"/>
        <v>0.34928498393145962</v>
      </c>
      <c r="W68" s="213">
        <f t="shared" si="61"/>
        <v>2.794279871451677E-2</v>
      </c>
      <c r="X68" s="213">
        <f t="shared" si="23"/>
        <v>0.62277221735402366</v>
      </c>
      <c r="Y68" s="217">
        <f t="shared" si="76"/>
        <v>0.58214163988576606</v>
      </c>
      <c r="Z68" s="213">
        <f t="shared" si="62"/>
        <v>1.1642832797715321</v>
      </c>
      <c r="AA68" s="213">
        <f t="shared" si="25"/>
        <v>1.1642832797715321</v>
      </c>
      <c r="AB68" s="218">
        <f t="shared" si="63"/>
        <v>0.39727203124996652</v>
      </c>
      <c r="AC68" s="217">
        <v>0</v>
      </c>
      <c r="AD68" s="213">
        <f t="shared" si="64"/>
        <v>0.18149882683549556</v>
      </c>
      <c r="AE68" s="218">
        <f t="shared" si="27"/>
        <v>0.18149882683549556</v>
      </c>
      <c r="AF68" s="58">
        <f t="shared" si="65"/>
        <v>6.1000000000000006E-2</v>
      </c>
      <c r="AG68" s="61">
        <f t="shared" si="66"/>
        <v>6.1000000000000006E-2</v>
      </c>
      <c r="AH68" s="58">
        <f t="shared" si="67"/>
        <v>1.1047754676943208E-2</v>
      </c>
      <c r="AI68" s="49">
        <f t="shared" si="68"/>
        <v>6.9172040448945661E-3</v>
      </c>
      <c r="AJ68" s="61">
        <f t="shared" si="45"/>
        <v>1.7964958721837773E-2</v>
      </c>
      <c r="AK68" s="217">
        <f t="shared" si="69"/>
        <v>3.0500000000000003</v>
      </c>
      <c r="AL68" s="213">
        <f t="shared" si="13"/>
        <v>1500</v>
      </c>
      <c r="AM68" s="218">
        <f t="shared" si="28"/>
        <v>2.0333333333333336E-3</v>
      </c>
      <c r="AN68" s="217">
        <f t="shared" si="77"/>
        <v>2</v>
      </c>
      <c r="AO68" s="213">
        <f t="shared" si="78"/>
        <v>2.794279871451677E-2</v>
      </c>
      <c r="AP68" s="213">
        <f t="shared" si="79"/>
        <v>7.2767704985720758E-2</v>
      </c>
      <c r="AQ68" s="213">
        <f t="shared" si="80"/>
        <v>0.14553540997144152</v>
      </c>
      <c r="AR68" s="213">
        <f t="shared" si="46"/>
        <v>0.14553540997144152</v>
      </c>
      <c r="AS68" s="218">
        <f t="shared" si="47"/>
        <v>1.4045687363630268E-2</v>
      </c>
      <c r="AT68" s="217"/>
      <c r="AU68" s="213">
        <f t="shared" si="81"/>
        <v>1.1163000000000003E-4</v>
      </c>
      <c r="AV68" s="218">
        <f t="shared" si="48"/>
        <v>1.1163000000000003E-4</v>
      </c>
      <c r="AW68" s="217">
        <f t="shared" si="82"/>
        <v>0</v>
      </c>
      <c r="AX68" s="213">
        <f t="shared" si="83"/>
        <v>2.3383333333333333E-3</v>
      </c>
      <c r="AY68" s="218">
        <f t="shared" si="49"/>
        <v>2.3383333333333333E-3</v>
      </c>
      <c r="AZ68" s="217">
        <f t="shared" si="70"/>
        <v>0</v>
      </c>
      <c r="BA68" s="213">
        <f t="shared" si="71"/>
        <v>0</v>
      </c>
      <c r="BB68" s="213">
        <f t="shared" si="50"/>
        <v>0</v>
      </c>
      <c r="BC68" s="61">
        <f t="shared" si="84"/>
        <v>0</v>
      </c>
      <c r="BD68" s="58">
        <v>0</v>
      </c>
      <c r="BE68" s="49">
        <f t="shared" si="85"/>
        <v>0</v>
      </c>
      <c r="BF68" s="61">
        <f t="shared" si="52"/>
        <v>0</v>
      </c>
      <c r="BG68" s="58">
        <f t="shared" si="86"/>
        <v>0</v>
      </c>
      <c r="BH68" s="49">
        <f t="shared" si="87"/>
        <v>0</v>
      </c>
      <c r="BI68" s="61">
        <f t="shared" si="88"/>
        <v>0</v>
      </c>
      <c r="BK68" s="217">
        <f t="shared" si="72"/>
        <v>0</v>
      </c>
      <c r="BL68" s="213">
        <f t="shared" si="18"/>
        <v>0</v>
      </c>
      <c r="BM68" s="213">
        <f t="shared" si="73"/>
        <v>0</v>
      </c>
      <c r="BN68" s="61">
        <f t="shared" si="89"/>
        <v>0</v>
      </c>
      <c r="BO68" s="58">
        <v>0</v>
      </c>
      <c r="BP68" s="49">
        <f t="shared" si="90"/>
        <v>0</v>
      </c>
      <c r="BQ68" s="61">
        <f t="shared" si="53"/>
        <v>0</v>
      </c>
      <c r="BR68" s="58">
        <f t="shared" si="91"/>
        <v>0</v>
      </c>
      <c r="BS68" s="49">
        <f t="shared" si="92"/>
        <v>0</v>
      </c>
      <c r="BT68" s="61">
        <f t="shared" si="55"/>
        <v>0</v>
      </c>
      <c r="BU68" s="58">
        <f t="shared" si="74"/>
        <v>6.3130026725389751E-4</v>
      </c>
      <c r="BV68" s="49">
        <f t="shared" si="21"/>
        <v>3.6450000000000007E-3</v>
      </c>
      <c r="BW68" s="61">
        <f t="shared" si="75"/>
        <v>6.7499999999999999E-3</v>
      </c>
      <c r="BX68" s="49">
        <f t="shared" si="56"/>
        <v>0.24249882683549556</v>
      </c>
      <c r="BY68" s="49">
        <f t="shared" si="43"/>
        <v>0.33494004915792058</v>
      </c>
      <c r="BZ68" s="49">
        <f t="shared" si="93"/>
        <v>90.104993166976641</v>
      </c>
    </row>
    <row r="69" spans="17:78" x14ac:dyDescent="0.3">
      <c r="Q69" s="49">
        <v>62</v>
      </c>
      <c r="R69" s="217">
        <f t="shared" si="57"/>
        <v>3.1</v>
      </c>
      <c r="S69" s="213">
        <f t="shared" si="1"/>
        <v>15</v>
      </c>
      <c r="T69" s="218">
        <f t="shared" si="58"/>
        <v>0.20666666666666667</v>
      </c>
      <c r="U69" s="217">
        <f t="shared" si="59"/>
        <v>1</v>
      </c>
      <c r="V69" s="213">
        <f t="shared" si="60"/>
        <v>0.35213633723318022</v>
      </c>
      <c r="W69" s="213">
        <f t="shared" si="61"/>
        <v>2.817090697865442E-2</v>
      </c>
      <c r="X69" s="213">
        <f t="shared" si="23"/>
        <v>0.61969275578816529</v>
      </c>
      <c r="Y69" s="217">
        <f t="shared" si="76"/>
        <v>0.58689389538863357</v>
      </c>
      <c r="Z69" s="213">
        <f t="shared" si="62"/>
        <v>1.1737877907772676</v>
      </c>
      <c r="AA69" s="213">
        <f t="shared" si="25"/>
        <v>1.1737877907772674</v>
      </c>
      <c r="AB69" s="218">
        <f t="shared" si="63"/>
        <v>0.40214658197724257</v>
      </c>
      <c r="AC69" s="217">
        <v>0</v>
      </c>
      <c r="AD69" s="213">
        <f t="shared" si="64"/>
        <v>0.18598015440537596</v>
      </c>
      <c r="AE69" s="218">
        <f t="shared" si="27"/>
        <v>0.18598015440537596</v>
      </c>
      <c r="AF69" s="58">
        <f t="shared" si="65"/>
        <v>6.2000000000000006E-2</v>
      </c>
      <c r="AG69" s="61">
        <f t="shared" si="66"/>
        <v>6.2000000000000006E-2</v>
      </c>
      <c r="AH69" s="58">
        <f t="shared" si="67"/>
        <v>1.1320531137718536E-2</v>
      </c>
      <c r="AI69" s="49">
        <f t="shared" si="68"/>
        <v>6.9736719536207959E-3</v>
      </c>
      <c r="AJ69" s="61">
        <f t="shared" si="45"/>
        <v>1.8294203091339334E-2</v>
      </c>
      <c r="AK69" s="217">
        <f t="shared" si="69"/>
        <v>3.1</v>
      </c>
      <c r="AL69" s="213">
        <f t="shared" si="13"/>
        <v>1500</v>
      </c>
      <c r="AM69" s="218">
        <f t="shared" si="28"/>
        <v>2.0666666666666667E-3</v>
      </c>
      <c r="AN69" s="217">
        <f t="shared" si="77"/>
        <v>2</v>
      </c>
      <c r="AO69" s="213">
        <f t="shared" si="78"/>
        <v>2.817090697865442E-2</v>
      </c>
      <c r="AP69" s="213">
        <f t="shared" si="79"/>
        <v>7.3361736923579196E-2</v>
      </c>
      <c r="AQ69" s="213">
        <f t="shared" si="80"/>
        <v>0.14672347384715845</v>
      </c>
      <c r="AR69" s="213">
        <f t="shared" si="46"/>
        <v>0.14672347384715842</v>
      </c>
      <c r="AS69" s="218">
        <f t="shared" si="47"/>
        <v>1.4218028757355004E-2</v>
      </c>
      <c r="AT69" s="217"/>
      <c r="AU69" s="213">
        <f t="shared" si="81"/>
        <v>1.1532E-4</v>
      </c>
      <c r="AV69" s="218">
        <f t="shared" si="48"/>
        <v>1.1532E-4</v>
      </c>
      <c r="AW69" s="217">
        <f t="shared" si="82"/>
        <v>0</v>
      </c>
      <c r="AX69" s="213">
        <f t="shared" si="83"/>
        <v>2.3766666666666667E-3</v>
      </c>
      <c r="AY69" s="218">
        <f t="shared" si="49"/>
        <v>2.3766666666666667E-3</v>
      </c>
      <c r="AZ69" s="217">
        <f t="shared" si="70"/>
        <v>0</v>
      </c>
      <c r="BA69" s="213">
        <f t="shared" si="71"/>
        <v>0</v>
      </c>
      <c r="BB69" s="213">
        <f t="shared" si="50"/>
        <v>0</v>
      </c>
      <c r="BC69" s="61">
        <f t="shared" si="84"/>
        <v>0</v>
      </c>
      <c r="BD69" s="58">
        <v>0</v>
      </c>
      <c r="BE69" s="49">
        <f t="shared" si="85"/>
        <v>0</v>
      </c>
      <c r="BF69" s="61">
        <f t="shared" si="52"/>
        <v>0</v>
      </c>
      <c r="BG69" s="58">
        <f t="shared" si="86"/>
        <v>0</v>
      </c>
      <c r="BH69" s="49">
        <f t="shared" si="87"/>
        <v>0</v>
      </c>
      <c r="BI69" s="61">
        <f t="shared" si="88"/>
        <v>0</v>
      </c>
      <c r="BK69" s="217">
        <f t="shared" si="72"/>
        <v>0</v>
      </c>
      <c r="BL69" s="213">
        <f t="shared" si="18"/>
        <v>0</v>
      </c>
      <c r="BM69" s="213">
        <f t="shared" si="73"/>
        <v>0</v>
      </c>
      <c r="BN69" s="61">
        <f t="shared" si="89"/>
        <v>0</v>
      </c>
      <c r="BO69" s="58">
        <v>0</v>
      </c>
      <c r="BP69" s="49">
        <f t="shared" si="90"/>
        <v>0</v>
      </c>
      <c r="BQ69" s="61">
        <f t="shared" si="53"/>
        <v>0</v>
      </c>
      <c r="BR69" s="58">
        <f t="shared" si="91"/>
        <v>0</v>
      </c>
      <c r="BS69" s="49">
        <f t="shared" si="92"/>
        <v>0</v>
      </c>
      <c r="BT69" s="61">
        <f t="shared" si="55"/>
        <v>0</v>
      </c>
      <c r="BU69" s="58">
        <f t="shared" si="74"/>
        <v>6.4688749358391632E-4</v>
      </c>
      <c r="BV69" s="49">
        <f t="shared" si="21"/>
        <v>3.6450000000000007E-3</v>
      </c>
      <c r="BW69" s="61">
        <f t="shared" si="75"/>
        <v>6.7499999999999999E-3</v>
      </c>
      <c r="BX69" s="49">
        <f t="shared" si="56"/>
        <v>0.24798015440537596</v>
      </c>
      <c r="BY69" s="49">
        <f t="shared" si="43"/>
        <v>0.34180823165696589</v>
      </c>
      <c r="BZ69" s="49">
        <f t="shared" si="93"/>
        <v>90.068934448087717</v>
      </c>
    </row>
    <row r="70" spans="17:78" x14ac:dyDescent="0.3">
      <c r="Q70" s="49">
        <v>63</v>
      </c>
      <c r="R70" s="217">
        <f t="shared" si="57"/>
        <v>3.1500000000000004</v>
      </c>
      <c r="S70" s="213">
        <f t="shared" si="1"/>
        <v>15</v>
      </c>
      <c r="T70" s="218">
        <f t="shared" si="58"/>
        <v>0.21000000000000002</v>
      </c>
      <c r="U70" s="217">
        <f t="shared" si="59"/>
        <v>1</v>
      </c>
      <c r="V70" s="213">
        <f t="shared" si="60"/>
        <v>0.35496478698597694</v>
      </c>
      <c r="W70" s="213">
        <f t="shared" si="61"/>
        <v>2.8397182958878157E-2</v>
      </c>
      <c r="X70" s="213">
        <f t="shared" si="23"/>
        <v>0.61663803005514495</v>
      </c>
      <c r="Y70" s="217">
        <f t="shared" si="76"/>
        <v>0.5916079783099617</v>
      </c>
      <c r="Z70" s="213">
        <f t="shared" si="62"/>
        <v>1.1832159566199232</v>
      </c>
      <c r="AA70" s="213">
        <f t="shared" si="25"/>
        <v>1.1832159566199234</v>
      </c>
      <c r="AB70" s="218">
        <f t="shared" si="63"/>
        <v>0.40700151587775357</v>
      </c>
      <c r="AC70" s="217">
        <v>0</v>
      </c>
      <c r="AD70" s="213">
        <f t="shared" si="64"/>
        <v>0.1904977690158077</v>
      </c>
      <c r="AE70" s="218">
        <f t="shared" si="27"/>
        <v>0.1904977690158077</v>
      </c>
      <c r="AF70" s="58">
        <f t="shared" si="65"/>
        <v>6.3000000000000014E-2</v>
      </c>
      <c r="AG70" s="61">
        <f t="shared" si="66"/>
        <v>6.3000000000000014E-2</v>
      </c>
      <c r="AH70" s="58">
        <f t="shared" si="67"/>
        <v>1.1595516374875251E-2</v>
      </c>
      <c r="AI70" s="49">
        <f t="shared" si="68"/>
        <v>7.029686282810128E-3</v>
      </c>
      <c r="AJ70" s="61">
        <f t="shared" si="45"/>
        <v>1.8625202657685379E-2</v>
      </c>
      <c r="AK70" s="217">
        <f t="shared" si="69"/>
        <v>3.1500000000000004</v>
      </c>
      <c r="AL70" s="213">
        <f t="shared" si="13"/>
        <v>1500</v>
      </c>
      <c r="AM70" s="218">
        <f t="shared" si="28"/>
        <v>2.1000000000000003E-3</v>
      </c>
      <c r="AN70" s="217">
        <f t="shared" si="77"/>
        <v>2</v>
      </c>
      <c r="AO70" s="213">
        <f t="shared" si="78"/>
        <v>2.8397182958878157E-2</v>
      </c>
      <c r="AP70" s="213">
        <f t="shared" si="79"/>
        <v>7.3950997288745213E-2</v>
      </c>
      <c r="AQ70" s="213">
        <f t="shared" si="80"/>
        <v>0.1479019945774904</v>
      </c>
      <c r="AR70" s="213">
        <f t="shared" si="46"/>
        <v>0.14790199457749043</v>
      </c>
      <c r="AS70" s="218">
        <f t="shared" si="47"/>
        <v>1.4389676591518193E-2</v>
      </c>
      <c r="AT70" s="217"/>
      <c r="AU70" s="213">
        <f t="shared" si="81"/>
        <v>1.1907000000000002E-4</v>
      </c>
      <c r="AV70" s="218">
        <f t="shared" si="48"/>
        <v>1.1907000000000002E-4</v>
      </c>
      <c r="AW70" s="217">
        <f t="shared" si="82"/>
        <v>0</v>
      </c>
      <c r="AX70" s="213">
        <f t="shared" si="83"/>
        <v>2.415E-3</v>
      </c>
      <c r="AY70" s="218">
        <f t="shared" si="49"/>
        <v>2.415E-3</v>
      </c>
      <c r="AZ70" s="217">
        <f t="shared" si="70"/>
        <v>0</v>
      </c>
      <c r="BA70" s="213">
        <f t="shared" si="71"/>
        <v>0</v>
      </c>
      <c r="BB70" s="213">
        <f t="shared" si="50"/>
        <v>0</v>
      </c>
      <c r="BC70" s="61">
        <f t="shared" si="84"/>
        <v>0</v>
      </c>
      <c r="BD70" s="58">
        <v>0</v>
      </c>
      <c r="BE70" s="49">
        <f t="shared" si="85"/>
        <v>0</v>
      </c>
      <c r="BF70" s="61">
        <f t="shared" si="52"/>
        <v>0</v>
      </c>
      <c r="BG70" s="58">
        <f t="shared" si="86"/>
        <v>0</v>
      </c>
      <c r="BH70" s="49">
        <f t="shared" si="87"/>
        <v>0</v>
      </c>
      <c r="BI70" s="61">
        <f t="shared" si="88"/>
        <v>0</v>
      </c>
      <c r="BK70" s="217">
        <f t="shared" si="72"/>
        <v>0</v>
      </c>
      <c r="BL70" s="213">
        <f t="shared" si="18"/>
        <v>0</v>
      </c>
      <c r="BM70" s="213">
        <f t="shared" si="73"/>
        <v>0</v>
      </c>
      <c r="BN70" s="61">
        <f t="shared" si="89"/>
        <v>0</v>
      </c>
      <c r="BO70" s="58">
        <v>0</v>
      </c>
      <c r="BP70" s="49">
        <f t="shared" si="90"/>
        <v>0</v>
      </c>
      <c r="BQ70" s="61">
        <f t="shared" si="53"/>
        <v>0</v>
      </c>
      <c r="BR70" s="58">
        <f t="shared" si="91"/>
        <v>0</v>
      </c>
      <c r="BS70" s="49">
        <f t="shared" si="92"/>
        <v>0</v>
      </c>
      <c r="BT70" s="61">
        <f t="shared" si="55"/>
        <v>0</v>
      </c>
      <c r="BU70" s="58">
        <f t="shared" si="74"/>
        <v>6.6260093570715722E-4</v>
      </c>
      <c r="BV70" s="49">
        <f t="shared" si="21"/>
        <v>3.6450000000000007E-3</v>
      </c>
      <c r="BW70" s="61">
        <f t="shared" si="75"/>
        <v>6.7499999999999999E-3</v>
      </c>
      <c r="BX70" s="49">
        <f t="shared" si="56"/>
        <v>0.25349776901580773</v>
      </c>
      <c r="BY70" s="49">
        <f t="shared" si="43"/>
        <v>0.34871464260920026</v>
      </c>
      <c r="BZ70" s="49">
        <f t="shared" si="93"/>
        <v>90.03306418984937</v>
      </c>
    </row>
    <row r="71" spans="17:78" x14ac:dyDescent="0.3">
      <c r="Q71" s="49">
        <v>64</v>
      </c>
      <c r="R71" s="217">
        <f t="shared" ref="R71:R102" si="94">AK71+AZ71+BK71</f>
        <v>3.2</v>
      </c>
      <c r="S71" s="213">
        <f t="shared" ref="S71:S134" si="95">VIN_var</f>
        <v>15</v>
      </c>
      <c r="T71" s="218">
        <f t="shared" ref="T71:T102" si="96">(R71)/(S71*EFF_est)</f>
        <v>0.21333333333333335</v>
      </c>
      <c r="U71" s="217">
        <f t="shared" ref="U71:U102" si="97">IF(R71&lt;((((Np/NS1_)*(AL71)/((S71+((Np/NS1_)*(AL71)))))^2)*(S71^2))/(2*Lm*Fsw),1,2)</f>
        <v>1</v>
      </c>
      <c r="V71" s="213">
        <f t="shared" ref="V71:V102" si="98">CHOOSE(U71,SQRT((2*Lm*R71*Fsw)/((S71^2)*EFF_est)),(((Np/NS1_)*(AL71))/(S71+((Np/NS1_)*(AL71)))))</f>
        <v>0.35777087639996635</v>
      </c>
      <c r="W71" s="213">
        <f t="shared" ref="W71:W102" si="99">CHOOSE(U71,(NS1_*S71*V71)/(Np*AL71),1-V71)</f>
        <v>2.8621670111997309E-2</v>
      </c>
      <c r="X71" s="213">
        <f t="shared" si="23"/>
        <v>0.61360745348803636</v>
      </c>
      <c r="Y71" s="217">
        <f t="shared" si="76"/>
        <v>0.59628479399994394</v>
      </c>
      <c r="Z71" s="213">
        <f t="shared" ref="Z71:Z102" si="100">(S71*V71)/(Lm*Fsw)</f>
        <v>1.1925695879998879</v>
      </c>
      <c r="AA71" s="213">
        <f t="shared" si="25"/>
        <v>1.1925695879998879</v>
      </c>
      <c r="AB71" s="218">
        <f t="shared" ref="AB71:AB102" si="101">CHOOSE(U71,AA71*SQRT(V71/3),SQRT(V71*((AA71^2)+((Z71^2)/(3))-(AA71*Z71))))</f>
        <v>0.41183722143582902</v>
      </c>
      <c r="AC71" s="217">
        <v>0</v>
      </c>
      <c r="AD71" s="213">
        <f t="shared" ref="AD71:AD102" si="102">(AB71^2)*Rdcr</f>
        <v>0.19505138150398171</v>
      </c>
      <c r="AE71" s="218">
        <f t="shared" si="27"/>
        <v>0.19505138150398171</v>
      </c>
      <c r="AF71" s="58">
        <f t="shared" ref="AF71:AF102" si="103">R71*0.02</f>
        <v>6.4000000000000001E-2</v>
      </c>
      <c r="AG71" s="61">
        <f t="shared" ref="AG71:AG102" si="104">R71*0.02</f>
        <v>6.4000000000000001E-2</v>
      </c>
      <c r="AH71" s="58">
        <f t="shared" ref="AH71:AH102" si="105">(AB71^2)*RDS_on</f>
        <v>1.1872692787198887E-2</v>
      </c>
      <c r="AI71" s="49">
        <f t="shared" ref="AI71:AI102" si="106">((Y71*(S71+((Np/NS1_)*VOUT1)))/2)*Fsw*(tr_sw+tf_sw)</f>
        <v>7.0852577901400621E-3</v>
      </c>
      <c r="AJ71" s="61">
        <f t="shared" si="45"/>
        <v>1.8957950577338949E-2</v>
      </c>
      <c r="AK71" s="217">
        <f t="shared" ref="AK71:AK102" si="107">Q71*$B$11</f>
        <v>3.2</v>
      </c>
      <c r="AL71" s="213">
        <f t="shared" ref="AL71:AL134" si="108">VOUT1</f>
        <v>1500</v>
      </c>
      <c r="AM71" s="218">
        <f t="shared" si="28"/>
        <v>2.1333333333333334E-3</v>
      </c>
      <c r="AN71" s="217">
        <f t="shared" si="77"/>
        <v>2</v>
      </c>
      <c r="AO71" s="213">
        <f t="shared" si="78"/>
        <v>2.8621670111997309E-2</v>
      </c>
      <c r="AP71" s="213">
        <f t="shared" si="79"/>
        <v>7.4535599249992993E-2</v>
      </c>
      <c r="AQ71" s="213">
        <f t="shared" si="80"/>
        <v>0.14907119849998599</v>
      </c>
      <c r="AR71" s="213">
        <f t="shared" si="46"/>
        <v>0.14907119849998599</v>
      </c>
      <c r="AS71" s="218">
        <f t="shared" si="47"/>
        <v>1.4560644601115023E-2</v>
      </c>
      <c r="AT71" s="217"/>
      <c r="AU71" s="213">
        <f t="shared" si="81"/>
        <v>1.2288000000000002E-4</v>
      </c>
      <c r="AV71" s="218">
        <f t="shared" si="48"/>
        <v>1.2288000000000002E-4</v>
      </c>
      <c r="AW71" s="217">
        <f t="shared" si="82"/>
        <v>0</v>
      </c>
      <c r="AX71" s="213">
        <f t="shared" si="83"/>
        <v>2.4533333333333334E-3</v>
      </c>
      <c r="AY71" s="218">
        <f t="shared" si="49"/>
        <v>2.4533333333333334E-3</v>
      </c>
      <c r="AZ71" s="217">
        <f t="shared" ref="AZ71:AZ102" si="109">IF(EN_OUT_2=1,Q71*$B$15,0)</f>
        <v>0</v>
      </c>
      <c r="BA71" s="213">
        <f t="shared" ref="BA71:BA102" si="110">IF(EN_OUT_2=1,VOUT2,0)</f>
        <v>0</v>
      </c>
      <c r="BB71" s="213">
        <f t="shared" si="50"/>
        <v>0</v>
      </c>
      <c r="BC71" s="61">
        <f t="shared" si="84"/>
        <v>0</v>
      </c>
      <c r="BD71" s="58">
        <v>0</v>
      </c>
      <c r="BE71" s="49">
        <f t="shared" si="85"/>
        <v>0</v>
      </c>
      <c r="BF71" s="61">
        <f t="shared" si="52"/>
        <v>0</v>
      </c>
      <c r="BG71" s="58">
        <f t="shared" si="86"/>
        <v>0</v>
      </c>
      <c r="BH71" s="49">
        <f t="shared" si="87"/>
        <v>0</v>
      </c>
      <c r="BI71" s="61">
        <f t="shared" si="88"/>
        <v>0</v>
      </c>
      <c r="BK71" s="217">
        <f t="shared" ref="BK71:BK102" si="111">IF(EN_OUT_3=1,Q71*$B$19,0)</f>
        <v>0</v>
      </c>
      <c r="BL71" s="213">
        <f t="shared" ref="BL71:BL134" si="112">IF(EN_OUT_3=1,VOUT3,0)</f>
        <v>0</v>
      </c>
      <c r="BM71" s="213">
        <f t="shared" ref="BM71:BM102" si="113">IF(EN_OUT_3=1,BK71/BL71,0)</f>
        <v>0</v>
      </c>
      <c r="BN71" s="61">
        <f t="shared" si="89"/>
        <v>0</v>
      </c>
      <c r="BO71" s="58">
        <v>0</v>
      </c>
      <c r="BP71" s="49">
        <f t="shared" si="90"/>
        <v>0</v>
      </c>
      <c r="BQ71" s="61">
        <f t="shared" si="53"/>
        <v>0</v>
      </c>
      <c r="BR71" s="58">
        <f t="shared" si="91"/>
        <v>0</v>
      </c>
      <c r="BS71" s="49">
        <f t="shared" si="92"/>
        <v>0</v>
      </c>
      <c r="BT71" s="61">
        <f t="shared" si="55"/>
        <v>0</v>
      </c>
      <c r="BU71" s="58">
        <f t="shared" ref="BU71:BU102" si="114">(AB71^2)*R_cs</f>
        <v>6.7843958783993632E-4</v>
      </c>
      <c r="BV71" s="49">
        <f t="shared" ref="BV71:BV134" si="115">Qg_tot*Vcc*Fsw</f>
        <v>3.6450000000000007E-3</v>
      </c>
      <c r="BW71" s="61">
        <f t="shared" ref="BW71:BW102" si="116">IQ*S71</f>
        <v>6.7499999999999999E-3</v>
      </c>
      <c r="BX71" s="49">
        <f t="shared" si="56"/>
        <v>0.25905138150398171</v>
      </c>
      <c r="BY71" s="49">
        <f t="shared" si="43"/>
        <v>0.35565898500249393</v>
      </c>
      <c r="BZ71" s="49">
        <f t="shared" si="93"/>
        <v>89.997382018280234</v>
      </c>
    </row>
    <row r="72" spans="17:78" x14ac:dyDescent="0.3">
      <c r="Q72" s="49">
        <v>65</v>
      </c>
      <c r="R72" s="217">
        <f t="shared" si="94"/>
        <v>3.25</v>
      </c>
      <c r="S72" s="213">
        <f t="shared" si="95"/>
        <v>15</v>
      </c>
      <c r="T72" s="218">
        <f t="shared" si="96"/>
        <v>0.21666666666666667</v>
      </c>
      <c r="U72" s="217">
        <f t="shared" si="97"/>
        <v>1</v>
      </c>
      <c r="V72" s="213">
        <f t="shared" si="98"/>
        <v>0.3605551275463989</v>
      </c>
      <c r="W72" s="213">
        <f t="shared" si="99"/>
        <v>2.8844410203711913E-2</v>
      </c>
      <c r="X72" s="213">
        <f t="shared" ref="X72:X135" si="117">CHOOSE(U72,1-V72-W72,0)</f>
        <v>0.61060046224988918</v>
      </c>
      <c r="Y72" s="217">
        <f t="shared" ref="Y72:Y103" si="118">R72/(S72*EFF_est*V72)</f>
        <v>0.60092521257733156</v>
      </c>
      <c r="Z72" s="213">
        <f t="shared" si="100"/>
        <v>1.2018504251546629</v>
      </c>
      <c r="AA72" s="213">
        <f t="shared" ref="AA72:AA135" si="119">Y72+(Z72/2)</f>
        <v>1.2018504251546629</v>
      </c>
      <c r="AB72" s="218">
        <f t="shared" si="101"/>
        <v>0.41665407350316958</v>
      </c>
      <c r="AC72" s="217">
        <v>0</v>
      </c>
      <c r="AD72" s="213">
        <f t="shared" si="102"/>
        <v>0.19964070951180235</v>
      </c>
      <c r="AE72" s="218">
        <f t="shared" ref="AE72:AE135" si="120">AC72+AD72</f>
        <v>0.19964070951180235</v>
      </c>
      <c r="AF72" s="58">
        <f t="shared" si="103"/>
        <v>6.5000000000000002E-2</v>
      </c>
      <c r="AG72" s="61">
        <f t="shared" si="104"/>
        <v>6.5000000000000002E-2</v>
      </c>
      <c r="AH72" s="58">
        <f t="shared" si="105"/>
        <v>1.2152043187674925E-2</v>
      </c>
      <c r="AI72" s="49">
        <f t="shared" si="106"/>
        <v>7.1403968146561726E-3</v>
      </c>
      <c r="AJ72" s="61">
        <f t="shared" ref="AJ72:AJ135" si="121">AH72+AI72</f>
        <v>1.9292440002331098E-2</v>
      </c>
      <c r="AK72" s="217">
        <f t="shared" si="107"/>
        <v>3.25</v>
      </c>
      <c r="AL72" s="213">
        <f t="shared" si="108"/>
        <v>1500</v>
      </c>
      <c r="AM72" s="218">
        <f t="shared" ref="AM72:AM103" si="122">AK72/AL72</f>
        <v>2.1666666666666666E-3</v>
      </c>
      <c r="AN72" s="217">
        <f t="shared" ref="AN72:AN103" si="123">IF(((AL72*AO72)/(Fsw*$AO$2))/2&gt;AP72,1,2)</f>
        <v>2</v>
      </c>
      <c r="AO72" s="213">
        <f t="shared" ref="AO72:AO103" si="124">AM72/AP72</f>
        <v>2.8844410203711913E-2</v>
      </c>
      <c r="AP72" s="213">
        <f t="shared" ref="AP72:AP103" si="125">Np*$Y72*AK72/(R72*NS1_)</f>
        <v>7.5115651572166445E-2</v>
      </c>
      <c r="AQ72" s="213">
        <f t="shared" ref="AQ72:AQ103" si="126">(AL72*AO72)/(Fsw*$AO$2)</f>
        <v>0.15023130314433286</v>
      </c>
      <c r="AR72" s="213">
        <f t="shared" si="46"/>
        <v>0.15023130314433286</v>
      </c>
      <c r="AS72" s="218">
        <f t="shared" si="47"/>
        <v>1.4730946039154471E-2</v>
      </c>
      <c r="AT72" s="217"/>
      <c r="AU72" s="213">
        <f t="shared" ref="AU72:AU103" si="127">(AM72^2)*Rdcr1</f>
        <v>1.2674999999999999E-4</v>
      </c>
      <c r="AV72" s="218">
        <f t="shared" si="48"/>
        <v>1.2674999999999999E-4</v>
      </c>
      <c r="AW72" s="217">
        <f t="shared" ref="AW72:AW103" si="128">(VOUT1+((NS1_/Np)*S72))*QRR1_*Fsw</f>
        <v>0</v>
      </c>
      <c r="AX72" s="213">
        <f t="shared" ref="AX72:AX103" si="129">AM72*VD1_</f>
        <v>2.4916666666666663E-3</v>
      </c>
      <c r="AY72" s="218">
        <f t="shared" si="49"/>
        <v>2.4916666666666663E-3</v>
      </c>
      <c r="AZ72" s="217">
        <f t="shared" si="109"/>
        <v>0</v>
      </c>
      <c r="BA72" s="213">
        <f t="shared" si="110"/>
        <v>0</v>
      </c>
      <c r="BB72" s="213">
        <f t="shared" si="50"/>
        <v>0</v>
      </c>
      <c r="BC72" s="61">
        <f t="shared" ref="BC72:BC103" si="130">IF(EN_OUT_2=1,AZ72/BA72,0)</f>
        <v>0</v>
      </c>
      <c r="BD72" s="58">
        <v>0</v>
      </c>
      <c r="BE72" s="49">
        <f t="shared" ref="BE72:BE103" si="131">(BB72^2)*Rdcr2</f>
        <v>0</v>
      </c>
      <c r="BF72" s="61">
        <f t="shared" si="52"/>
        <v>0</v>
      </c>
      <c r="BG72" s="58">
        <f t="shared" ref="BG72:BG103" si="132">(VOUT2+((NS2_/Np)*S72))*QRR2_*Fsw</f>
        <v>0</v>
      </c>
      <c r="BH72" s="49">
        <f t="shared" ref="BH72:BH103" si="133">BB72*VD2_</f>
        <v>0</v>
      </c>
      <c r="BI72" s="61">
        <f t="shared" ref="BI72:BI103" si="134">BH72+BG72</f>
        <v>0</v>
      </c>
      <c r="BK72" s="217">
        <f t="shared" si="111"/>
        <v>0</v>
      </c>
      <c r="BL72" s="213">
        <f t="shared" si="112"/>
        <v>0</v>
      </c>
      <c r="BM72" s="213">
        <f t="shared" si="113"/>
        <v>0</v>
      </c>
      <c r="BN72" s="61">
        <f t="shared" ref="BN72:BN79" si="135">Y72*(Np/NS3_)*(BK72/R72)</f>
        <v>0</v>
      </c>
      <c r="BO72" s="58">
        <v>0</v>
      </c>
      <c r="BP72" s="49">
        <f t="shared" ref="BP72:BP103" si="136">(BM72^2)*Rdcr3</f>
        <v>0</v>
      </c>
      <c r="BQ72" s="61">
        <f t="shared" si="53"/>
        <v>0</v>
      </c>
      <c r="BR72" s="58">
        <f t="shared" ref="BR72:BR103" si="137">(VOUT3+((NS3_/Np)*S72))*QRR3_*Fsw</f>
        <v>0</v>
      </c>
      <c r="BS72" s="49">
        <f t="shared" ref="BS72:BS103" si="138">BM72*VD3_</f>
        <v>0</v>
      </c>
      <c r="BT72" s="61">
        <f t="shared" si="55"/>
        <v>0</v>
      </c>
      <c r="BU72" s="58">
        <f t="shared" si="114"/>
        <v>6.9440246786713858E-4</v>
      </c>
      <c r="BV72" s="49">
        <f t="shared" si="115"/>
        <v>3.6450000000000007E-3</v>
      </c>
      <c r="BW72" s="61">
        <f t="shared" si="116"/>
        <v>6.7499999999999999E-3</v>
      </c>
      <c r="BX72" s="49">
        <f t="shared" ref="BX72:BX135" si="139">BF72+BQ72+AE72+AG72</f>
        <v>0.26464070951180235</v>
      </c>
      <c r="BY72" s="49">
        <f t="shared" ref="BY72:BY135" si="140">BW72+BV72+BU72+BT72+BQ72+BI72+BF72++AY72+AV72+AJ72+AF72+AE72+AG72</f>
        <v>0.36264096864866729</v>
      </c>
      <c r="BZ72" s="49">
        <f t="shared" ref="BZ72:BZ103" si="141">(R72/(R72+BY72))*100</f>
        <v>89.961887389426479</v>
      </c>
    </row>
    <row r="73" spans="17:78" x14ac:dyDescent="0.3">
      <c r="Q73" s="49">
        <v>66</v>
      </c>
      <c r="R73" s="217">
        <f t="shared" si="94"/>
        <v>3.3000000000000003</v>
      </c>
      <c r="S73" s="213">
        <f t="shared" si="95"/>
        <v>15</v>
      </c>
      <c r="T73" s="218">
        <f t="shared" si="96"/>
        <v>0.22000000000000003</v>
      </c>
      <c r="U73" s="217">
        <f t="shared" si="97"/>
        <v>1</v>
      </c>
      <c r="V73" s="213">
        <f t="shared" si="98"/>
        <v>0.36331804249169902</v>
      </c>
      <c r="W73" s="213">
        <f t="shared" si="99"/>
        <v>2.9065443399335925E-2</v>
      </c>
      <c r="X73" s="213">
        <f t="shared" si="117"/>
        <v>0.607616514108965</v>
      </c>
      <c r="Y73" s="217">
        <f t="shared" si="118"/>
        <v>0.60553007081949828</v>
      </c>
      <c r="Z73" s="213">
        <f t="shared" si="100"/>
        <v>1.2110601416389968</v>
      </c>
      <c r="AA73" s="213">
        <f t="shared" si="119"/>
        <v>1.2110601416389968</v>
      </c>
      <c r="AB73" s="218">
        <f t="shared" si="101"/>
        <v>0.42145243397927229</v>
      </c>
      <c r="AC73" s="217">
        <v>0</v>
      </c>
      <c r="AD73" s="213">
        <f t="shared" si="102"/>
        <v>0.20426547722311084</v>
      </c>
      <c r="AE73" s="218">
        <f t="shared" si="120"/>
        <v>0.20426547722311084</v>
      </c>
      <c r="AF73" s="58">
        <f t="shared" si="103"/>
        <v>6.6000000000000003E-2</v>
      </c>
      <c r="AG73" s="61">
        <f t="shared" si="104"/>
        <v>6.6000000000000003E-2</v>
      </c>
      <c r="AH73" s="58">
        <f t="shared" si="105"/>
        <v>1.2433550787493702E-2</v>
      </c>
      <c r="AI73" s="49">
        <f t="shared" si="106"/>
        <v>7.1951132992304975E-3</v>
      </c>
      <c r="AJ73" s="61">
        <f t="shared" si="121"/>
        <v>1.9628664086724201E-2</v>
      </c>
      <c r="AK73" s="217">
        <f t="shared" si="107"/>
        <v>3.3000000000000003</v>
      </c>
      <c r="AL73" s="213">
        <f t="shared" si="108"/>
        <v>1500</v>
      </c>
      <c r="AM73" s="218">
        <f t="shared" si="122"/>
        <v>2.2000000000000001E-3</v>
      </c>
      <c r="AN73" s="217">
        <f t="shared" si="123"/>
        <v>2</v>
      </c>
      <c r="AO73" s="213">
        <f t="shared" si="124"/>
        <v>2.9065443399335925E-2</v>
      </c>
      <c r="AP73" s="213">
        <f t="shared" si="125"/>
        <v>7.5691258852437285E-2</v>
      </c>
      <c r="AQ73" s="213">
        <f t="shared" si="126"/>
        <v>0.1513825177048746</v>
      </c>
      <c r="AR73" s="213">
        <f t="shared" ref="AR73:AR136" si="142">AP73+(AQ73/2)</f>
        <v>0.1513825177048746</v>
      </c>
      <c r="AS73" s="218">
        <f t="shared" ref="AS73:AS136" si="143">CHOOSE(AN73,AR73*SQRT(AO73/3),SQRT(AO73*((AR73^2)+((AQ73^2)/(3))-(AQ73*AR73))))</f>
        <v>1.4900593700715959E-2</v>
      </c>
      <c r="AT73" s="217"/>
      <c r="AU73" s="213">
        <f t="shared" si="127"/>
        <v>1.3068000000000002E-4</v>
      </c>
      <c r="AV73" s="218">
        <f t="shared" ref="AV73:AV136" si="144">AT73+AU73</f>
        <v>1.3068000000000002E-4</v>
      </c>
      <c r="AW73" s="217">
        <f t="shared" si="128"/>
        <v>0</v>
      </c>
      <c r="AX73" s="213">
        <f t="shared" si="129"/>
        <v>2.5300000000000001E-3</v>
      </c>
      <c r="AY73" s="218">
        <f t="shared" ref="AY73:AY136" si="145">AW73+AX73</f>
        <v>2.5300000000000001E-3</v>
      </c>
      <c r="AZ73" s="217">
        <f t="shared" si="109"/>
        <v>0</v>
      </c>
      <c r="BA73" s="213">
        <f t="shared" si="110"/>
        <v>0</v>
      </c>
      <c r="BB73" s="213">
        <f t="shared" ref="BB73:BB136" si="146">IF(EN_OUT_2=1,AZ73/BA73,0)</f>
        <v>0</v>
      </c>
      <c r="BC73" s="61">
        <f t="shared" si="130"/>
        <v>0</v>
      </c>
      <c r="BD73" s="58">
        <v>0</v>
      </c>
      <c r="BE73" s="49">
        <f t="shared" si="131"/>
        <v>0</v>
      </c>
      <c r="BF73" s="61">
        <f t="shared" ref="BF73:BF136" si="147">BD73+BE73</f>
        <v>0</v>
      </c>
      <c r="BG73" s="58">
        <f t="shared" si="132"/>
        <v>0</v>
      </c>
      <c r="BH73" s="49">
        <f t="shared" si="133"/>
        <v>0</v>
      </c>
      <c r="BI73" s="61">
        <f t="shared" si="134"/>
        <v>0</v>
      </c>
      <c r="BK73" s="217">
        <f t="shared" si="111"/>
        <v>0</v>
      </c>
      <c r="BL73" s="213">
        <f t="shared" si="112"/>
        <v>0</v>
      </c>
      <c r="BM73" s="213">
        <f t="shared" si="113"/>
        <v>0</v>
      </c>
      <c r="BN73" s="61">
        <f t="shared" si="135"/>
        <v>0</v>
      </c>
      <c r="BO73" s="58">
        <v>0</v>
      </c>
      <c r="BP73" s="49">
        <f t="shared" si="136"/>
        <v>0</v>
      </c>
      <c r="BQ73" s="61">
        <f t="shared" ref="BQ73:BQ136" si="148">BO73+BP73</f>
        <v>0</v>
      </c>
      <c r="BR73" s="58">
        <f t="shared" si="137"/>
        <v>0</v>
      </c>
      <c r="BS73" s="49">
        <f t="shared" si="138"/>
        <v>0</v>
      </c>
      <c r="BT73" s="61">
        <f t="shared" ref="BT73:BT136" si="149">BS73+BR73</f>
        <v>0</v>
      </c>
      <c r="BU73" s="58">
        <f t="shared" si="114"/>
        <v>7.1048861642821154E-4</v>
      </c>
      <c r="BV73" s="49">
        <f t="shared" si="115"/>
        <v>3.6450000000000007E-3</v>
      </c>
      <c r="BW73" s="61">
        <f t="shared" si="116"/>
        <v>6.7499999999999999E-3</v>
      </c>
      <c r="BX73" s="49">
        <f t="shared" si="139"/>
        <v>0.27026547722311084</v>
      </c>
      <c r="BY73" s="49">
        <f t="shared" si="140"/>
        <v>0.36966030992626325</v>
      </c>
      <c r="BZ73" s="49">
        <f t="shared" si="141"/>
        <v>89.926579609389208</v>
      </c>
    </row>
    <row r="74" spans="17:78" x14ac:dyDescent="0.3">
      <c r="Q74" s="49">
        <v>67</v>
      </c>
      <c r="R74" s="217">
        <f t="shared" si="94"/>
        <v>3.35</v>
      </c>
      <c r="S74" s="213">
        <f t="shared" si="95"/>
        <v>15</v>
      </c>
      <c r="T74" s="218">
        <f t="shared" si="96"/>
        <v>0.22333333333333333</v>
      </c>
      <c r="U74" s="217">
        <f t="shared" si="97"/>
        <v>1</v>
      </c>
      <c r="V74" s="213">
        <f t="shared" si="98"/>
        <v>0.36606010435446251</v>
      </c>
      <c r="W74" s="213">
        <f t="shared" si="99"/>
        <v>2.9284808348356998E-2</v>
      </c>
      <c r="X74" s="213">
        <f t="shared" si="117"/>
        <v>0.60465508729718054</v>
      </c>
      <c r="Y74" s="217">
        <f t="shared" si="118"/>
        <v>0.61010017392410432</v>
      </c>
      <c r="Z74" s="213">
        <f t="shared" si="100"/>
        <v>1.2202003478482082</v>
      </c>
      <c r="AA74" s="213">
        <f t="shared" si="119"/>
        <v>1.2202003478482084</v>
      </c>
      <c r="AB74" s="218">
        <f t="shared" si="101"/>
        <v>0.42623265244811481</v>
      </c>
      <c r="AC74" s="217">
        <v>0</v>
      </c>
      <c r="AD74" s="213">
        <f t="shared" si="102"/>
        <v>0.20892541511489879</v>
      </c>
      <c r="AE74" s="218">
        <f t="shared" si="120"/>
        <v>0.20892541511489879</v>
      </c>
      <c r="AF74" s="58">
        <f t="shared" si="103"/>
        <v>6.7000000000000004E-2</v>
      </c>
      <c r="AG74" s="61">
        <f t="shared" si="104"/>
        <v>6.7000000000000004E-2</v>
      </c>
      <c r="AH74" s="58">
        <f t="shared" si="105"/>
        <v>1.2717199180906882E-2</v>
      </c>
      <c r="AI74" s="49">
        <f t="shared" si="106"/>
        <v>7.2494168114942293E-3</v>
      </c>
      <c r="AJ74" s="61">
        <f t="shared" si="121"/>
        <v>1.9966615992401113E-2</v>
      </c>
      <c r="AK74" s="217">
        <f t="shared" si="107"/>
        <v>3.35</v>
      </c>
      <c r="AL74" s="213">
        <f t="shared" si="108"/>
        <v>1500</v>
      </c>
      <c r="AM74" s="218">
        <f t="shared" si="122"/>
        <v>2.2333333333333333E-3</v>
      </c>
      <c r="AN74" s="217">
        <f t="shared" si="123"/>
        <v>2</v>
      </c>
      <c r="AO74" s="213">
        <f t="shared" si="124"/>
        <v>2.9284808348356998E-2</v>
      </c>
      <c r="AP74" s="213">
        <f t="shared" si="125"/>
        <v>7.626252174051304E-2</v>
      </c>
      <c r="AQ74" s="213">
        <f t="shared" si="126"/>
        <v>0.15252504348102602</v>
      </c>
      <c r="AR74" s="213">
        <f t="shared" si="142"/>
        <v>0.15252504348102605</v>
      </c>
      <c r="AS74" s="218">
        <f t="shared" si="143"/>
        <v>1.5069599945459543E-2</v>
      </c>
      <c r="AT74" s="217"/>
      <c r="AU74" s="213">
        <f t="shared" si="127"/>
        <v>1.3466999999999998E-4</v>
      </c>
      <c r="AV74" s="218">
        <f t="shared" si="144"/>
        <v>1.3466999999999998E-4</v>
      </c>
      <c r="AW74" s="217">
        <f t="shared" si="128"/>
        <v>0</v>
      </c>
      <c r="AX74" s="213">
        <f t="shared" si="129"/>
        <v>2.5683333333333331E-3</v>
      </c>
      <c r="AY74" s="218">
        <f t="shared" si="145"/>
        <v>2.5683333333333331E-3</v>
      </c>
      <c r="AZ74" s="217">
        <f t="shared" si="109"/>
        <v>0</v>
      </c>
      <c r="BA74" s="213">
        <f t="shared" si="110"/>
        <v>0</v>
      </c>
      <c r="BB74" s="213">
        <f t="shared" si="146"/>
        <v>0</v>
      </c>
      <c r="BC74" s="61">
        <f t="shared" si="130"/>
        <v>0</v>
      </c>
      <c r="BD74" s="58">
        <v>0</v>
      </c>
      <c r="BE74" s="49">
        <f t="shared" si="131"/>
        <v>0</v>
      </c>
      <c r="BF74" s="61">
        <f t="shared" si="147"/>
        <v>0</v>
      </c>
      <c r="BG74" s="58">
        <f t="shared" si="132"/>
        <v>0</v>
      </c>
      <c r="BH74" s="49">
        <f t="shared" si="133"/>
        <v>0</v>
      </c>
      <c r="BI74" s="61">
        <f t="shared" si="134"/>
        <v>0</v>
      </c>
      <c r="BK74" s="217">
        <f t="shared" si="111"/>
        <v>0</v>
      </c>
      <c r="BL74" s="213">
        <f t="shared" si="112"/>
        <v>0</v>
      </c>
      <c r="BM74" s="213">
        <f t="shared" si="113"/>
        <v>0</v>
      </c>
      <c r="BN74" s="61">
        <f t="shared" si="135"/>
        <v>0</v>
      </c>
      <c r="BO74" s="58">
        <v>0</v>
      </c>
      <c r="BP74" s="49">
        <f t="shared" si="136"/>
        <v>0</v>
      </c>
      <c r="BQ74" s="61">
        <f t="shared" si="148"/>
        <v>0</v>
      </c>
      <c r="BR74" s="58">
        <f t="shared" si="137"/>
        <v>0</v>
      </c>
      <c r="BS74" s="49">
        <f t="shared" si="138"/>
        <v>0</v>
      </c>
      <c r="BT74" s="61">
        <f t="shared" si="149"/>
        <v>0</v>
      </c>
      <c r="BU74" s="58">
        <f t="shared" si="114"/>
        <v>7.2669709605182177E-4</v>
      </c>
      <c r="BV74" s="49">
        <f t="shared" si="115"/>
        <v>3.6450000000000007E-3</v>
      </c>
      <c r="BW74" s="61">
        <f t="shared" si="116"/>
        <v>6.7499999999999999E-3</v>
      </c>
      <c r="BX74" s="49">
        <f t="shared" si="139"/>
        <v>0.27592541511489876</v>
      </c>
      <c r="BY74" s="49">
        <f t="shared" si="140"/>
        <v>0.37671673153668506</v>
      </c>
      <c r="BZ74" s="49">
        <f t="shared" si="141"/>
        <v>89.891457852195046</v>
      </c>
    </row>
    <row r="75" spans="17:78" x14ac:dyDescent="0.3">
      <c r="Q75" s="49">
        <v>68</v>
      </c>
      <c r="R75" s="217">
        <f t="shared" si="94"/>
        <v>3.4000000000000004</v>
      </c>
      <c r="S75" s="213">
        <f t="shared" si="95"/>
        <v>15</v>
      </c>
      <c r="T75" s="218">
        <f t="shared" si="96"/>
        <v>0.22666666666666668</v>
      </c>
      <c r="U75" s="217">
        <f t="shared" si="97"/>
        <v>1</v>
      </c>
      <c r="V75" s="213">
        <f t="shared" si="98"/>
        <v>0.36878177829171549</v>
      </c>
      <c r="W75" s="213">
        <f t="shared" si="99"/>
        <v>2.9502542263337237E-2</v>
      </c>
      <c r="X75" s="213">
        <f t="shared" si="117"/>
        <v>0.60171567944494719</v>
      </c>
      <c r="Y75" s="217">
        <f t="shared" si="118"/>
        <v>0.61463629715285928</v>
      </c>
      <c r="Z75" s="213">
        <f t="shared" si="100"/>
        <v>1.2292725943057183</v>
      </c>
      <c r="AA75" s="213">
        <f t="shared" si="119"/>
        <v>1.2292725943057183</v>
      </c>
      <c r="AB75" s="218">
        <f t="shared" si="101"/>
        <v>0.43099506677452259</v>
      </c>
      <c r="AC75" s="217">
        <v>0</v>
      </c>
      <c r="AD75" s="213">
        <f t="shared" si="102"/>
        <v>0.2136202597215715</v>
      </c>
      <c r="AE75" s="218">
        <f t="shared" si="120"/>
        <v>0.2136202597215715</v>
      </c>
      <c r="AF75" s="58">
        <f t="shared" si="103"/>
        <v>6.8000000000000005E-2</v>
      </c>
      <c r="AG75" s="61">
        <f t="shared" si="104"/>
        <v>6.8000000000000005E-2</v>
      </c>
      <c r="AH75" s="58">
        <f t="shared" si="105"/>
        <v>1.3002972330878266E-2</v>
      </c>
      <c r="AI75" s="49">
        <f t="shared" si="106"/>
        <v>7.3033165633694629E-3</v>
      </c>
      <c r="AJ75" s="61">
        <f t="shared" si="121"/>
        <v>2.030628889424773E-2</v>
      </c>
      <c r="AK75" s="217">
        <f t="shared" si="107"/>
        <v>3.4000000000000004</v>
      </c>
      <c r="AL75" s="213">
        <f t="shared" si="108"/>
        <v>1500</v>
      </c>
      <c r="AM75" s="218">
        <f t="shared" si="122"/>
        <v>2.2666666666666668E-3</v>
      </c>
      <c r="AN75" s="217">
        <f t="shared" si="123"/>
        <v>2</v>
      </c>
      <c r="AO75" s="213">
        <f t="shared" si="124"/>
        <v>2.9502542263337237E-2</v>
      </c>
      <c r="AP75" s="213">
        <f t="shared" si="125"/>
        <v>7.682953714410741E-2</v>
      </c>
      <c r="AQ75" s="213">
        <f t="shared" si="126"/>
        <v>0.15365907428821479</v>
      </c>
      <c r="AR75" s="213">
        <f t="shared" si="142"/>
        <v>0.15365907428821479</v>
      </c>
      <c r="AS75" s="218">
        <f t="shared" si="143"/>
        <v>1.5237976718710687E-2</v>
      </c>
      <c r="AT75" s="217"/>
      <c r="AU75" s="213">
        <f t="shared" si="127"/>
        <v>1.3872E-4</v>
      </c>
      <c r="AV75" s="218">
        <f t="shared" si="144"/>
        <v>1.3872E-4</v>
      </c>
      <c r="AW75" s="217">
        <f t="shared" si="128"/>
        <v>0</v>
      </c>
      <c r="AX75" s="213">
        <f t="shared" si="129"/>
        <v>2.6066666666666669E-3</v>
      </c>
      <c r="AY75" s="218">
        <f t="shared" si="145"/>
        <v>2.6066666666666669E-3</v>
      </c>
      <c r="AZ75" s="217">
        <f t="shared" si="109"/>
        <v>0</v>
      </c>
      <c r="BA75" s="213">
        <f t="shared" si="110"/>
        <v>0</v>
      </c>
      <c r="BB75" s="213">
        <f t="shared" si="146"/>
        <v>0</v>
      </c>
      <c r="BC75" s="61">
        <f t="shared" si="130"/>
        <v>0</v>
      </c>
      <c r="BD75" s="58">
        <v>0</v>
      </c>
      <c r="BE75" s="49">
        <f t="shared" si="131"/>
        <v>0</v>
      </c>
      <c r="BF75" s="61">
        <f t="shared" si="147"/>
        <v>0</v>
      </c>
      <c r="BG75" s="58">
        <f t="shared" si="132"/>
        <v>0</v>
      </c>
      <c r="BH75" s="49">
        <f t="shared" si="133"/>
        <v>0</v>
      </c>
      <c r="BI75" s="61">
        <f t="shared" si="134"/>
        <v>0</v>
      </c>
      <c r="BK75" s="217">
        <f t="shared" si="111"/>
        <v>0</v>
      </c>
      <c r="BL75" s="213">
        <f t="shared" si="112"/>
        <v>0</v>
      </c>
      <c r="BM75" s="213">
        <f t="shared" si="113"/>
        <v>0</v>
      </c>
      <c r="BN75" s="61">
        <f t="shared" si="135"/>
        <v>0</v>
      </c>
      <c r="BO75" s="58">
        <v>0</v>
      </c>
      <c r="BP75" s="49">
        <f t="shared" si="136"/>
        <v>0</v>
      </c>
      <c r="BQ75" s="61">
        <f t="shared" si="148"/>
        <v>0</v>
      </c>
      <c r="BR75" s="58">
        <f t="shared" si="137"/>
        <v>0</v>
      </c>
      <c r="BS75" s="49">
        <f t="shared" si="138"/>
        <v>0</v>
      </c>
      <c r="BT75" s="61">
        <f t="shared" si="149"/>
        <v>0</v>
      </c>
      <c r="BU75" s="58">
        <f t="shared" si="114"/>
        <v>7.4302699033590078E-4</v>
      </c>
      <c r="BV75" s="49">
        <f t="shared" si="115"/>
        <v>3.6450000000000007E-3</v>
      </c>
      <c r="BW75" s="61">
        <f t="shared" si="116"/>
        <v>6.7499999999999999E-3</v>
      </c>
      <c r="BX75" s="49">
        <f t="shared" si="139"/>
        <v>0.28162025972157151</v>
      </c>
      <c r="BY75" s="49">
        <f t="shared" si="140"/>
        <v>0.38380996227282183</v>
      </c>
      <c r="BZ75" s="49">
        <f t="shared" si="141"/>
        <v>89.85652117575485</v>
      </c>
    </row>
    <row r="76" spans="17:78" x14ac:dyDescent="0.3">
      <c r="Q76" s="49">
        <v>69</v>
      </c>
      <c r="R76" s="217">
        <f t="shared" si="94"/>
        <v>3.45</v>
      </c>
      <c r="S76" s="213">
        <f t="shared" si="95"/>
        <v>15</v>
      </c>
      <c r="T76" s="218">
        <f t="shared" si="96"/>
        <v>0.23</v>
      </c>
      <c r="U76" s="217">
        <f t="shared" si="97"/>
        <v>1</v>
      </c>
      <c r="V76" s="213">
        <f t="shared" si="98"/>
        <v>0.37148351242013422</v>
      </c>
      <c r="W76" s="213">
        <f t="shared" si="99"/>
        <v>2.9718680993610736E-2</v>
      </c>
      <c r="X76" s="213">
        <f t="shared" si="117"/>
        <v>0.59879780658625503</v>
      </c>
      <c r="Y76" s="217">
        <f t="shared" si="118"/>
        <v>0.61913918736689033</v>
      </c>
      <c r="Z76" s="213">
        <f t="shared" si="100"/>
        <v>1.2382783747337807</v>
      </c>
      <c r="AA76" s="213">
        <f t="shared" si="119"/>
        <v>1.2382783747337807</v>
      </c>
      <c r="AB76" s="218">
        <f t="shared" si="101"/>
        <v>0.43574000366332333</v>
      </c>
      <c r="AC76" s="217">
        <v>0</v>
      </c>
      <c r="AD76" s="213">
        <f t="shared" si="102"/>
        <v>0.21834975341138999</v>
      </c>
      <c r="AE76" s="218">
        <f t="shared" si="120"/>
        <v>0.21834975341138999</v>
      </c>
      <c r="AF76" s="58">
        <f t="shared" si="103"/>
        <v>6.9000000000000006E-2</v>
      </c>
      <c r="AG76" s="61">
        <f t="shared" si="104"/>
        <v>6.9000000000000006E-2</v>
      </c>
      <c r="AH76" s="58">
        <f t="shared" si="105"/>
        <v>1.3290854555475913E-2</v>
      </c>
      <c r="AI76" s="49">
        <f t="shared" si="106"/>
        <v>7.3568214293129536E-3</v>
      </c>
      <c r="AJ76" s="61">
        <f t="shared" si="121"/>
        <v>2.0647675984788866E-2</v>
      </c>
      <c r="AK76" s="217">
        <f t="shared" si="107"/>
        <v>3.45</v>
      </c>
      <c r="AL76" s="213">
        <f t="shared" si="108"/>
        <v>1500</v>
      </c>
      <c r="AM76" s="218">
        <f t="shared" si="122"/>
        <v>2.3E-3</v>
      </c>
      <c r="AN76" s="217">
        <f t="shared" si="123"/>
        <v>2</v>
      </c>
      <c r="AO76" s="213">
        <f t="shared" si="124"/>
        <v>2.9718680993610729E-2</v>
      </c>
      <c r="AP76" s="213">
        <f t="shared" si="125"/>
        <v>7.7392398420861305E-2</v>
      </c>
      <c r="AQ76" s="213">
        <f t="shared" si="126"/>
        <v>0.15478479684172253</v>
      </c>
      <c r="AR76" s="213">
        <f t="shared" si="142"/>
        <v>0.15478479684172258</v>
      </c>
      <c r="AS76" s="218">
        <f t="shared" si="143"/>
        <v>1.5405735571229354E-2</v>
      </c>
      <c r="AT76" s="217"/>
      <c r="AU76" s="213">
        <f t="shared" si="127"/>
        <v>1.4283000000000001E-4</v>
      </c>
      <c r="AV76" s="218">
        <f t="shared" si="144"/>
        <v>1.4283000000000001E-4</v>
      </c>
      <c r="AW76" s="217">
        <f t="shared" si="128"/>
        <v>0</v>
      </c>
      <c r="AX76" s="213">
        <f t="shared" si="129"/>
        <v>2.6449999999999998E-3</v>
      </c>
      <c r="AY76" s="218">
        <f t="shared" si="145"/>
        <v>2.6449999999999998E-3</v>
      </c>
      <c r="AZ76" s="217">
        <f t="shared" si="109"/>
        <v>0</v>
      </c>
      <c r="BA76" s="213">
        <f t="shared" si="110"/>
        <v>0</v>
      </c>
      <c r="BB76" s="213">
        <f t="shared" si="146"/>
        <v>0</v>
      </c>
      <c r="BC76" s="61">
        <f t="shared" si="130"/>
        <v>0</v>
      </c>
      <c r="BD76" s="58">
        <v>0</v>
      </c>
      <c r="BE76" s="49">
        <f t="shared" si="131"/>
        <v>0</v>
      </c>
      <c r="BF76" s="61">
        <f t="shared" si="147"/>
        <v>0</v>
      </c>
      <c r="BG76" s="58">
        <f t="shared" si="132"/>
        <v>0</v>
      </c>
      <c r="BH76" s="49">
        <f t="shared" si="133"/>
        <v>0</v>
      </c>
      <c r="BI76" s="61">
        <f t="shared" si="134"/>
        <v>0</v>
      </c>
      <c r="BK76" s="217">
        <f t="shared" si="111"/>
        <v>0</v>
      </c>
      <c r="BL76" s="213">
        <f t="shared" si="112"/>
        <v>0</v>
      </c>
      <c r="BM76" s="213">
        <f t="shared" si="113"/>
        <v>0</v>
      </c>
      <c r="BN76" s="61">
        <f t="shared" si="135"/>
        <v>0</v>
      </c>
      <c r="BO76" s="58">
        <v>0</v>
      </c>
      <c r="BP76" s="49">
        <f t="shared" si="136"/>
        <v>0</v>
      </c>
      <c r="BQ76" s="61">
        <f t="shared" si="148"/>
        <v>0</v>
      </c>
      <c r="BR76" s="58">
        <f t="shared" si="137"/>
        <v>0</v>
      </c>
      <c r="BS76" s="49">
        <f t="shared" si="138"/>
        <v>0</v>
      </c>
      <c r="BT76" s="61">
        <f t="shared" si="149"/>
        <v>0</v>
      </c>
      <c r="BU76" s="58">
        <f t="shared" si="114"/>
        <v>7.5947740317005208E-4</v>
      </c>
      <c r="BV76" s="49">
        <f t="shared" si="115"/>
        <v>3.6450000000000007E-3</v>
      </c>
      <c r="BW76" s="61">
        <f t="shared" si="116"/>
        <v>6.7499999999999999E-3</v>
      </c>
      <c r="BX76" s="49">
        <f t="shared" si="139"/>
        <v>0.28734975341139002</v>
      </c>
      <c r="BY76" s="49">
        <f t="shared" si="140"/>
        <v>0.3909397367993489</v>
      </c>
      <c r="BZ76" s="49">
        <f t="shared" si="141"/>
        <v>89.821768536126044</v>
      </c>
    </row>
    <row r="77" spans="17:78" x14ac:dyDescent="0.3">
      <c r="Q77" s="49">
        <v>70</v>
      </c>
      <c r="R77" s="217">
        <f t="shared" si="94"/>
        <v>3.5</v>
      </c>
      <c r="S77" s="213">
        <f t="shared" si="95"/>
        <v>15</v>
      </c>
      <c r="T77" s="218">
        <f t="shared" si="96"/>
        <v>0.23333333333333334</v>
      </c>
      <c r="U77" s="217">
        <f t="shared" si="97"/>
        <v>1</v>
      </c>
      <c r="V77" s="213">
        <f t="shared" si="98"/>
        <v>0.37416573867739411</v>
      </c>
      <c r="W77" s="213">
        <f t="shared" si="99"/>
        <v>2.9933259094191526E-2</v>
      </c>
      <c r="X77" s="213">
        <f t="shared" si="117"/>
        <v>0.59590100222841436</v>
      </c>
      <c r="Y77" s="217">
        <f t="shared" si="118"/>
        <v>0.62360956446232363</v>
      </c>
      <c r="Z77" s="213">
        <f t="shared" si="100"/>
        <v>1.247219128924647</v>
      </c>
      <c r="AA77" s="213">
        <f t="shared" si="119"/>
        <v>1.2472191289246473</v>
      </c>
      <c r="AB77" s="218">
        <f t="shared" si="101"/>
        <v>0.44046777918411872</v>
      </c>
      <c r="AC77" s="217">
        <v>0</v>
      </c>
      <c r="AD77" s="213">
        <f t="shared" si="102"/>
        <v>0.22311364417429802</v>
      </c>
      <c r="AE77" s="218">
        <f t="shared" si="120"/>
        <v>0.22311364417429802</v>
      </c>
      <c r="AF77" s="58">
        <f t="shared" si="103"/>
        <v>7.0000000000000007E-2</v>
      </c>
      <c r="AG77" s="61">
        <f t="shared" si="104"/>
        <v>7.0000000000000007E-2</v>
      </c>
      <c r="AH77" s="58">
        <f t="shared" si="105"/>
        <v>1.3580830514957272E-2</v>
      </c>
      <c r="AI77" s="49">
        <f t="shared" si="106"/>
        <v>7.4099399633741885E-3</v>
      </c>
      <c r="AJ77" s="61">
        <f t="shared" si="121"/>
        <v>2.099077047833146E-2</v>
      </c>
      <c r="AK77" s="217">
        <f t="shared" si="107"/>
        <v>3.5</v>
      </c>
      <c r="AL77" s="213">
        <f t="shared" si="108"/>
        <v>1500</v>
      </c>
      <c r="AM77" s="218">
        <f t="shared" si="122"/>
        <v>2.3333333333333335E-3</v>
      </c>
      <c r="AN77" s="217">
        <f t="shared" si="123"/>
        <v>1</v>
      </c>
      <c r="AO77" s="213">
        <f t="shared" si="124"/>
        <v>2.9933259094191537E-2</v>
      </c>
      <c r="AP77" s="213">
        <f t="shared" si="125"/>
        <v>7.795119555779044E-2</v>
      </c>
      <c r="AQ77" s="213">
        <f t="shared" si="126"/>
        <v>0.15590239111558091</v>
      </c>
      <c r="AR77" s="213">
        <f t="shared" si="142"/>
        <v>0.15590239111558091</v>
      </c>
      <c r="AS77" s="218">
        <f t="shared" si="143"/>
        <v>1.557288767776346E-2</v>
      </c>
      <c r="AT77" s="217"/>
      <c r="AU77" s="213">
        <f t="shared" si="127"/>
        <v>1.4700000000000002E-4</v>
      </c>
      <c r="AV77" s="218">
        <f t="shared" si="144"/>
        <v>1.4700000000000002E-4</v>
      </c>
      <c r="AW77" s="217">
        <f t="shared" si="128"/>
        <v>0</v>
      </c>
      <c r="AX77" s="213">
        <f t="shared" si="129"/>
        <v>2.6833333333333331E-3</v>
      </c>
      <c r="AY77" s="218">
        <f t="shared" si="145"/>
        <v>2.6833333333333331E-3</v>
      </c>
      <c r="AZ77" s="217">
        <f t="shared" si="109"/>
        <v>0</v>
      </c>
      <c r="BA77" s="213">
        <f t="shared" si="110"/>
        <v>0</v>
      </c>
      <c r="BB77" s="213">
        <f t="shared" si="146"/>
        <v>0</v>
      </c>
      <c r="BC77" s="61">
        <f t="shared" si="130"/>
        <v>0</v>
      </c>
      <c r="BD77" s="58">
        <v>0</v>
      </c>
      <c r="BE77" s="49">
        <f t="shared" si="131"/>
        <v>0</v>
      </c>
      <c r="BF77" s="61">
        <f t="shared" si="147"/>
        <v>0</v>
      </c>
      <c r="BG77" s="58">
        <f t="shared" si="132"/>
        <v>0</v>
      </c>
      <c r="BH77" s="49">
        <f t="shared" si="133"/>
        <v>0</v>
      </c>
      <c r="BI77" s="61">
        <f t="shared" si="134"/>
        <v>0</v>
      </c>
      <c r="BK77" s="217">
        <f t="shared" si="111"/>
        <v>0</v>
      </c>
      <c r="BL77" s="213">
        <f t="shared" si="112"/>
        <v>0</v>
      </c>
      <c r="BM77" s="213">
        <f t="shared" si="113"/>
        <v>0</v>
      </c>
      <c r="BN77" s="61">
        <f t="shared" si="135"/>
        <v>0</v>
      </c>
      <c r="BO77" s="58">
        <v>0</v>
      </c>
      <c r="BP77" s="49">
        <f t="shared" si="136"/>
        <v>0</v>
      </c>
      <c r="BQ77" s="61">
        <f t="shared" si="148"/>
        <v>0</v>
      </c>
      <c r="BR77" s="58">
        <f t="shared" si="137"/>
        <v>0</v>
      </c>
      <c r="BS77" s="49">
        <f t="shared" si="138"/>
        <v>0</v>
      </c>
      <c r="BT77" s="61">
        <f t="shared" si="149"/>
        <v>0</v>
      </c>
      <c r="BU77" s="58">
        <f t="shared" si="114"/>
        <v>7.7604745799755826E-4</v>
      </c>
      <c r="BV77" s="49">
        <f t="shared" si="115"/>
        <v>3.6450000000000007E-3</v>
      </c>
      <c r="BW77" s="61">
        <f t="shared" si="116"/>
        <v>6.7499999999999999E-3</v>
      </c>
      <c r="BX77" s="49">
        <f t="shared" si="139"/>
        <v>0.29311364417429803</v>
      </c>
      <c r="BY77" s="49">
        <f t="shared" si="140"/>
        <v>0.39810579544396035</v>
      </c>
      <c r="BZ77" s="49">
        <f t="shared" si="141"/>
        <v>89.787198800267049</v>
      </c>
    </row>
    <row r="78" spans="17:78" x14ac:dyDescent="0.3">
      <c r="Q78" s="49">
        <v>71</v>
      </c>
      <c r="R78" s="217">
        <f t="shared" si="94"/>
        <v>3.5500000000000003</v>
      </c>
      <c r="S78" s="213">
        <f t="shared" si="95"/>
        <v>15</v>
      </c>
      <c r="T78" s="218">
        <f t="shared" si="96"/>
        <v>0.23666666666666669</v>
      </c>
      <c r="U78" s="217">
        <f t="shared" si="97"/>
        <v>1</v>
      </c>
      <c r="V78" s="213">
        <f t="shared" si="98"/>
        <v>0.37682887362833545</v>
      </c>
      <c r="W78" s="213">
        <f t="shared" si="99"/>
        <v>3.0146309890266836E-2</v>
      </c>
      <c r="X78" s="213">
        <f t="shared" si="117"/>
        <v>0.59302481648139782</v>
      </c>
      <c r="Y78" s="217">
        <f t="shared" si="118"/>
        <v>0.62804812271389243</v>
      </c>
      <c r="Z78" s="213">
        <f t="shared" si="100"/>
        <v>1.2560962454277849</v>
      </c>
      <c r="AA78" s="213">
        <f t="shared" si="119"/>
        <v>1.2560962454277849</v>
      </c>
      <c r="AB78" s="218">
        <f t="shared" si="101"/>
        <v>0.44517869926424614</v>
      </c>
      <c r="AC78" s="217">
        <v>0</v>
      </c>
      <c r="AD78" s="213">
        <f t="shared" si="102"/>
        <v>0.22791168542039705</v>
      </c>
      <c r="AE78" s="218">
        <f t="shared" si="120"/>
        <v>0.22791168542039705</v>
      </c>
      <c r="AF78" s="58">
        <f t="shared" si="103"/>
        <v>7.1000000000000008E-2</v>
      </c>
      <c r="AG78" s="61">
        <f t="shared" si="104"/>
        <v>7.1000000000000008E-2</v>
      </c>
      <c r="AH78" s="58">
        <f t="shared" si="105"/>
        <v>1.3872885199502428E-2</v>
      </c>
      <c r="AI78" s="49">
        <f t="shared" si="106"/>
        <v>7.4626804151605901E-3</v>
      </c>
      <c r="AJ78" s="61">
        <f t="shared" si="121"/>
        <v>2.1335565614663019E-2</v>
      </c>
      <c r="AK78" s="217">
        <f t="shared" si="107"/>
        <v>3.5500000000000003</v>
      </c>
      <c r="AL78" s="213">
        <f t="shared" si="108"/>
        <v>1500</v>
      </c>
      <c r="AM78" s="218">
        <f t="shared" si="122"/>
        <v>2.3666666666666667E-3</v>
      </c>
      <c r="AN78" s="217">
        <f t="shared" si="123"/>
        <v>2</v>
      </c>
      <c r="AO78" s="213">
        <f t="shared" si="124"/>
        <v>3.0146309890266832E-2</v>
      </c>
      <c r="AP78" s="213">
        <f t="shared" si="125"/>
        <v>7.8506015339236554E-2</v>
      </c>
      <c r="AQ78" s="213">
        <f t="shared" si="126"/>
        <v>0.15701203067847308</v>
      </c>
      <c r="AR78" s="213">
        <f t="shared" si="142"/>
        <v>0.15701203067847308</v>
      </c>
      <c r="AS78" s="218">
        <f t="shared" si="143"/>
        <v>1.5739443854477751E-2</v>
      </c>
      <c r="AT78" s="217"/>
      <c r="AU78" s="213">
        <f t="shared" si="127"/>
        <v>1.5123E-4</v>
      </c>
      <c r="AV78" s="218">
        <f t="shared" si="144"/>
        <v>1.5123E-4</v>
      </c>
      <c r="AW78" s="217">
        <f t="shared" si="128"/>
        <v>0</v>
      </c>
      <c r="AX78" s="213">
        <f t="shared" si="129"/>
        <v>2.7216666666666665E-3</v>
      </c>
      <c r="AY78" s="218">
        <f t="shared" si="145"/>
        <v>2.7216666666666665E-3</v>
      </c>
      <c r="AZ78" s="217">
        <f t="shared" si="109"/>
        <v>0</v>
      </c>
      <c r="BA78" s="213">
        <f t="shared" si="110"/>
        <v>0</v>
      </c>
      <c r="BB78" s="213">
        <f t="shared" si="146"/>
        <v>0</v>
      </c>
      <c r="BC78" s="61">
        <f t="shared" si="130"/>
        <v>0</v>
      </c>
      <c r="BD78" s="58">
        <v>0</v>
      </c>
      <c r="BE78" s="49">
        <f t="shared" si="131"/>
        <v>0</v>
      </c>
      <c r="BF78" s="61">
        <f t="shared" si="147"/>
        <v>0</v>
      </c>
      <c r="BG78" s="58">
        <f t="shared" si="132"/>
        <v>0</v>
      </c>
      <c r="BH78" s="49">
        <f t="shared" si="133"/>
        <v>0</v>
      </c>
      <c r="BI78" s="61">
        <f t="shared" si="134"/>
        <v>0</v>
      </c>
      <c r="BK78" s="217">
        <f t="shared" si="111"/>
        <v>0</v>
      </c>
      <c r="BL78" s="213">
        <f t="shared" si="112"/>
        <v>0</v>
      </c>
      <c r="BM78" s="213">
        <f t="shared" si="113"/>
        <v>0</v>
      </c>
      <c r="BN78" s="61">
        <f t="shared" si="135"/>
        <v>0</v>
      </c>
      <c r="BO78" s="58">
        <v>0</v>
      </c>
      <c r="BP78" s="49">
        <f t="shared" si="136"/>
        <v>0</v>
      </c>
      <c r="BQ78" s="61">
        <f t="shared" si="148"/>
        <v>0</v>
      </c>
      <c r="BR78" s="58">
        <f t="shared" si="137"/>
        <v>0</v>
      </c>
      <c r="BS78" s="49">
        <f t="shared" si="138"/>
        <v>0</v>
      </c>
      <c r="BT78" s="61">
        <f t="shared" si="149"/>
        <v>0</v>
      </c>
      <c r="BU78" s="58">
        <f t="shared" si="114"/>
        <v>7.9273629711442437E-4</v>
      </c>
      <c r="BV78" s="49">
        <f t="shared" si="115"/>
        <v>3.6450000000000007E-3</v>
      </c>
      <c r="BW78" s="61">
        <f t="shared" si="116"/>
        <v>6.7499999999999999E-3</v>
      </c>
      <c r="BX78" s="49">
        <f t="shared" si="139"/>
        <v>0.29891168542039703</v>
      </c>
      <c r="BY78" s="49">
        <f t="shared" si="140"/>
        <v>0.40530788399884116</v>
      </c>
      <c r="BZ78" s="49">
        <f t="shared" si="141"/>
        <v>89.752810757450504</v>
      </c>
    </row>
    <row r="79" spans="17:78" x14ac:dyDescent="0.3">
      <c r="Q79" s="49">
        <v>72</v>
      </c>
      <c r="R79" s="217">
        <f t="shared" si="94"/>
        <v>3.6</v>
      </c>
      <c r="S79" s="213">
        <f t="shared" si="95"/>
        <v>15</v>
      </c>
      <c r="T79" s="218">
        <f t="shared" si="96"/>
        <v>0.24000000000000002</v>
      </c>
      <c r="U79" s="217">
        <f t="shared" si="97"/>
        <v>1</v>
      </c>
      <c r="V79" s="213">
        <f t="shared" si="98"/>
        <v>0.3794733192202055</v>
      </c>
      <c r="W79" s="213">
        <f t="shared" si="99"/>
        <v>3.0357865537616439E-2</v>
      </c>
      <c r="X79" s="213">
        <f t="shared" si="117"/>
        <v>0.59016881524217801</v>
      </c>
      <c r="Y79" s="217">
        <f t="shared" si="118"/>
        <v>0.63245553203367599</v>
      </c>
      <c r="Z79" s="213">
        <f t="shared" si="100"/>
        <v>1.2649110640673515</v>
      </c>
      <c r="AA79" s="213">
        <f t="shared" si="119"/>
        <v>1.2649110640673518</v>
      </c>
      <c r="AB79" s="218">
        <f t="shared" si="101"/>
        <v>0.44987306015227924</v>
      </c>
      <c r="AC79" s="217">
        <v>0</v>
      </c>
      <c r="AD79" s="213">
        <f t="shared" si="102"/>
        <v>0.23274363578839272</v>
      </c>
      <c r="AE79" s="218">
        <f t="shared" si="120"/>
        <v>0.23274363578839272</v>
      </c>
      <c r="AF79" s="58">
        <f t="shared" si="103"/>
        <v>7.2000000000000008E-2</v>
      </c>
      <c r="AG79" s="61">
        <f t="shared" si="104"/>
        <v>7.2000000000000008E-2</v>
      </c>
      <c r="AH79" s="58">
        <f t="shared" si="105"/>
        <v>1.4167003917554339E-2</v>
      </c>
      <c r="AI79" s="49">
        <f t="shared" si="106"/>
        <v>7.5150507447942771E-3</v>
      </c>
      <c r="AJ79" s="61">
        <f t="shared" si="121"/>
        <v>2.1682054662348616E-2</v>
      </c>
      <c r="AK79" s="217">
        <f t="shared" si="107"/>
        <v>3.6</v>
      </c>
      <c r="AL79" s="213">
        <f t="shared" si="108"/>
        <v>1500</v>
      </c>
      <c r="AM79" s="218">
        <f t="shared" si="122"/>
        <v>2.4000000000000002E-3</v>
      </c>
      <c r="AN79" s="217">
        <f t="shared" si="123"/>
        <v>2</v>
      </c>
      <c r="AO79" s="213">
        <f t="shared" si="124"/>
        <v>3.0357865537616439E-2</v>
      </c>
      <c r="AP79" s="213">
        <f t="shared" si="125"/>
        <v>7.9056941504209499E-2</v>
      </c>
      <c r="AQ79" s="213">
        <f t="shared" si="126"/>
        <v>0.15811388300841894</v>
      </c>
      <c r="AR79" s="213">
        <f t="shared" si="142"/>
        <v>0.15811388300841897</v>
      </c>
      <c r="AS79" s="218">
        <f t="shared" si="143"/>
        <v>1.5905414575341014E-2</v>
      </c>
      <c r="AT79" s="217"/>
      <c r="AU79" s="213">
        <f t="shared" si="127"/>
        <v>1.5552000000000003E-4</v>
      </c>
      <c r="AV79" s="218">
        <f t="shared" si="144"/>
        <v>1.5552000000000003E-4</v>
      </c>
      <c r="AW79" s="217">
        <f t="shared" si="128"/>
        <v>0</v>
      </c>
      <c r="AX79" s="213">
        <f t="shared" si="129"/>
        <v>2.7599999999999999E-3</v>
      </c>
      <c r="AY79" s="218">
        <f t="shared" si="145"/>
        <v>2.7599999999999999E-3</v>
      </c>
      <c r="AZ79" s="217">
        <f t="shared" si="109"/>
        <v>0</v>
      </c>
      <c r="BA79" s="213">
        <f t="shared" si="110"/>
        <v>0</v>
      </c>
      <c r="BB79" s="213">
        <f t="shared" si="146"/>
        <v>0</v>
      </c>
      <c r="BC79" s="61">
        <f t="shared" si="130"/>
        <v>0</v>
      </c>
      <c r="BD79" s="58">
        <v>0</v>
      </c>
      <c r="BE79" s="49">
        <f t="shared" si="131"/>
        <v>0</v>
      </c>
      <c r="BF79" s="61">
        <f t="shared" si="147"/>
        <v>0</v>
      </c>
      <c r="BG79" s="58">
        <f t="shared" si="132"/>
        <v>0</v>
      </c>
      <c r="BH79" s="49">
        <f t="shared" si="133"/>
        <v>0</v>
      </c>
      <c r="BI79" s="61">
        <f t="shared" si="134"/>
        <v>0</v>
      </c>
      <c r="BK79" s="217">
        <f t="shared" si="111"/>
        <v>0</v>
      </c>
      <c r="BL79" s="213">
        <f t="shared" si="112"/>
        <v>0</v>
      </c>
      <c r="BM79" s="213">
        <f t="shared" si="113"/>
        <v>0</v>
      </c>
      <c r="BN79" s="61">
        <f t="shared" si="135"/>
        <v>0</v>
      </c>
      <c r="BO79" s="58">
        <v>0</v>
      </c>
      <c r="BP79" s="49">
        <f t="shared" si="136"/>
        <v>0</v>
      </c>
      <c r="BQ79" s="61">
        <f t="shared" si="148"/>
        <v>0</v>
      </c>
      <c r="BR79" s="58">
        <f t="shared" si="137"/>
        <v>0</v>
      </c>
      <c r="BS79" s="49">
        <f t="shared" si="138"/>
        <v>0</v>
      </c>
      <c r="BT79" s="61">
        <f t="shared" si="149"/>
        <v>0</v>
      </c>
      <c r="BU79" s="58">
        <f t="shared" si="114"/>
        <v>8.0954308100310507E-4</v>
      </c>
      <c r="BV79" s="49">
        <f t="shared" si="115"/>
        <v>3.6450000000000007E-3</v>
      </c>
      <c r="BW79" s="61">
        <f t="shared" si="116"/>
        <v>6.7499999999999999E-3</v>
      </c>
      <c r="BX79" s="49">
        <f t="shared" si="139"/>
        <v>0.3047436357883927</v>
      </c>
      <c r="BY79" s="49">
        <f t="shared" si="140"/>
        <v>0.41254575353174444</v>
      </c>
      <c r="BZ79" s="49">
        <f t="shared" si="141"/>
        <v>89.718603129481281</v>
      </c>
    </row>
    <row r="80" spans="17:78" x14ac:dyDescent="0.3">
      <c r="Q80" s="49">
        <v>73</v>
      </c>
      <c r="R80" s="217">
        <f t="shared" si="94"/>
        <v>3.6500000000000004</v>
      </c>
      <c r="S80" s="213">
        <f t="shared" si="95"/>
        <v>15</v>
      </c>
      <c r="T80" s="218">
        <f t="shared" si="96"/>
        <v>0.24333333333333335</v>
      </c>
      <c r="U80" s="217">
        <f t="shared" si="97"/>
        <v>1</v>
      </c>
      <c r="V80" s="213">
        <f t="shared" si="98"/>
        <v>0.38209946349085605</v>
      </c>
      <c r="W80" s="213">
        <f t="shared" si="99"/>
        <v>3.0567957079268487E-2</v>
      </c>
      <c r="X80" s="213">
        <f t="shared" si="117"/>
        <v>0.58733257942987538</v>
      </c>
      <c r="Y80" s="217">
        <f t="shared" si="118"/>
        <v>0.63683243915142662</v>
      </c>
      <c r="Z80" s="213">
        <f t="shared" si="100"/>
        <v>1.2736648783028537</v>
      </c>
      <c r="AA80" s="213">
        <f t="shared" si="119"/>
        <v>1.2736648783028535</v>
      </c>
      <c r="AB80" s="218">
        <f t="shared" si="101"/>
        <v>0.45455114885421322</v>
      </c>
      <c r="AC80" s="217">
        <v>0</v>
      </c>
      <c r="AD80" s="213">
        <f t="shared" si="102"/>
        <v>0.23760925896338789</v>
      </c>
      <c r="AE80" s="218">
        <f t="shared" si="120"/>
        <v>0.23760925896338789</v>
      </c>
      <c r="AF80" s="58">
        <f t="shared" si="103"/>
        <v>7.3000000000000009E-2</v>
      </c>
      <c r="AG80" s="61">
        <f t="shared" si="104"/>
        <v>7.3000000000000009E-2</v>
      </c>
      <c r="AH80" s="58">
        <f t="shared" si="105"/>
        <v>1.4463172284727958E-2</v>
      </c>
      <c r="AI80" s="49">
        <f t="shared" si="106"/>
        <v>7.5670586369371131E-3</v>
      </c>
      <c r="AJ80" s="61">
        <f t="shared" si="121"/>
        <v>2.2030230921665072E-2</v>
      </c>
      <c r="AK80" s="217">
        <f t="shared" si="107"/>
        <v>3.6500000000000004</v>
      </c>
      <c r="AL80" s="213">
        <f t="shared" si="108"/>
        <v>1500</v>
      </c>
      <c r="AM80" s="218">
        <f t="shared" si="122"/>
        <v>2.4333333333333334E-3</v>
      </c>
      <c r="AN80" s="217">
        <f t="shared" si="123"/>
        <v>1</v>
      </c>
      <c r="AO80" s="213">
        <f t="shared" si="124"/>
        <v>3.0567957079268484E-2</v>
      </c>
      <c r="AP80" s="213">
        <f t="shared" si="125"/>
        <v>7.9604054893928328E-2</v>
      </c>
      <c r="AQ80" s="213">
        <f t="shared" si="126"/>
        <v>0.15920810978785671</v>
      </c>
      <c r="AR80" s="213">
        <f t="shared" si="142"/>
        <v>0.15920810978785668</v>
      </c>
      <c r="AS80" s="218">
        <f t="shared" si="143"/>
        <v>1.6070809987547501E-2</v>
      </c>
      <c r="AT80" s="217"/>
      <c r="AU80" s="213">
        <f t="shared" si="127"/>
        <v>1.5987E-4</v>
      </c>
      <c r="AV80" s="218">
        <f t="shared" si="144"/>
        <v>1.5987E-4</v>
      </c>
      <c r="AW80" s="217">
        <f t="shared" si="128"/>
        <v>0</v>
      </c>
      <c r="AX80" s="213">
        <f t="shared" si="129"/>
        <v>2.7983333333333332E-3</v>
      </c>
      <c r="AY80" s="218">
        <f t="shared" si="145"/>
        <v>2.7983333333333332E-3</v>
      </c>
      <c r="AZ80" s="217">
        <f t="shared" si="109"/>
        <v>0</v>
      </c>
      <c r="BA80" s="213">
        <f t="shared" si="110"/>
        <v>0</v>
      </c>
      <c r="BB80" s="213">
        <f t="shared" si="146"/>
        <v>0</v>
      </c>
      <c r="BC80" s="61">
        <f t="shared" si="130"/>
        <v>0</v>
      </c>
      <c r="BD80" s="58">
        <v>0</v>
      </c>
      <c r="BE80" s="49">
        <f t="shared" si="131"/>
        <v>0</v>
      </c>
      <c r="BF80" s="61">
        <f t="shared" si="147"/>
        <v>0</v>
      </c>
      <c r="BG80" s="58">
        <f t="shared" si="132"/>
        <v>0</v>
      </c>
      <c r="BH80" s="49">
        <f t="shared" si="133"/>
        <v>0</v>
      </c>
      <c r="BI80" s="61">
        <f t="shared" si="134"/>
        <v>0</v>
      </c>
      <c r="BK80" s="217">
        <f t="shared" si="111"/>
        <v>0</v>
      </c>
      <c r="BL80" s="213">
        <f t="shared" si="112"/>
        <v>0</v>
      </c>
      <c r="BM80" s="213">
        <f t="shared" si="113"/>
        <v>0</v>
      </c>
      <c r="BN80" s="61">
        <f t="shared" ref="BN80:BN111" si="150">IF(EN_OUT_3=1,BK80/BL80,0)</f>
        <v>0</v>
      </c>
      <c r="BO80" s="58">
        <v>0</v>
      </c>
      <c r="BP80" s="49">
        <f t="shared" si="136"/>
        <v>0</v>
      </c>
      <c r="BQ80" s="61">
        <f t="shared" si="148"/>
        <v>0</v>
      </c>
      <c r="BR80" s="58">
        <f t="shared" si="137"/>
        <v>0</v>
      </c>
      <c r="BS80" s="49">
        <f t="shared" si="138"/>
        <v>0</v>
      </c>
      <c r="BT80" s="61">
        <f t="shared" si="149"/>
        <v>0</v>
      </c>
      <c r="BU80" s="58">
        <f t="shared" si="114"/>
        <v>8.2646698769874038E-4</v>
      </c>
      <c r="BV80" s="49">
        <f t="shared" si="115"/>
        <v>3.6450000000000007E-3</v>
      </c>
      <c r="BW80" s="61">
        <f t="shared" si="116"/>
        <v>6.7499999999999999E-3</v>
      </c>
      <c r="BX80" s="49">
        <f t="shared" si="139"/>
        <v>0.31060925896338787</v>
      </c>
      <c r="BY80" s="49">
        <f t="shared" si="140"/>
        <v>0.41981916020608506</v>
      </c>
      <c r="BZ80" s="49">
        <f t="shared" si="141"/>
        <v>89.684574579848743</v>
      </c>
    </row>
    <row r="81" spans="17:78" x14ac:dyDescent="0.3">
      <c r="Q81" s="49">
        <v>74</v>
      </c>
      <c r="R81" s="217">
        <f t="shared" si="94"/>
        <v>3.7</v>
      </c>
      <c r="S81" s="213">
        <f t="shared" si="95"/>
        <v>15</v>
      </c>
      <c r="T81" s="218">
        <f t="shared" si="96"/>
        <v>0.24666666666666667</v>
      </c>
      <c r="U81" s="217">
        <f t="shared" si="97"/>
        <v>1</v>
      </c>
      <c r="V81" s="213">
        <f t="shared" si="98"/>
        <v>0.38470768123342691</v>
      </c>
      <c r="W81" s="213">
        <f t="shared" si="99"/>
        <v>3.0776614498674155E-2</v>
      </c>
      <c r="X81" s="213">
        <f t="shared" si="117"/>
        <v>0.58451570426789889</v>
      </c>
      <c r="Y81" s="217">
        <f t="shared" si="118"/>
        <v>0.64117946872237819</v>
      </c>
      <c r="Z81" s="213">
        <f t="shared" si="100"/>
        <v>1.2823589374447564</v>
      </c>
      <c r="AA81" s="213">
        <f t="shared" si="119"/>
        <v>1.2823589374447564</v>
      </c>
      <c r="AB81" s="218">
        <f t="shared" si="101"/>
        <v>0.45921324354429399</v>
      </c>
      <c r="AC81" s="217">
        <v>0</v>
      </c>
      <c r="AD81" s="213">
        <f t="shared" si="102"/>
        <v>0.24250832350344176</v>
      </c>
      <c r="AE81" s="218">
        <f t="shared" si="120"/>
        <v>0.24250832350344176</v>
      </c>
      <c r="AF81" s="58">
        <f t="shared" si="103"/>
        <v>7.400000000000001E-2</v>
      </c>
      <c r="AG81" s="61">
        <f t="shared" si="104"/>
        <v>7.400000000000001E-2</v>
      </c>
      <c r="AH81" s="58">
        <f t="shared" si="105"/>
        <v>1.4761376213252977E-2</v>
      </c>
      <c r="AI81" s="49">
        <f t="shared" si="106"/>
        <v>7.6187115139540584E-3</v>
      </c>
      <c r="AJ81" s="61">
        <f t="shared" si="121"/>
        <v>2.2380087727207038E-2</v>
      </c>
      <c r="AK81" s="217">
        <f t="shared" si="107"/>
        <v>3.7</v>
      </c>
      <c r="AL81" s="213">
        <f t="shared" si="108"/>
        <v>1500</v>
      </c>
      <c r="AM81" s="218">
        <f t="shared" si="122"/>
        <v>2.4666666666666669E-3</v>
      </c>
      <c r="AN81" s="217">
        <f t="shared" si="123"/>
        <v>2</v>
      </c>
      <c r="AO81" s="213">
        <f t="shared" si="124"/>
        <v>3.0776614498674155E-2</v>
      </c>
      <c r="AP81" s="213">
        <f t="shared" si="125"/>
        <v>8.0147433590297273E-2</v>
      </c>
      <c r="AQ81" s="213">
        <f t="shared" si="126"/>
        <v>0.16029486718059455</v>
      </c>
      <c r="AR81" s="213">
        <f t="shared" si="142"/>
        <v>0.16029486718059455</v>
      </c>
      <c r="AS81" s="218">
        <f t="shared" si="143"/>
        <v>1.6235639926041989E-2</v>
      </c>
      <c r="AT81" s="217"/>
      <c r="AU81" s="213">
        <f t="shared" si="127"/>
        <v>1.6428000000000002E-4</v>
      </c>
      <c r="AV81" s="218">
        <f t="shared" si="144"/>
        <v>1.6428000000000002E-4</v>
      </c>
      <c r="AW81" s="217">
        <f t="shared" si="128"/>
        <v>0</v>
      </c>
      <c r="AX81" s="213">
        <f t="shared" si="129"/>
        <v>2.8366666666666666E-3</v>
      </c>
      <c r="AY81" s="218">
        <f t="shared" si="145"/>
        <v>2.8366666666666666E-3</v>
      </c>
      <c r="AZ81" s="217">
        <f t="shared" si="109"/>
        <v>0</v>
      </c>
      <c r="BA81" s="213">
        <f t="shared" si="110"/>
        <v>0</v>
      </c>
      <c r="BB81" s="213">
        <f t="shared" si="146"/>
        <v>0</v>
      </c>
      <c r="BC81" s="61">
        <f t="shared" si="130"/>
        <v>0</v>
      </c>
      <c r="BD81" s="58">
        <v>0</v>
      </c>
      <c r="BE81" s="49">
        <f t="shared" si="131"/>
        <v>0</v>
      </c>
      <c r="BF81" s="61">
        <f t="shared" si="147"/>
        <v>0</v>
      </c>
      <c r="BG81" s="58">
        <f t="shared" si="132"/>
        <v>0</v>
      </c>
      <c r="BH81" s="49">
        <f t="shared" si="133"/>
        <v>0</v>
      </c>
      <c r="BI81" s="61">
        <f t="shared" si="134"/>
        <v>0</v>
      </c>
      <c r="BK81" s="217">
        <f t="shared" si="111"/>
        <v>0</v>
      </c>
      <c r="BL81" s="213">
        <f t="shared" si="112"/>
        <v>0</v>
      </c>
      <c r="BM81" s="213">
        <f t="shared" si="113"/>
        <v>0</v>
      </c>
      <c r="BN81" s="61">
        <f t="shared" si="150"/>
        <v>0</v>
      </c>
      <c r="BO81" s="58">
        <v>0</v>
      </c>
      <c r="BP81" s="49">
        <f t="shared" si="136"/>
        <v>0</v>
      </c>
      <c r="BQ81" s="61">
        <f t="shared" si="148"/>
        <v>0</v>
      </c>
      <c r="BR81" s="58">
        <f t="shared" si="137"/>
        <v>0</v>
      </c>
      <c r="BS81" s="49">
        <f t="shared" si="138"/>
        <v>0</v>
      </c>
      <c r="BT81" s="61">
        <f t="shared" si="149"/>
        <v>0</v>
      </c>
      <c r="BU81" s="58">
        <f t="shared" si="114"/>
        <v>8.4350721218588438E-4</v>
      </c>
      <c r="BV81" s="49">
        <f t="shared" si="115"/>
        <v>3.6450000000000007E-3</v>
      </c>
      <c r="BW81" s="61">
        <f t="shared" si="116"/>
        <v>6.7499999999999999E-3</v>
      </c>
      <c r="BX81" s="49">
        <f t="shared" si="139"/>
        <v>0.31650832350344177</v>
      </c>
      <c r="BY81" s="49">
        <f t="shared" si="140"/>
        <v>0.42712786510950135</v>
      </c>
      <c r="BZ81" s="49">
        <f t="shared" si="141"/>
        <v>89.65072372192742</v>
      </c>
    </row>
    <row r="82" spans="17:78" x14ac:dyDescent="0.3">
      <c r="Q82" s="49">
        <v>75</v>
      </c>
      <c r="R82" s="217">
        <f t="shared" si="94"/>
        <v>3.75</v>
      </c>
      <c r="S82" s="213">
        <f t="shared" si="95"/>
        <v>15</v>
      </c>
      <c r="T82" s="218">
        <f t="shared" si="96"/>
        <v>0.25</v>
      </c>
      <c r="U82" s="217">
        <f t="shared" si="97"/>
        <v>1</v>
      </c>
      <c r="V82" s="213">
        <f t="shared" si="98"/>
        <v>0.38729833462074165</v>
      </c>
      <c r="W82" s="213">
        <f t="shared" si="99"/>
        <v>3.0983866769659335E-2</v>
      </c>
      <c r="X82" s="213">
        <f t="shared" si="117"/>
        <v>0.58171779860959894</v>
      </c>
      <c r="Y82" s="217">
        <f t="shared" si="118"/>
        <v>0.6454972243679028</v>
      </c>
      <c r="Z82" s="213">
        <f t="shared" si="100"/>
        <v>1.2909944487358056</v>
      </c>
      <c r="AA82" s="213">
        <f t="shared" si="119"/>
        <v>1.2909944487358056</v>
      </c>
      <c r="AB82" s="218">
        <f t="shared" si="101"/>
        <v>0.46385961395229008</v>
      </c>
      <c r="AC82" s="217">
        <v>0</v>
      </c>
      <c r="AD82" s="213">
        <f t="shared" si="102"/>
        <v>0.24744060267436277</v>
      </c>
      <c r="AE82" s="218">
        <f t="shared" si="120"/>
        <v>0.24744060267436277</v>
      </c>
      <c r="AF82" s="58">
        <f t="shared" si="103"/>
        <v>7.4999999999999997E-2</v>
      </c>
      <c r="AG82" s="61">
        <f t="shared" si="104"/>
        <v>7.4999999999999997E-2</v>
      </c>
      <c r="AH82" s="58">
        <f t="shared" si="105"/>
        <v>1.5061601901917732E-2</v>
      </c>
      <c r="AI82" s="49">
        <f t="shared" si="106"/>
        <v>7.6700165482786091E-3</v>
      </c>
      <c r="AJ82" s="61">
        <f t="shared" si="121"/>
        <v>2.2731618450196341E-2</v>
      </c>
      <c r="AK82" s="217">
        <f t="shared" si="107"/>
        <v>3.75</v>
      </c>
      <c r="AL82" s="213">
        <f t="shared" si="108"/>
        <v>1500</v>
      </c>
      <c r="AM82" s="218">
        <f t="shared" si="122"/>
        <v>2.5000000000000001E-3</v>
      </c>
      <c r="AN82" s="217">
        <f t="shared" si="123"/>
        <v>2</v>
      </c>
      <c r="AO82" s="213">
        <f t="shared" si="124"/>
        <v>3.0983866769659335E-2</v>
      </c>
      <c r="AP82" s="213">
        <f t="shared" si="125"/>
        <v>8.068715304598785E-2</v>
      </c>
      <c r="AQ82" s="213">
        <f t="shared" si="126"/>
        <v>0.1613743060919757</v>
      </c>
      <c r="AR82" s="213">
        <f t="shared" si="142"/>
        <v>0.1613743060919757</v>
      </c>
      <c r="AS82" s="218">
        <f t="shared" si="143"/>
        <v>1.6399913927211917E-2</v>
      </c>
      <c r="AT82" s="217"/>
      <c r="AU82" s="213">
        <f t="shared" si="127"/>
        <v>1.6875000000000001E-4</v>
      </c>
      <c r="AV82" s="218">
        <f t="shared" si="144"/>
        <v>1.6875000000000001E-4</v>
      </c>
      <c r="AW82" s="217">
        <f t="shared" si="128"/>
        <v>0</v>
      </c>
      <c r="AX82" s="213">
        <f t="shared" si="129"/>
        <v>2.875E-3</v>
      </c>
      <c r="AY82" s="218">
        <f t="shared" si="145"/>
        <v>2.875E-3</v>
      </c>
      <c r="AZ82" s="217">
        <f t="shared" si="109"/>
        <v>0</v>
      </c>
      <c r="BA82" s="213">
        <f t="shared" si="110"/>
        <v>0</v>
      </c>
      <c r="BB82" s="213">
        <f t="shared" si="146"/>
        <v>0</v>
      </c>
      <c r="BC82" s="61">
        <f t="shared" si="130"/>
        <v>0</v>
      </c>
      <c r="BD82" s="58">
        <v>0</v>
      </c>
      <c r="BE82" s="49">
        <f t="shared" si="131"/>
        <v>0</v>
      </c>
      <c r="BF82" s="61">
        <f t="shared" si="147"/>
        <v>0</v>
      </c>
      <c r="BG82" s="58">
        <f t="shared" si="132"/>
        <v>0</v>
      </c>
      <c r="BH82" s="49">
        <f t="shared" si="133"/>
        <v>0</v>
      </c>
      <c r="BI82" s="61">
        <f t="shared" si="134"/>
        <v>0</v>
      </c>
      <c r="BK82" s="217">
        <f t="shared" si="111"/>
        <v>0</v>
      </c>
      <c r="BL82" s="213">
        <f t="shared" si="112"/>
        <v>0</v>
      </c>
      <c r="BM82" s="213">
        <f t="shared" si="113"/>
        <v>0</v>
      </c>
      <c r="BN82" s="61">
        <f t="shared" si="150"/>
        <v>0</v>
      </c>
      <c r="BO82" s="58">
        <v>0</v>
      </c>
      <c r="BP82" s="49">
        <f t="shared" si="136"/>
        <v>0</v>
      </c>
      <c r="BQ82" s="61">
        <f t="shared" si="148"/>
        <v>0</v>
      </c>
      <c r="BR82" s="58">
        <f t="shared" si="137"/>
        <v>0</v>
      </c>
      <c r="BS82" s="49">
        <f t="shared" si="138"/>
        <v>0</v>
      </c>
      <c r="BT82" s="61">
        <f t="shared" si="149"/>
        <v>0</v>
      </c>
      <c r="BU82" s="58">
        <f t="shared" si="114"/>
        <v>8.6066296582387042E-4</v>
      </c>
      <c r="BV82" s="49">
        <f t="shared" si="115"/>
        <v>3.6450000000000007E-3</v>
      </c>
      <c r="BW82" s="61">
        <f t="shared" si="116"/>
        <v>6.7499999999999999E-3</v>
      </c>
      <c r="BX82" s="49">
        <f t="shared" si="139"/>
        <v>0.32244060267436275</v>
      </c>
      <c r="BY82" s="49">
        <f t="shared" si="140"/>
        <v>0.43447163409038297</v>
      </c>
      <c r="BZ82" s="49">
        <f t="shared" si="141"/>
        <v>89.617049126327075</v>
      </c>
    </row>
    <row r="83" spans="17:78" x14ac:dyDescent="0.3">
      <c r="Q83" s="49">
        <v>76</v>
      </c>
      <c r="R83" s="217">
        <f t="shared" si="94"/>
        <v>3.8000000000000003</v>
      </c>
      <c r="S83" s="213">
        <f t="shared" si="95"/>
        <v>15</v>
      </c>
      <c r="T83" s="218">
        <f t="shared" si="96"/>
        <v>0.25333333333333335</v>
      </c>
      <c r="U83" s="217">
        <f t="shared" si="97"/>
        <v>1</v>
      </c>
      <c r="V83" s="213">
        <f t="shared" si="98"/>
        <v>0.3898717737923586</v>
      </c>
      <c r="W83" s="213">
        <f t="shared" si="99"/>
        <v>3.118974190338869E-2</v>
      </c>
      <c r="X83" s="213">
        <f t="shared" si="117"/>
        <v>0.57893848430425265</v>
      </c>
      <c r="Y83" s="217">
        <f t="shared" si="118"/>
        <v>0.64978628965393093</v>
      </c>
      <c r="Z83" s="213">
        <f t="shared" si="100"/>
        <v>1.2995725793078621</v>
      </c>
      <c r="AA83" s="213">
        <f t="shared" si="119"/>
        <v>1.2995725793078621</v>
      </c>
      <c r="AB83" s="218">
        <f t="shared" si="101"/>
        <v>0.46849052172885242</v>
      </c>
      <c r="AC83" s="217">
        <v>0</v>
      </c>
      <c r="AD83" s="213">
        <f t="shared" si="102"/>
        <v>0.25240587429223821</v>
      </c>
      <c r="AE83" s="218">
        <f t="shared" si="120"/>
        <v>0.25240587429223821</v>
      </c>
      <c r="AF83" s="58">
        <f t="shared" si="103"/>
        <v>7.6000000000000012E-2</v>
      </c>
      <c r="AG83" s="61">
        <f t="shared" si="104"/>
        <v>7.6000000000000012E-2</v>
      </c>
      <c r="AH83" s="58">
        <f t="shared" si="105"/>
        <v>1.5363835826484065E-2</v>
      </c>
      <c r="AI83" s="49">
        <f t="shared" si="106"/>
        <v>7.7209806740387108E-3</v>
      </c>
      <c r="AJ83" s="61">
        <f t="shared" si="121"/>
        <v>2.3084816500522777E-2</v>
      </c>
      <c r="AK83" s="217">
        <f t="shared" si="107"/>
        <v>3.8000000000000003</v>
      </c>
      <c r="AL83" s="213">
        <f t="shared" si="108"/>
        <v>1500</v>
      </c>
      <c r="AM83" s="218">
        <f t="shared" si="122"/>
        <v>2.5333333333333336E-3</v>
      </c>
      <c r="AN83" s="217">
        <f t="shared" si="123"/>
        <v>2</v>
      </c>
      <c r="AO83" s="213">
        <f t="shared" si="124"/>
        <v>3.1189741903388687E-2</v>
      </c>
      <c r="AP83" s="213">
        <f t="shared" si="125"/>
        <v>8.1223286206741366E-2</v>
      </c>
      <c r="AQ83" s="213">
        <f t="shared" si="126"/>
        <v>0.16244657241348276</v>
      </c>
      <c r="AR83" s="213">
        <f t="shared" si="142"/>
        <v>0.16244657241348276</v>
      </c>
      <c r="AS83" s="218">
        <f t="shared" si="143"/>
        <v>1.6563641241804757E-2</v>
      </c>
      <c r="AT83" s="217"/>
      <c r="AU83" s="213">
        <f t="shared" si="127"/>
        <v>1.7328000000000005E-4</v>
      </c>
      <c r="AV83" s="218">
        <f t="shared" si="144"/>
        <v>1.7328000000000005E-4</v>
      </c>
      <c r="AW83" s="217">
        <f t="shared" si="128"/>
        <v>0</v>
      </c>
      <c r="AX83" s="213">
        <f t="shared" si="129"/>
        <v>2.9133333333333333E-3</v>
      </c>
      <c r="AY83" s="218">
        <f t="shared" si="145"/>
        <v>2.9133333333333333E-3</v>
      </c>
      <c r="AZ83" s="217">
        <f t="shared" si="109"/>
        <v>0</v>
      </c>
      <c r="BA83" s="213">
        <f t="shared" si="110"/>
        <v>0</v>
      </c>
      <c r="BB83" s="213">
        <f t="shared" si="146"/>
        <v>0</v>
      </c>
      <c r="BC83" s="61">
        <f t="shared" si="130"/>
        <v>0</v>
      </c>
      <c r="BD83" s="58">
        <v>0</v>
      </c>
      <c r="BE83" s="49">
        <f t="shared" si="131"/>
        <v>0</v>
      </c>
      <c r="BF83" s="61">
        <f t="shared" si="147"/>
        <v>0</v>
      </c>
      <c r="BG83" s="58">
        <f t="shared" si="132"/>
        <v>0</v>
      </c>
      <c r="BH83" s="49">
        <f t="shared" si="133"/>
        <v>0</v>
      </c>
      <c r="BI83" s="61">
        <f t="shared" si="134"/>
        <v>0</v>
      </c>
      <c r="BK83" s="217">
        <f t="shared" si="111"/>
        <v>0</v>
      </c>
      <c r="BL83" s="213">
        <f t="shared" si="112"/>
        <v>0</v>
      </c>
      <c r="BM83" s="213">
        <f t="shared" si="113"/>
        <v>0</v>
      </c>
      <c r="BN83" s="61">
        <f t="shared" si="150"/>
        <v>0</v>
      </c>
      <c r="BO83" s="58">
        <v>0</v>
      </c>
      <c r="BP83" s="49">
        <f t="shared" si="136"/>
        <v>0</v>
      </c>
      <c r="BQ83" s="61">
        <f t="shared" si="148"/>
        <v>0</v>
      </c>
      <c r="BR83" s="58">
        <f t="shared" si="137"/>
        <v>0</v>
      </c>
      <c r="BS83" s="49">
        <f t="shared" si="138"/>
        <v>0</v>
      </c>
      <c r="BT83" s="61">
        <f t="shared" si="149"/>
        <v>0</v>
      </c>
      <c r="BU83" s="58">
        <f t="shared" si="114"/>
        <v>8.7793347579908938E-4</v>
      </c>
      <c r="BV83" s="49">
        <f t="shared" si="115"/>
        <v>3.6450000000000007E-3</v>
      </c>
      <c r="BW83" s="61">
        <f t="shared" si="116"/>
        <v>6.7499999999999999E-3</v>
      </c>
      <c r="BX83" s="49">
        <f t="shared" si="139"/>
        <v>0.32840587429223822</v>
      </c>
      <c r="BY83" s="49">
        <f t="shared" si="140"/>
        <v>0.4418502376018934</v>
      </c>
      <c r="BZ83" s="49">
        <f t="shared" si="141"/>
        <v>89.583549327481876</v>
      </c>
    </row>
    <row r="84" spans="17:78" x14ac:dyDescent="0.3">
      <c r="Q84" s="49">
        <v>77</v>
      </c>
      <c r="R84" s="217">
        <f t="shared" si="94"/>
        <v>3.85</v>
      </c>
      <c r="S84" s="213">
        <f t="shared" si="95"/>
        <v>15</v>
      </c>
      <c r="T84" s="218">
        <f t="shared" si="96"/>
        <v>0.25666666666666665</v>
      </c>
      <c r="U84" s="217">
        <f t="shared" si="97"/>
        <v>1</v>
      </c>
      <c r="V84" s="213">
        <f t="shared" si="98"/>
        <v>0.39242833740697169</v>
      </c>
      <c r="W84" s="213">
        <f t="shared" si="99"/>
        <v>3.1394266992557734E-2</v>
      </c>
      <c r="X84" s="213">
        <f t="shared" si="117"/>
        <v>0.57617739560047054</v>
      </c>
      <c r="Y84" s="217">
        <f t="shared" si="118"/>
        <v>0.65404722901161938</v>
      </c>
      <c r="Z84" s="213">
        <f t="shared" si="100"/>
        <v>1.308094458023239</v>
      </c>
      <c r="AA84" s="213">
        <f t="shared" si="119"/>
        <v>1.308094458023239</v>
      </c>
      <c r="AB84" s="218">
        <f t="shared" si="101"/>
        <v>0.47310622079047232</v>
      </c>
      <c r="AC84" s="217">
        <v>0</v>
      </c>
      <c r="AD84" s="213">
        <f t="shared" si="102"/>
        <v>0.25740392057323963</v>
      </c>
      <c r="AE84" s="218">
        <f t="shared" si="120"/>
        <v>0.25740392057323963</v>
      </c>
      <c r="AF84" s="58">
        <f t="shared" si="103"/>
        <v>7.6999999999999999E-2</v>
      </c>
      <c r="AG84" s="61">
        <f t="shared" si="104"/>
        <v>7.6999999999999999E-2</v>
      </c>
      <c r="AH84" s="58">
        <f t="shared" si="105"/>
        <v>1.5668064730545023E-2</v>
      </c>
      <c r="AI84" s="49">
        <f t="shared" si="106"/>
        <v>7.7716105979964553E-3</v>
      </c>
      <c r="AJ84" s="61">
        <f t="shared" si="121"/>
        <v>2.3439675328541479E-2</v>
      </c>
      <c r="AK84" s="217">
        <f t="shared" si="107"/>
        <v>3.85</v>
      </c>
      <c r="AL84" s="213">
        <f t="shared" si="108"/>
        <v>1500</v>
      </c>
      <c r="AM84" s="218">
        <f t="shared" si="122"/>
        <v>2.5666666666666667E-3</v>
      </c>
      <c r="AN84" s="217">
        <f t="shared" si="123"/>
        <v>2</v>
      </c>
      <c r="AO84" s="213">
        <f t="shared" si="124"/>
        <v>3.1394266992557734E-2</v>
      </c>
      <c r="AP84" s="213">
        <f t="shared" si="125"/>
        <v>8.1755903626452422E-2</v>
      </c>
      <c r="AQ84" s="213">
        <f t="shared" si="126"/>
        <v>0.16351180725290487</v>
      </c>
      <c r="AR84" s="213">
        <f t="shared" si="142"/>
        <v>0.16351180725290487</v>
      </c>
      <c r="AS84" s="218">
        <f t="shared" si="143"/>
        <v>1.6726830847124147E-2</v>
      </c>
      <c r="AT84" s="217"/>
      <c r="AU84" s="213">
        <f t="shared" si="127"/>
        <v>1.7787E-4</v>
      </c>
      <c r="AV84" s="218">
        <f t="shared" si="144"/>
        <v>1.7787E-4</v>
      </c>
      <c r="AW84" s="217">
        <f t="shared" si="128"/>
        <v>0</v>
      </c>
      <c r="AX84" s="213">
        <f t="shared" si="129"/>
        <v>2.9516666666666667E-3</v>
      </c>
      <c r="AY84" s="218">
        <f t="shared" si="145"/>
        <v>2.9516666666666667E-3</v>
      </c>
      <c r="AZ84" s="217">
        <f t="shared" si="109"/>
        <v>0</v>
      </c>
      <c r="BA84" s="213">
        <f t="shared" si="110"/>
        <v>0</v>
      </c>
      <c r="BB84" s="213">
        <f t="shared" si="146"/>
        <v>0</v>
      </c>
      <c r="BC84" s="61">
        <f t="shared" si="130"/>
        <v>0</v>
      </c>
      <c r="BD84" s="58">
        <v>0</v>
      </c>
      <c r="BE84" s="49">
        <f t="shared" si="131"/>
        <v>0</v>
      </c>
      <c r="BF84" s="61">
        <f t="shared" si="147"/>
        <v>0</v>
      </c>
      <c r="BG84" s="58">
        <f t="shared" si="132"/>
        <v>0</v>
      </c>
      <c r="BH84" s="49">
        <f t="shared" si="133"/>
        <v>0</v>
      </c>
      <c r="BI84" s="61">
        <f t="shared" si="134"/>
        <v>0</v>
      </c>
      <c r="BK84" s="217">
        <f t="shared" si="111"/>
        <v>0</v>
      </c>
      <c r="BL84" s="213">
        <f t="shared" si="112"/>
        <v>0</v>
      </c>
      <c r="BM84" s="213">
        <f t="shared" si="113"/>
        <v>0</v>
      </c>
      <c r="BN84" s="61">
        <f t="shared" si="150"/>
        <v>0</v>
      </c>
      <c r="BO84" s="58">
        <v>0</v>
      </c>
      <c r="BP84" s="49">
        <f t="shared" si="136"/>
        <v>0</v>
      </c>
      <c r="BQ84" s="61">
        <f t="shared" si="148"/>
        <v>0</v>
      </c>
      <c r="BR84" s="58">
        <f t="shared" si="137"/>
        <v>0</v>
      </c>
      <c r="BS84" s="49">
        <f t="shared" si="138"/>
        <v>0</v>
      </c>
      <c r="BT84" s="61">
        <f t="shared" si="149"/>
        <v>0</v>
      </c>
      <c r="BU84" s="58">
        <f t="shared" si="114"/>
        <v>8.9531798460257262E-4</v>
      </c>
      <c r="BV84" s="49">
        <f t="shared" si="115"/>
        <v>3.6450000000000007E-3</v>
      </c>
      <c r="BW84" s="61">
        <f t="shared" si="116"/>
        <v>6.7499999999999999E-3</v>
      </c>
      <c r="BX84" s="49">
        <f t="shared" si="139"/>
        <v>0.33440392057323964</v>
      </c>
      <c r="BY84" s="49">
        <f t="shared" si="140"/>
        <v>0.44926345055305034</v>
      </c>
      <c r="BZ84" s="49">
        <f t="shared" si="141"/>
        <v>89.550222829557981</v>
      </c>
    </row>
    <row r="85" spans="17:78" x14ac:dyDescent="0.3">
      <c r="Q85" s="49">
        <v>78</v>
      </c>
      <c r="R85" s="217">
        <f t="shared" si="94"/>
        <v>3.9000000000000004</v>
      </c>
      <c r="S85" s="213">
        <f t="shared" si="95"/>
        <v>15</v>
      </c>
      <c r="T85" s="218">
        <f t="shared" si="96"/>
        <v>0.26</v>
      </c>
      <c r="U85" s="217">
        <f t="shared" si="97"/>
        <v>1</v>
      </c>
      <c r="V85" s="213">
        <f t="shared" si="98"/>
        <v>0.39496835316262996</v>
      </c>
      <c r="W85" s="213">
        <f t="shared" si="99"/>
        <v>3.1597468253010394E-2</v>
      </c>
      <c r="X85" s="213">
        <f t="shared" si="117"/>
        <v>0.57343417858435963</v>
      </c>
      <c r="Y85" s="217">
        <f t="shared" si="118"/>
        <v>0.65828058860438343</v>
      </c>
      <c r="Z85" s="213">
        <f t="shared" si="100"/>
        <v>1.3165611772087664</v>
      </c>
      <c r="AA85" s="213">
        <f t="shared" si="119"/>
        <v>1.3165611772087666</v>
      </c>
      <c r="AB85" s="218">
        <f t="shared" si="101"/>
        <v>0.47770695764543025</v>
      </c>
      <c r="AC85" s="217">
        <v>0</v>
      </c>
      <c r="AD85" s="213">
        <f t="shared" si="102"/>
        <v>0.26243452799028083</v>
      </c>
      <c r="AE85" s="218">
        <f t="shared" si="120"/>
        <v>0.26243452799028083</v>
      </c>
      <c r="AF85" s="58">
        <f t="shared" si="103"/>
        <v>7.8000000000000014E-2</v>
      </c>
      <c r="AG85" s="61">
        <f t="shared" si="104"/>
        <v>7.8000000000000014E-2</v>
      </c>
      <c r="AH85" s="58">
        <f t="shared" si="105"/>
        <v>1.5974275616799705E-2</v>
      </c>
      <c r="AI85" s="49">
        <f t="shared" si="106"/>
        <v>7.8219128098504422E-3</v>
      </c>
      <c r="AJ85" s="61">
        <f t="shared" si="121"/>
        <v>2.3796188426650149E-2</v>
      </c>
      <c r="AK85" s="217">
        <f t="shared" si="107"/>
        <v>3.9000000000000004</v>
      </c>
      <c r="AL85" s="213">
        <f t="shared" si="108"/>
        <v>1500</v>
      </c>
      <c r="AM85" s="218">
        <f t="shared" si="122"/>
        <v>2.6000000000000003E-3</v>
      </c>
      <c r="AN85" s="217">
        <f t="shared" si="123"/>
        <v>2</v>
      </c>
      <c r="AO85" s="213">
        <f t="shared" si="124"/>
        <v>3.1597468253010394E-2</v>
      </c>
      <c r="AP85" s="213">
        <f t="shared" si="125"/>
        <v>8.2285073575547929E-2</v>
      </c>
      <c r="AQ85" s="213">
        <f t="shared" si="126"/>
        <v>0.1645701471510958</v>
      </c>
      <c r="AR85" s="213">
        <f t="shared" si="142"/>
        <v>0.16457014715109583</v>
      </c>
      <c r="AS85" s="218">
        <f t="shared" si="143"/>
        <v>1.6889491458553927E-2</v>
      </c>
      <c r="AT85" s="217"/>
      <c r="AU85" s="213">
        <f t="shared" si="127"/>
        <v>1.8252000000000003E-4</v>
      </c>
      <c r="AV85" s="218">
        <f t="shared" si="144"/>
        <v>1.8252000000000003E-4</v>
      </c>
      <c r="AW85" s="217">
        <f t="shared" si="128"/>
        <v>0</v>
      </c>
      <c r="AX85" s="213">
        <f t="shared" si="129"/>
        <v>2.99E-3</v>
      </c>
      <c r="AY85" s="218">
        <f t="shared" si="145"/>
        <v>2.99E-3</v>
      </c>
      <c r="AZ85" s="217">
        <f t="shared" si="109"/>
        <v>0</v>
      </c>
      <c r="BA85" s="213">
        <f t="shared" si="110"/>
        <v>0</v>
      </c>
      <c r="BB85" s="213">
        <f t="shared" si="146"/>
        <v>0</v>
      </c>
      <c r="BC85" s="61">
        <f t="shared" si="130"/>
        <v>0</v>
      </c>
      <c r="BD85" s="58">
        <v>0</v>
      </c>
      <c r="BE85" s="49">
        <f t="shared" si="131"/>
        <v>0</v>
      </c>
      <c r="BF85" s="61">
        <f t="shared" si="147"/>
        <v>0</v>
      </c>
      <c r="BG85" s="58">
        <f t="shared" si="132"/>
        <v>0</v>
      </c>
      <c r="BH85" s="49">
        <f t="shared" si="133"/>
        <v>0</v>
      </c>
      <c r="BI85" s="61">
        <f t="shared" si="134"/>
        <v>0</v>
      </c>
      <c r="BK85" s="217">
        <f t="shared" si="111"/>
        <v>0</v>
      </c>
      <c r="BL85" s="213">
        <f t="shared" si="112"/>
        <v>0</v>
      </c>
      <c r="BM85" s="213">
        <f t="shared" si="113"/>
        <v>0</v>
      </c>
      <c r="BN85" s="61">
        <f t="shared" si="150"/>
        <v>0</v>
      </c>
      <c r="BO85" s="58">
        <v>0</v>
      </c>
      <c r="BP85" s="49">
        <f t="shared" si="136"/>
        <v>0</v>
      </c>
      <c r="BQ85" s="61">
        <f t="shared" si="148"/>
        <v>0</v>
      </c>
      <c r="BR85" s="58">
        <f t="shared" si="137"/>
        <v>0</v>
      </c>
      <c r="BS85" s="49">
        <f t="shared" si="138"/>
        <v>0</v>
      </c>
      <c r="BT85" s="61">
        <f t="shared" si="149"/>
        <v>0</v>
      </c>
      <c r="BU85" s="58">
        <f t="shared" si="114"/>
        <v>9.1281574953141153E-4</v>
      </c>
      <c r="BV85" s="49">
        <f t="shared" si="115"/>
        <v>3.6450000000000007E-3</v>
      </c>
      <c r="BW85" s="61">
        <f t="shared" si="116"/>
        <v>6.7499999999999999E-3</v>
      </c>
      <c r="BX85" s="49">
        <f t="shared" si="139"/>
        <v>0.34043452799028084</v>
      </c>
      <c r="BY85" s="49">
        <f t="shared" si="140"/>
        <v>0.45671105216646241</v>
      </c>
      <c r="BZ85" s="49">
        <f t="shared" si="141"/>
        <v>89.517068111750177</v>
      </c>
    </row>
    <row r="86" spans="17:78" x14ac:dyDescent="0.3">
      <c r="Q86" s="49">
        <v>79</v>
      </c>
      <c r="R86" s="217">
        <f t="shared" si="94"/>
        <v>3.95</v>
      </c>
      <c r="S86" s="213">
        <f t="shared" si="95"/>
        <v>15</v>
      </c>
      <c r="T86" s="218">
        <f t="shared" si="96"/>
        <v>0.26333333333333336</v>
      </c>
      <c r="U86" s="217">
        <f t="shared" si="97"/>
        <v>1</v>
      </c>
      <c r="V86" s="213">
        <f t="shared" si="98"/>
        <v>0.39749213828703578</v>
      </c>
      <c r="W86" s="213">
        <f t="shared" si="99"/>
        <v>3.1799371062962864E-2</v>
      </c>
      <c r="X86" s="213">
        <f t="shared" si="117"/>
        <v>0.5707084906500014</v>
      </c>
      <c r="Y86" s="217">
        <f t="shared" si="118"/>
        <v>0.66248689714505982</v>
      </c>
      <c r="Z86" s="213">
        <f t="shared" si="100"/>
        <v>1.3249737942901192</v>
      </c>
      <c r="AA86" s="213">
        <f t="shared" si="119"/>
        <v>1.3249737942901194</v>
      </c>
      <c r="AB86" s="218">
        <f t="shared" si="101"/>
        <v>0.48229297170200841</v>
      </c>
      <c r="AC86" s="217">
        <v>0</v>
      </c>
      <c r="AD86" s="213">
        <f t="shared" si="102"/>
        <v>0.26749748713612748</v>
      </c>
      <c r="AE86" s="218">
        <f t="shared" si="120"/>
        <v>0.26749748713612748</v>
      </c>
      <c r="AF86" s="58">
        <f t="shared" si="103"/>
        <v>7.9000000000000001E-2</v>
      </c>
      <c r="AG86" s="61">
        <f t="shared" si="104"/>
        <v>7.9000000000000001E-2</v>
      </c>
      <c r="AH86" s="58">
        <f t="shared" si="105"/>
        <v>1.6282455738720801E-2</v>
      </c>
      <c r="AI86" s="49">
        <f t="shared" si="106"/>
        <v>7.8718935919455876E-3</v>
      </c>
      <c r="AJ86" s="61">
        <f t="shared" si="121"/>
        <v>2.4154349330666389E-2</v>
      </c>
      <c r="AK86" s="217">
        <f t="shared" si="107"/>
        <v>3.95</v>
      </c>
      <c r="AL86" s="213">
        <f t="shared" si="108"/>
        <v>1500</v>
      </c>
      <c r="AM86" s="218">
        <f t="shared" si="122"/>
        <v>2.6333333333333334E-3</v>
      </c>
      <c r="AN86" s="217">
        <f t="shared" si="123"/>
        <v>2</v>
      </c>
      <c r="AO86" s="213">
        <f t="shared" si="124"/>
        <v>3.1799371062962857E-2</v>
      </c>
      <c r="AP86" s="213">
        <f t="shared" si="125"/>
        <v>8.2810862143132477E-2</v>
      </c>
      <c r="AQ86" s="213">
        <f t="shared" si="126"/>
        <v>0.16562172428626487</v>
      </c>
      <c r="AR86" s="213">
        <f t="shared" si="142"/>
        <v>0.16562172428626493</v>
      </c>
      <c r="AS86" s="218">
        <f t="shared" si="143"/>
        <v>1.7051631540455095E-2</v>
      </c>
      <c r="AT86" s="217"/>
      <c r="AU86" s="213">
        <f t="shared" si="127"/>
        <v>1.8723000000000001E-4</v>
      </c>
      <c r="AV86" s="218">
        <f t="shared" si="144"/>
        <v>1.8723000000000001E-4</v>
      </c>
      <c r="AW86" s="217">
        <f t="shared" si="128"/>
        <v>0</v>
      </c>
      <c r="AX86" s="213">
        <f t="shared" si="129"/>
        <v>3.0283333333333334E-3</v>
      </c>
      <c r="AY86" s="218">
        <f t="shared" si="145"/>
        <v>3.0283333333333334E-3</v>
      </c>
      <c r="AZ86" s="217">
        <f t="shared" si="109"/>
        <v>0</v>
      </c>
      <c r="BA86" s="213">
        <f t="shared" si="110"/>
        <v>0</v>
      </c>
      <c r="BB86" s="213">
        <f t="shared" si="146"/>
        <v>0</v>
      </c>
      <c r="BC86" s="61">
        <f t="shared" si="130"/>
        <v>0</v>
      </c>
      <c r="BD86" s="58">
        <v>0</v>
      </c>
      <c r="BE86" s="49">
        <f t="shared" si="131"/>
        <v>0</v>
      </c>
      <c r="BF86" s="61">
        <f t="shared" si="147"/>
        <v>0</v>
      </c>
      <c r="BG86" s="58">
        <f t="shared" si="132"/>
        <v>0</v>
      </c>
      <c r="BH86" s="49">
        <f t="shared" si="133"/>
        <v>0</v>
      </c>
      <c r="BI86" s="61">
        <f t="shared" si="134"/>
        <v>0</v>
      </c>
      <c r="BK86" s="217">
        <f t="shared" si="111"/>
        <v>0</v>
      </c>
      <c r="BL86" s="213">
        <f t="shared" si="112"/>
        <v>0</v>
      </c>
      <c r="BM86" s="213">
        <f t="shared" si="113"/>
        <v>0</v>
      </c>
      <c r="BN86" s="61">
        <f t="shared" si="150"/>
        <v>0</v>
      </c>
      <c r="BO86" s="58">
        <v>0</v>
      </c>
      <c r="BP86" s="49">
        <f t="shared" si="136"/>
        <v>0</v>
      </c>
      <c r="BQ86" s="61">
        <f t="shared" si="148"/>
        <v>0</v>
      </c>
      <c r="BR86" s="58">
        <f t="shared" si="137"/>
        <v>0</v>
      </c>
      <c r="BS86" s="49">
        <f t="shared" si="138"/>
        <v>0</v>
      </c>
      <c r="BT86" s="61">
        <f t="shared" si="149"/>
        <v>0</v>
      </c>
      <c r="BU86" s="58">
        <f t="shared" si="114"/>
        <v>9.3042604221261712E-4</v>
      </c>
      <c r="BV86" s="49">
        <f t="shared" si="115"/>
        <v>3.6450000000000007E-3</v>
      </c>
      <c r="BW86" s="61">
        <f t="shared" si="116"/>
        <v>6.7499999999999999E-3</v>
      </c>
      <c r="BX86" s="49">
        <f t="shared" si="139"/>
        <v>0.34649748713612749</v>
      </c>
      <c r="BY86" s="49">
        <f t="shared" si="140"/>
        <v>0.46419282584233984</v>
      </c>
      <c r="BZ86" s="49">
        <f t="shared" si="141"/>
        <v>89.484083633030693</v>
      </c>
    </row>
    <row r="87" spans="17:78" x14ac:dyDescent="0.3">
      <c r="Q87" s="49">
        <v>80</v>
      </c>
      <c r="R87" s="217">
        <f t="shared" si="94"/>
        <v>4</v>
      </c>
      <c r="S87" s="213">
        <f t="shared" si="95"/>
        <v>15</v>
      </c>
      <c r="T87" s="218">
        <f t="shared" si="96"/>
        <v>0.26666666666666666</v>
      </c>
      <c r="U87" s="217">
        <f t="shared" si="97"/>
        <v>1</v>
      </c>
      <c r="V87" s="213">
        <f t="shared" si="98"/>
        <v>0.4</v>
      </c>
      <c r="W87" s="213">
        <f t="shared" si="99"/>
        <v>3.2000000000000001E-2</v>
      </c>
      <c r="X87" s="213">
        <f t="shared" si="117"/>
        <v>0.56799999999999995</v>
      </c>
      <c r="Y87" s="217">
        <f t="shared" si="118"/>
        <v>0.66666666666666663</v>
      </c>
      <c r="Z87" s="213">
        <f t="shared" si="100"/>
        <v>1.3333333333333333</v>
      </c>
      <c r="AA87" s="213">
        <f t="shared" si="119"/>
        <v>1.3333333333333333</v>
      </c>
      <c r="AB87" s="218">
        <f t="shared" si="101"/>
        <v>0.4868644955601476</v>
      </c>
      <c r="AC87" s="217">
        <v>0</v>
      </c>
      <c r="AD87" s="213">
        <f t="shared" si="102"/>
        <v>0.27259259259259255</v>
      </c>
      <c r="AE87" s="218">
        <f t="shared" si="120"/>
        <v>0.27259259259259255</v>
      </c>
      <c r="AF87" s="58">
        <f t="shared" si="103"/>
        <v>0.08</v>
      </c>
      <c r="AG87" s="61">
        <f t="shared" si="104"/>
        <v>0.08</v>
      </c>
      <c r="AH87" s="58">
        <f t="shared" si="105"/>
        <v>1.6592592592592589E-2</v>
      </c>
      <c r="AI87" s="49">
        <f t="shared" si="106"/>
        <v>7.9215590284315591E-3</v>
      </c>
      <c r="AJ87" s="61">
        <f t="shared" si="121"/>
        <v>2.4514151621024147E-2</v>
      </c>
      <c r="AK87" s="217">
        <f t="shared" si="107"/>
        <v>4</v>
      </c>
      <c r="AL87" s="213">
        <f t="shared" si="108"/>
        <v>1500</v>
      </c>
      <c r="AM87" s="218">
        <f t="shared" si="122"/>
        <v>2.6666666666666666E-3</v>
      </c>
      <c r="AN87" s="217">
        <f t="shared" si="123"/>
        <v>2</v>
      </c>
      <c r="AO87" s="213">
        <f t="shared" si="124"/>
        <v>3.2000000000000001E-2</v>
      </c>
      <c r="AP87" s="213">
        <f t="shared" si="125"/>
        <v>8.3333333333333329E-2</v>
      </c>
      <c r="AQ87" s="213">
        <f t="shared" si="126"/>
        <v>0.16666666666666666</v>
      </c>
      <c r="AR87" s="213">
        <f t="shared" si="142"/>
        <v>0.16666666666666666</v>
      </c>
      <c r="AS87" s="218">
        <f t="shared" si="143"/>
        <v>1.7213259316477408E-2</v>
      </c>
      <c r="AT87" s="217"/>
      <c r="AU87" s="213">
        <f t="shared" si="127"/>
        <v>1.92E-4</v>
      </c>
      <c r="AV87" s="218">
        <f t="shared" si="144"/>
        <v>1.92E-4</v>
      </c>
      <c r="AW87" s="217">
        <f t="shared" si="128"/>
        <v>0</v>
      </c>
      <c r="AX87" s="213">
        <f t="shared" si="129"/>
        <v>3.0666666666666663E-3</v>
      </c>
      <c r="AY87" s="218">
        <f t="shared" si="145"/>
        <v>3.0666666666666663E-3</v>
      </c>
      <c r="AZ87" s="217">
        <f t="shared" si="109"/>
        <v>0</v>
      </c>
      <c r="BA87" s="213">
        <f t="shared" si="110"/>
        <v>0</v>
      </c>
      <c r="BB87" s="213">
        <f t="shared" si="146"/>
        <v>0</v>
      </c>
      <c r="BC87" s="61">
        <f t="shared" si="130"/>
        <v>0</v>
      </c>
      <c r="BD87" s="58">
        <v>0</v>
      </c>
      <c r="BE87" s="49">
        <f t="shared" si="131"/>
        <v>0</v>
      </c>
      <c r="BF87" s="61">
        <f t="shared" si="147"/>
        <v>0</v>
      </c>
      <c r="BG87" s="58">
        <f t="shared" si="132"/>
        <v>0</v>
      </c>
      <c r="BH87" s="49">
        <f t="shared" si="133"/>
        <v>0</v>
      </c>
      <c r="BI87" s="61">
        <f t="shared" si="134"/>
        <v>0</v>
      </c>
      <c r="BK87" s="217">
        <f t="shared" si="111"/>
        <v>0</v>
      </c>
      <c r="BL87" s="213">
        <f t="shared" si="112"/>
        <v>0</v>
      </c>
      <c r="BM87" s="213">
        <f t="shared" si="113"/>
        <v>0</v>
      </c>
      <c r="BN87" s="61">
        <f t="shared" si="150"/>
        <v>0</v>
      </c>
      <c r="BO87" s="58">
        <v>0</v>
      </c>
      <c r="BP87" s="49">
        <f t="shared" si="136"/>
        <v>0</v>
      </c>
      <c r="BQ87" s="61">
        <f t="shared" si="148"/>
        <v>0</v>
      </c>
      <c r="BR87" s="58">
        <f t="shared" si="137"/>
        <v>0</v>
      </c>
      <c r="BS87" s="49">
        <f t="shared" si="138"/>
        <v>0</v>
      </c>
      <c r="BT87" s="61">
        <f t="shared" si="149"/>
        <v>0</v>
      </c>
      <c r="BU87" s="58">
        <f t="shared" si="114"/>
        <v>9.4814814814814794E-4</v>
      </c>
      <c r="BV87" s="49">
        <f t="shared" si="115"/>
        <v>3.6450000000000007E-3</v>
      </c>
      <c r="BW87" s="61">
        <f t="shared" si="116"/>
        <v>6.7499999999999999E-3</v>
      </c>
      <c r="BX87" s="49">
        <f t="shared" si="139"/>
        <v>0.35259259259259257</v>
      </c>
      <c r="BY87" s="49">
        <f t="shared" si="140"/>
        <v>0.47170855902843151</v>
      </c>
      <c r="BZ87" s="49">
        <f t="shared" si="141"/>
        <v>89.451267836405705</v>
      </c>
    </row>
    <row r="88" spans="17:78" x14ac:dyDescent="0.3">
      <c r="Q88" s="49">
        <v>81</v>
      </c>
      <c r="R88" s="217">
        <f t="shared" si="94"/>
        <v>4.05</v>
      </c>
      <c r="S88" s="213">
        <f t="shared" si="95"/>
        <v>15</v>
      </c>
      <c r="T88" s="218">
        <f t="shared" si="96"/>
        <v>0.26999999999999996</v>
      </c>
      <c r="U88" s="217">
        <f t="shared" si="97"/>
        <v>1</v>
      </c>
      <c r="V88" s="213">
        <f t="shared" si="98"/>
        <v>0.40249223594996214</v>
      </c>
      <c r="W88" s="213">
        <f t="shared" si="99"/>
        <v>3.219937887599697E-2</v>
      </c>
      <c r="X88" s="213">
        <f t="shared" si="117"/>
        <v>0.56530838517404092</v>
      </c>
      <c r="Y88" s="217">
        <f t="shared" si="118"/>
        <v>0.67082039324993692</v>
      </c>
      <c r="Z88" s="213">
        <f t="shared" si="100"/>
        <v>1.3416407864998738</v>
      </c>
      <c r="AA88" s="213">
        <f t="shared" si="119"/>
        <v>1.3416407864998738</v>
      </c>
      <c r="AB88" s="218">
        <f t="shared" si="101"/>
        <v>0.49142175528763204</v>
      </c>
      <c r="AC88" s="217">
        <v>0</v>
      </c>
      <c r="AD88" s="213">
        <f t="shared" si="102"/>
        <v>0.27771964280547395</v>
      </c>
      <c r="AE88" s="218">
        <f t="shared" si="120"/>
        <v>0.27771964280547395</v>
      </c>
      <c r="AF88" s="58">
        <f t="shared" si="103"/>
        <v>8.1000000000000003E-2</v>
      </c>
      <c r="AG88" s="61">
        <f t="shared" si="104"/>
        <v>8.1000000000000003E-2</v>
      </c>
      <c r="AH88" s="58">
        <f t="shared" si="105"/>
        <v>1.6904673909898416E-2</v>
      </c>
      <c r="AI88" s="49">
        <f t="shared" si="106"/>
        <v>7.9709150139075698E-3</v>
      </c>
      <c r="AJ88" s="61">
        <f t="shared" si="121"/>
        <v>2.4875588923805987E-2</v>
      </c>
      <c r="AK88" s="217">
        <f t="shared" si="107"/>
        <v>4.05</v>
      </c>
      <c r="AL88" s="213">
        <f t="shared" si="108"/>
        <v>1500</v>
      </c>
      <c r="AM88" s="218">
        <f t="shared" si="122"/>
        <v>2.6999999999999997E-3</v>
      </c>
      <c r="AN88" s="217">
        <f t="shared" si="123"/>
        <v>2</v>
      </c>
      <c r="AO88" s="213">
        <f t="shared" si="124"/>
        <v>3.219937887599697E-2</v>
      </c>
      <c r="AP88" s="213">
        <f t="shared" si="125"/>
        <v>8.3852549156242115E-2</v>
      </c>
      <c r="AQ88" s="213">
        <f t="shared" si="126"/>
        <v>0.16770509831248423</v>
      </c>
      <c r="AR88" s="213">
        <f t="shared" si="142"/>
        <v>0.16770509831248423</v>
      </c>
      <c r="AS88" s="218">
        <f t="shared" si="143"/>
        <v>1.7374382779324033E-2</v>
      </c>
      <c r="AT88" s="217"/>
      <c r="AU88" s="213">
        <f t="shared" si="127"/>
        <v>1.9682999999999997E-4</v>
      </c>
      <c r="AV88" s="218">
        <f t="shared" si="144"/>
        <v>1.9682999999999997E-4</v>
      </c>
      <c r="AW88" s="217">
        <f t="shared" si="128"/>
        <v>0</v>
      </c>
      <c r="AX88" s="213">
        <f t="shared" si="129"/>
        <v>3.1049999999999993E-3</v>
      </c>
      <c r="AY88" s="218">
        <f t="shared" si="145"/>
        <v>3.1049999999999993E-3</v>
      </c>
      <c r="AZ88" s="217">
        <f t="shared" si="109"/>
        <v>0</v>
      </c>
      <c r="BA88" s="213">
        <f t="shared" si="110"/>
        <v>0</v>
      </c>
      <c r="BB88" s="213">
        <f t="shared" si="146"/>
        <v>0</v>
      </c>
      <c r="BC88" s="61">
        <f t="shared" si="130"/>
        <v>0</v>
      </c>
      <c r="BD88" s="58">
        <v>0</v>
      </c>
      <c r="BE88" s="49">
        <f t="shared" si="131"/>
        <v>0</v>
      </c>
      <c r="BF88" s="61">
        <f t="shared" si="147"/>
        <v>0</v>
      </c>
      <c r="BG88" s="58">
        <f t="shared" si="132"/>
        <v>0</v>
      </c>
      <c r="BH88" s="49">
        <f t="shared" si="133"/>
        <v>0</v>
      </c>
      <c r="BI88" s="61">
        <f t="shared" si="134"/>
        <v>0</v>
      </c>
      <c r="BK88" s="217">
        <f t="shared" si="111"/>
        <v>0</v>
      </c>
      <c r="BL88" s="213">
        <f t="shared" si="112"/>
        <v>0</v>
      </c>
      <c r="BM88" s="213">
        <f t="shared" si="113"/>
        <v>0</v>
      </c>
      <c r="BN88" s="61">
        <f t="shared" si="150"/>
        <v>0</v>
      </c>
      <c r="BO88" s="58">
        <v>0</v>
      </c>
      <c r="BP88" s="49">
        <f t="shared" si="136"/>
        <v>0</v>
      </c>
      <c r="BQ88" s="61">
        <f t="shared" si="148"/>
        <v>0</v>
      </c>
      <c r="BR88" s="58">
        <f t="shared" si="137"/>
        <v>0</v>
      </c>
      <c r="BS88" s="49">
        <f t="shared" si="138"/>
        <v>0</v>
      </c>
      <c r="BT88" s="61">
        <f t="shared" si="149"/>
        <v>0</v>
      </c>
      <c r="BU88" s="58">
        <f t="shared" si="114"/>
        <v>9.6598136627990927E-4</v>
      </c>
      <c r="BV88" s="49">
        <f t="shared" si="115"/>
        <v>3.6450000000000007E-3</v>
      </c>
      <c r="BW88" s="61">
        <f t="shared" si="116"/>
        <v>6.7499999999999999E-3</v>
      </c>
      <c r="BX88" s="49">
        <f t="shared" si="139"/>
        <v>0.35871964280547397</v>
      </c>
      <c r="BY88" s="49">
        <f t="shared" si="140"/>
        <v>0.47925804309555986</v>
      </c>
      <c r="BZ88" s="49">
        <f t="shared" si="141"/>
        <v>89.418619152729775</v>
      </c>
    </row>
    <row r="89" spans="17:78" x14ac:dyDescent="0.3">
      <c r="Q89" s="49">
        <v>82</v>
      </c>
      <c r="R89" s="217">
        <f t="shared" si="94"/>
        <v>4.1000000000000005</v>
      </c>
      <c r="S89" s="213">
        <f t="shared" si="95"/>
        <v>15</v>
      </c>
      <c r="T89" s="218">
        <f t="shared" si="96"/>
        <v>0.27333333333333337</v>
      </c>
      <c r="U89" s="217">
        <f t="shared" si="97"/>
        <v>1</v>
      </c>
      <c r="V89" s="213">
        <f t="shared" si="98"/>
        <v>0.40496913462633177</v>
      </c>
      <c r="W89" s="213">
        <f t="shared" si="99"/>
        <v>3.2397530770106542E-2</v>
      </c>
      <c r="X89" s="213">
        <f t="shared" si="117"/>
        <v>0.56263333460356169</v>
      </c>
      <c r="Y89" s="217">
        <f t="shared" si="118"/>
        <v>0.67494855771055295</v>
      </c>
      <c r="Z89" s="213">
        <f t="shared" si="100"/>
        <v>1.3498971154211059</v>
      </c>
      <c r="AA89" s="213">
        <f t="shared" si="119"/>
        <v>1.3498971154211059</v>
      </c>
      <c r="AB89" s="218">
        <f t="shared" si="101"/>
        <v>0.49596497068180284</v>
      </c>
      <c r="AC89" s="217">
        <v>0</v>
      </c>
      <c r="AD89" s="213">
        <f t="shared" si="102"/>
        <v>0.2828784399649118</v>
      </c>
      <c r="AE89" s="218">
        <f t="shared" si="120"/>
        <v>0.2828784399649118</v>
      </c>
      <c r="AF89" s="58">
        <f t="shared" si="103"/>
        <v>8.2000000000000017E-2</v>
      </c>
      <c r="AG89" s="61">
        <f t="shared" si="104"/>
        <v>8.2000000000000017E-2</v>
      </c>
      <c r="AH89" s="58">
        <f t="shared" si="105"/>
        <v>1.721868765003811E-2</v>
      </c>
      <c r="AI89" s="49">
        <f t="shared" si="106"/>
        <v>8.0199672615883354E-3</v>
      </c>
      <c r="AJ89" s="61">
        <f t="shared" si="121"/>
        <v>2.5238654911626447E-2</v>
      </c>
      <c r="AK89" s="217">
        <f t="shared" si="107"/>
        <v>4.1000000000000005</v>
      </c>
      <c r="AL89" s="213">
        <f t="shared" si="108"/>
        <v>1500</v>
      </c>
      <c r="AM89" s="218">
        <f t="shared" si="122"/>
        <v>2.7333333333333337E-3</v>
      </c>
      <c r="AN89" s="217">
        <f t="shared" si="123"/>
        <v>2</v>
      </c>
      <c r="AO89" s="213">
        <f t="shared" si="124"/>
        <v>3.2397530770106542E-2</v>
      </c>
      <c r="AP89" s="213">
        <f t="shared" si="125"/>
        <v>8.4368569713819119E-2</v>
      </c>
      <c r="AQ89" s="213">
        <f t="shared" si="126"/>
        <v>0.16873713942763824</v>
      </c>
      <c r="AR89" s="213">
        <f t="shared" si="142"/>
        <v>0.16873713942763824</v>
      </c>
      <c r="AS89" s="218">
        <f t="shared" si="143"/>
        <v>1.75350097000045E-2</v>
      </c>
      <c r="AT89" s="217"/>
      <c r="AU89" s="213">
        <f t="shared" si="127"/>
        <v>2.0172000000000007E-4</v>
      </c>
      <c r="AV89" s="218">
        <f t="shared" si="144"/>
        <v>2.0172000000000007E-4</v>
      </c>
      <c r="AW89" s="217">
        <f t="shared" si="128"/>
        <v>0</v>
      </c>
      <c r="AX89" s="213">
        <f t="shared" si="129"/>
        <v>3.1433333333333335E-3</v>
      </c>
      <c r="AY89" s="218">
        <f t="shared" si="145"/>
        <v>3.1433333333333335E-3</v>
      </c>
      <c r="AZ89" s="217">
        <f t="shared" si="109"/>
        <v>0</v>
      </c>
      <c r="BA89" s="213">
        <f t="shared" si="110"/>
        <v>0</v>
      </c>
      <c r="BB89" s="213">
        <f t="shared" si="146"/>
        <v>0</v>
      </c>
      <c r="BC89" s="61">
        <f t="shared" si="130"/>
        <v>0</v>
      </c>
      <c r="BD89" s="58">
        <v>0</v>
      </c>
      <c r="BE89" s="49">
        <f t="shared" si="131"/>
        <v>0</v>
      </c>
      <c r="BF89" s="61">
        <f t="shared" si="147"/>
        <v>0</v>
      </c>
      <c r="BG89" s="58">
        <f t="shared" si="132"/>
        <v>0</v>
      </c>
      <c r="BH89" s="49">
        <f t="shared" si="133"/>
        <v>0</v>
      </c>
      <c r="BI89" s="61">
        <f t="shared" si="134"/>
        <v>0</v>
      </c>
      <c r="BK89" s="217">
        <f t="shared" si="111"/>
        <v>0</v>
      </c>
      <c r="BL89" s="213">
        <f t="shared" si="112"/>
        <v>0</v>
      </c>
      <c r="BM89" s="213">
        <f t="shared" si="113"/>
        <v>0</v>
      </c>
      <c r="BN89" s="61">
        <f t="shared" si="150"/>
        <v>0</v>
      </c>
      <c r="BO89" s="58">
        <v>0</v>
      </c>
      <c r="BP89" s="49">
        <f t="shared" si="136"/>
        <v>0</v>
      </c>
      <c r="BQ89" s="61">
        <f t="shared" si="148"/>
        <v>0</v>
      </c>
      <c r="BR89" s="58">
        <f t="shared" si="137"/>
        <v>0</v>
      </c>
      <c r="BS89" s="49">
        <f t="shared" si="138"/>
        <v>0</v>
      </c>
      <c r="BT89" s="61">
        <f t="shared" si="149"/>
        <v>0</v>
      </c>
      <c r="BU89" s="58">
        <f t="shared" si="114"/>
        <v>9.8392500857360631E-4</v>
      </c>
      <c r="BV89" s="49">
        <f t="shared" si="115"/>
        <v>3.6450000000000007E-3</v>
      </c>
      <c r="BW89" s="61">
        <f t="shared" si="116"/>
        <v>6.7499999999999999E-3</v>
      </c>
      <c r="BX89" s="49">
        <f t="shared" si="139"/>
        <v>0.36487843996491182</v>
      </c>
      <c r="BY89" s="49">
        <f t="shared" si="140"/>
        <v>0.48684107321844522</v>
      </c>
      <c r="BZ89" s="49">
        <f t="shared" si="141"/>
        <v>89.386136004122676</v>
      </c>
    </row>
    <row r="90" spans="17:78" x14ac:dyDescent="0.3">
      <c r="Q90" s="49">
        <v>83</v>
      </c>
      <c r="R90" s="217">
        <f t="shared" si="94"/>
        <v>4.1500000000000004</v>
      </c>
      <c r="S90" s="213">
        <f t="shared" si="95"/>
        <v>15</v>
      </c>
      <c r="T90" s="218">
        <f t="shared" si="96"/>
        <v>0.27666666666666667</v>
      </c>
      <c r="U90" s="217">
        <f t="shared" si="97"/>
        <v>1</v>
      </c>
      <c r="V90" s="213">
        <f t="shared" si="98"/>
        <v>0.40743097574926729</v>
      </c>
      <c r="W90" s="213">
        <f t="shared" si="99"/>
        <v>3.2594478059941388E-2</v>
      </c>
      <c r="X90" s="213">
        <f t="shared" si="117"/>
        <v>0.55997454619079123</v>
      </c>
      <c r="Y90" s="217">
        <f t="shared" si="118"/>
        <v>0.67905162624877868</v>
      </c>
      <c r="Z90" s="213">
        <f t="shared" si="100"/>
        <v>1.3581032524975578</v>
      </c>
      <c r="AA90" s="213">
        <f t="shared" si="119"/>
        <v>1.3581032524975576</v>
      </c>
      <c r="AB90" s="218">
        <f t="shared" si="101"/>
        <v>0.50049435551772714</v>
      </c>
      <c r="AC90" s="217">
        <v>0</v>
      </c>
      <c r="AD90" s="213">
        <f t="shared" si="102"/>
        <v>0.28806878989087081</v>
      </c>
      <c r="AE90" s="218">
        <f t="shared" si="120"/>
        <v>0.28806878989087081</v>
      </c>
      <c r="AF90" s="58">
        <f t="shared" si="103"/>
        <v>8.3000000000000004E-2</v>
      </c>
      <c r="AG90" s="61">
        <f t="shared" si="104"/>
        <v>8.3000000000000004E-2</v>
      </c>
      <c r="AH90" s="58">
        <f t="shared" si="105"/>
        <v>1.7534621993357355E-2</v>
      </c>
      <c r="AI90" s="49">
        <f t="shared" si="106"/>
        <v>8.0687213110232185E-3</v>
      </c>
      <c r="AJ90" s="61">
        <f t="shared" si="121"/>
        <v>2.5603343304380573E-2</v>
      </c>
      <c r="AK90" s="217">
        <f t="shared" si="107"/>
        <v>4.1500000000000004</v>
      </c>
      <c r="AL90" s="213">
        <f t="shared" si="108"/>
        <v>1500</v>
      </c>
      <c r="AM90" s="218">
        <f t="shared" si="122"/>
        <v>2.7666666666666668E-3</v>
      </c>
      <c r="AN90" s="217">
        <f t="shared" si="123"/>
        <v>1</v>
      </c>
      <c r="AO90" s="213">
        <f t="shared" si="124"/>
        <v>3.2594478059941388E-2</v>
      </c>
      <c r="AP90" s="213">
        <f t="shared" si="125"/>
        <v>8.4881453281097335E-2</v>
      </c>
      <c r="AQ90" s="213">
        <f t="shared" si="126"/>
        <v>0.16976290656219473</v>
      </c>
      <c r="AR90" s="213">
        <f t="shared" si="142"/>
        <v>0.1697629065621947</v>
      </c>
      <c r="AS90" s="218">
        <f t="shared" si="143"/>
        <v>1.7695147636608784E-2</v>
      </c>
      <c r="AT90" s="217"/>
      <c r="AU90" s="213">
        <f t="shared" si="127"/>
        <v>2.0667E-4</v>
      </c>
      <c r="AV90" s="218">
        <f t="shared" si="144"/>
        <v>2.0667E-4</v>
      </c>
      <c r="AW90" s="217">
        <f t="shared" si="128"/>
        <v>0</v>
      </c>
      <c r="AX90" s="213">
        <f t="shared" si="129"/>
        <v>3.1816666666666664E-3</v>
      </c>
      <c r="AY90" s="218">
        <f t="shared" si="145"/>
        <v>3.1816666666666664E-3</v>
      </c>
      <c r="AZ90" s="217">
        <f t="shared" si="109"/>
        <v>0</v>
      </c>
      <c r="BA90" s="213">
        <f t="shared" si="110"/>
        <v>0</v>
      </c>
      <c r="BB90" s="213">
        <f t="shared" si="146"/>
        <v>0</v>
      </c>
      <c r="BC90" s="61">
        <f t="shared" si="130"/>
        <v>0</v>
      </c>
      <c r="BD90" s="58">
        <v>0</v>
      </c>
      <c r="BE90" s="49">
        <f t="shared" si="131"/>
        <v>0</v>
      </c>
      <c r="BF90" s="61">
        <f t="shared" si="147"/>
        <v>0</v>
      </c>
      <c r="BG90" s="58">
        <f t="shared" si="132"/>
        <v>0</v>
      </c>
      <c r="BH90" s="49">
        <f t="shared" si="133"/>
        <v>0</v>
      </c>
      <c r="BI90" s="61">
        <f t="shared" si="134"/>
        <v>0</v>
      </c>
      <c r="BK90" s="217">
        <f t="shared" si="111"/>
        <v>0</v>
      </c>
      <c r="BL90" s="213">
        <f t="shared" si="112"/>
        <v>0</v>
      </c>
      <c r="BM90" s="213">
        <f t="shared" si="113"/>
        <v>0</v>
      </c>
      <c r="BN90" s="61">
        <f t="shared" si="150"/>
        <v>0</v>
      </c>
      <c r="BO90" s="58">
        <v>0</v>
      </c>
      <c r="BP90" s="49">
        <f t="shared" si="136"/>
        <v>0</v>
      </c>
      <c r="BQ90" s="61">
        <f t="shared" si="148"/>
        <v>0</v>
      </c>
      <c r="BR90" s="58">
        <f t="shared" si="137"/>
        <v>0</v>
      </c>
      <c r="BS90" s="49">
        <f t="shared" si="138"/>
        <v>0</v>
      </c>
      <c r="BT90" s="61">
        <f t="shared" si="149"/>
        <v>0</v>
      </c>
      <c r="BU90" s="58">
        <f t="shared" si="114"/>
        <v>1.0019783996204202E-3</v>
      </c>
      <c r="BV90" s="49">
        <f t="shared" si="115"/>
        <v>3.6450000000000007E-3</v>
      </c>
      <c r="BW90" s="61">
        <f t="shared" si="116"/>
        <v>6.7499999999999999E-3</v>
      </c>
      <c r="BX90" s="49">
        <f t="shared" si="139"/>
        <v>0.37106878989087083</v>
      </c>
      <c r="BY90" s="49">
        <f t="shared" si="140"/>
        <v>0.49445744826153853</v>
      </c>
      <c r="BZ90" s="49">
        <f t="shared" si="141"/>
        <v>89.35381680702838</v>
      </c>
    </row>
    <row r="91" spans="17:78" x14ac:dyDescent="0.3">
      <c r="Q91" s="49">
        <v>84</v>
      </c>
      <c r="R91" s="217">
        <f t="shared" si="94"/>
        <v>4.2</v>
      </c>
      <c r="S91" s="213">
        <f t="shared" si="95"/>
        <v>15</v>
      </c>
      <c r="T91" s="218">
        <f t="shared" si="96"/>
        <v>0.28000000000000003</v>
      </c>
      <c r="U91" s="217">
        <f t="shared" si="97"/>
        <v>1</v>
      </c>
      <c r="V91" s="213">
        <f t="shared" si="98"/>
        <v>0.40987803063838391</v>
      </c>
      <c r="W91" s="213">
        <f t="shared" si="99"/>
        <v>3.2790242451070713E-2</v>
      </c>
      <c r="X91" s="213">
        <f t="shared" si="117"/>
        <v>0.55733172691054533</v>
      </c>
      <c r="Y91" s="217">
        <f t="shared" si="118"/>
        <v>0.68313005106397329</v>
      </c>
      <c r="Z91" s="213">
        <f t="shared" si="100"/>
        <v>1.3662601021279464</v>
      </c>
      <c r="AA91" s="213">
        <f t="shared" si="119"/>
        <v>1.3662601021279466</v>
      </c>
      <c r="AB91" s="218">
        <f t="shared" si="101"/>
        <v>0.5050101177836771</v>
      </c>
      <c r="AC91" s="217">
        <v>0</v>
      </c>
      <c r="AD91" s="213">
        <f t="shared" si="102"/>
        <v>0.29329050192346601</v>
      </c>
      <c r="AE91" s="218">
        <f t="shared" si="120"/>
        <v>0.29329050192346601</v>
      </c>
      <c r="AF91" s="58">
        <f t="shared" si="103"/>
        <v>8.4000000000000005E-2</v>
      </c>
      <c r="AG91" s="61">
        <f t="shared" si="104"/>
        <v>8.4000000000000005E-2</v>
      </c>
      <c r="AH91" s="58">
        <f t="shared" si="105"/>
        <v>1.7852465334471841E-2</v>
      </c>
      <c r="AI91" s="49">
        <f t="shared" si="106"/>
        <v>8.1171825353980945E-3</v>
      </c>
      <c r="AJ91" s="61">
        <f t="shared" si="121"/>
        <v>2.5969647869869935E-2</v>
      </c>
      <c r="AK91" s="217">
        <f t="shared" si="107"/>
        <v>4.2</v>
      </c>
      <c r="AL91" s="213">
        <f t="shared" si="108"/>
        <v>1500</v>
      </c>
      <c r="AM91" s="218">
        <f t="shared" si="122"/>
        <v>2.8E-3</v>
      </c>
      <c r="AN91" s="217">
        <f t="shared" si="123"/>
        <v>2</v>
      </c>
      <c r="AO91" s="213">
        <f t="shared" si="124"/>
        <v>3.2790242451070713E-2</v>
      </c>
      <c r="AP91" s="213">
        <f t="shared" si="125"/>
        <v>8.5391256382996661E-2</v>
      </c>
      <c r="AQ91" s="213">
        <f t="shared" si="126"/>
        <v>0.17078251276599329</v>
      </c>
      <c r="AR91" s="213">
        <f t="shared" si="142"/>
        <v>0.17078251276599332</v>
      </c>
      <c r="AS91" s="218">
        <f t="shared" si="143"/>
        <v>1.7854803942632756E-2</v>
      </c>
      <c r="AT91" s="217"/>
      <c r="AU91" s="213">
        <f t="shared" si="127"/>
        <v>2.1167999999999998E-4</v>
      </c>
      <c r="AV91" s="218">
        <f t="shared" si="144"/>
        <v>2.1167999999999998E-4</v>
      </c>
      <c r="AW91" s="217">
        <f t="shared" si="128"/>
        <v>0</v>
      </c>
      <c r="AX91" s="213">
        <f t="shared" si="129"/>
        <v>3.2199999999999998E-3</v>
      </c>
      <c r="AY91" s="218">
        <f t="shared" si="145"/>
        <v>3.2199999999999998E-3</v>
      </c>
      <c r="AZ91" s="217">
        <f t="shared" si="109"/>
        <v>0</v>
      </c>
      <c r="BA91" s="213">
        <f t="shared" si="110"/>
        <v>0</v>
      </c>
      <c r="BB91" s="213">
        <f t="shared" si="146"/>
        <v>0</v>
      </c>
      <c r="BC91" s="61">
        <f t="shared" si="130"/>
        <v>0</v>
      </c>
      <c r="BD91" s="58">
        <v>0</v>
      </c>
      <c r="BE91" s="49">
        <f t="shared" si="131"/>
        <v>0</v>
      </c>
      <c r="BF91" s="61">
        <f t="shared" si="147"/>
        <v>0</v>
      </c>
      <c r="BG91" s="58">
        <f t="shared" si="132"/>
        <v>0</v>
      </c>
      <c r="BH91" s="49">
        <f t="shared" si="133"/>
        <v>0</v>
      </c>
      <c r="BI91" s="61">
        <f t="shared" si="134"/>
        <v>0</v>
      </c>
      <c r="BK91" s="217">
        <f t="shared" si="111"/>
        <v>0</v>
      </c>
      <c r="BL91" s="213">
        <f t="shared" si="112"/>
        <v>0</v>
      </c>
      <c r="BM91" s="213">
        <f t="shared" si="113"/>
        <v>0</v>
      </c>
      <c r="BN91" s="61">
        <f t="shared" si="150"/>
        <v>0</v>
      </c>
      <c r="BO91" s="58">
        <v>0</v>
      </c>
      <c r="BP91" s="49">
        <f t="shared" si="136"/>
        <v>0</v>
      </c>
      <c r="BQ91" s="61">
        <f t="shared" si="148"/>
        <v>0</v>
      </c>
      <c r="BR91" s="58">
        <f t="shared" si="137"/>
        <v>0</v>
      </c>
      <c r="BS91" s="49">
        <f t="shared" si="138"/>
        <v>0</v>
      </c>
      <c r="BT91" s="61">
        <f t="shared" si="149"/>
        <v>0</v>
      </c>
      <c r="BU91" s="58">
        <f t="shared" si="114"/>
        <v>1.0201408762555337E-3</v>
      </c>
      <c r="BV91" s="49">
        <f t="shared" si="115"/>
        <v>3.6450000000000007E-3</v>
      </c>
      <c r="BW91" s="61">
        <f t="shared" si="116"/>
        <v>6.7499999999999999E-3</v>
      </c>
      <c r="BX91" s="49">
        <f t="shared" si="139"/>
        <v>0.37729050192346603</v>
      </c>
      <c r="BY91" s="49">
        <f t="shared" si="140"/>
        <v>0.50210697066959142</v>
      </c>
      <c r="BZ91" s="49">
        <f t="shared" si="141"/>
        <v>89.321659974951828</v>
      </c>
    </row>
    <row r="92" spans="17:78" x14ac:dyDescent="0.3">
      <c r="Q92" s="49">
        <v>85</v>
      </c>
      <c r="R92" s="217">
        <f t="shared" si="94"/>
        <v>4.25</v>
      </c>
      <c r="S92" s="213">
        <f t="shared" si="95"/>
        <v>15</v>
      </c>
      <c r="T92" s="218">
        <f t="shared" si="96"/>
        <v>0.28333333333333333</v>
      </c>
      <c r="U92" s="217">
        <f t="shared" si="97"/>
        <v>1</v>
      </c>
      <c r="V92" s="213">
        <f t="shared" si="98"/>
        <v>0.41231056256176607</v>
      </c>
      <c r="W92" s="213">
        <f t="shared" si="99"/>
        <v>3.2984845004941289E-2</v>
      </c>
      <c r="X92" s="213">
        <f t="shared" si="117"/>
        <v>0.55470459243329273</v>
      </c>
      <c r="Y92" s="217">
        <f t="shared" si="118"/>
        <v>0.68718427093627665</v>
      </c>
      <c r="Z92" s="213">
        <f t="shared" si="100"/>
        <v>1.3743685418725535</v>
      </c>
      <c r="AA92" s="213">
        <f t="shared" si="119"/>
        <v>1.3743685418725535</v>
      </c>
      <c r="AB92" s="218">
        <f t="shared" si="101"/>
        <v>0.50951245990471028</v>
      </c>
      <c r="AC92" s="217">
        <v>0</v>
      </c>
      <c r="AD92" s="213">
        <f t="shared" si="102"/>
        <v>0.2985433888178714</v>
      </c>
      <c r="AE92" s="218">
        <f t="shared" si="120"/>
        <v>0.2985433888178714</v>
      </c>
      <c r="AF92" s="58">
        <f t="shared" si="103"/>
        <v>8.5000000000000006E-2</v>
      </c>
      <c r="AG92" s="61">
        <f t="shared" si="104"/>
        <v>8.5000000000000006E-2</v>
      </c>
      <c r="AH92" s="58">
        <f t="shared" si="105"/>
        <v>1.817220627587043E-2</v>
      </c>
      <c r="AI92" s="49">
        <f t="shared" si="106"/>
        <v>8.1653561484471317E-3</v>
      </c>
      <c r="AJ92" s="61">
        <f t="shared" si="121"/>
        <v>2.6337562424317562E-2</v>
      </c>
      <c r="AK92" s="217">
        <f t="shared" si="107"/>
        <v>4.25</v>
      </c>
      <c r="AL92" s="213">
        <f t="shared" si="108"/>
        <v>1500</v>
      </c>
      <c r="AM92" s="218">
        <f t="shared" si="122"/>
        <v>2.8333333333333335E-3</v>
      </c>
      <c r="AN92" s="217">
        <f t="shared" si="123"/>
        <v>2</v>
      </c>
      <c r="AO92" s="213">
        <f t="shared" si="124"/>
        <v>3.2984845004941289E-2</v>
      </c>
      <c r="AP92" s="213">
        <f t="shared" si="125"/>
        <v>8.5898033867034582E-2</v>
      </c>
      <c r="AQ92" s="213">
        <f t="shared" si="126"/>
        <v>0.17179606773406919</v>
      </c>
      <c r="AR92" s="213">
        <f t="shared" si="142"/>
        <v>0.17179606773406919</v>
      </c>
      <c r="AS92" s="218">
        <f t="shared" si="143"/>
        <v>1.801398577488298E-2</v>
      </c>
      <c r="AT92" s="217"/>
      <c r="AU92" s="213">
        <f t="shared" si="127"/>
        <v>2.1675000000000001E-4</v>
      </c>
      <c r="AV92" s="218">
        <f t="shared" si="144"/>
        <v>2.1675000000000001E-4</v>
      </c>
      <c r="AW92" s="217">
        <f t="shared" si="128"/>
        <v>0</v>
      </c>
      <c r="AX92" s="213">
        <f t="shared" si="129"/>
        <v>3.2583333333333331E-3</v>
      </c>
      <c r="AY92" s="218">
        <f t="shared" si="145"/>
        <v>3.2583333333333331E-3</v>
      </c>
      <c r="AZ92" s="217">
        <f t="shared" si="109"/>
        <v>0</v>
      </c>
      <c r="BA92" s="213">
        <f t="shared" si="110"/>
        <v>0</v>
      </c>
      <c r="BB92" s="213">
        <f t="shared" si="146"/>
        <v>0</v>
      </c>
      <c r="BC92" s="61">
        <f t="shared" si="130"/>
        <v>0</v>
      </c>
      <c r="BD92" s="58">
        <v>0</v>
      </c>
      <c r="BE92" s="49">
        <f t="shared" si="131"/>
        <v>0</v>
      </c>
      <c r="BF92" s="61">
        <f t="shared" si="147"/>
        <v>0</v>
      </c>
      <c r="BG92" s="58">
        <f t="shared" si="132"/>
        <v>0</v>
      </c>
      <c r="BH92" s="49">
        <f t="shared" si="133"/>
        <v>0</v>
      </c>
      <c r="BI92" s="61">
        <f t="shared" si="134"/>
        <v>0</v>
      </c>
      <c r="BK92" s="217">
        <f t="shared" si="111"/>
        <v>0</v>
      </c>
      <c r="BL92" s="213">
        <f t="shared" si="112"/>
        <v>0</v>
      </c>
      <c r="BM92" s="213">
        <f t="shared" si="113"/>
        <v>0</v>
      </c>
      <c r="BN92" s="61">
        <f t="shared" si="150"/>
        <v>0</v>
      </c>
      <c r="BO92" s="58">
        <v>0</v>
      </c>
      <c r="BP92" s="49">
        <f t="shared" si="136"/>
        <v>0</v>
      </c>
      <c r="BQ92" s="61">
        <f t="shared" si="148"/>
        <v>0</v>
      </c>
      <c r="BR92" s="58">
        <f t="shared" si="137"/>
        <v>0</v>
      </c>
      <c r="BS92" s="49">
        <f t="shared" si="138"/>
        <v>0</v>
      </c>
      <c r="BT92" s="61">
        <f t="shared" si="149"/>
        <v>0</v>
      </c>
      <c r="BU92" s="58">
        <f t="shared" si="114"/>
        <v>1.038411787192596E-3</v>
      </c>
      <c r="BV92" s="49">
        <f t="shared" si="115"/>
        <v>3.6450000000000007E-3</v>
      </c>
      <c r="BW92" s="61">
        <f t="shared" si="116"/>
        <v>6.7499999999999999E-3</v>
      </c>
      <c r="BX92" s="49">
        <f t="shared" si="139"/>
        <v>0.38354338881787142</v>
      </c>
      <c r="BY92" s="49">
        <f t="shared" si="140"/>
        <v>0.50978944636271484</v>
      </c>
      <c r="BZ92" s="49">
        <f t="shared" si="141"/>
        <v>89.289663920905554</v>
      </c>
    </row>
    <row r="93" spans="17:78" x14ac:dyDescent="0.3">
      <c r="Q93" s="49">
        <v>86</v>
      </c>
      <c r="R93" s="217">
        <f t="shared" si="94"/>
        <v>4.3</v>
      </c>
      <c r="S93" s="213">
        <f t="shared" si="95"/>
        <v>15</v>
      </c>
      <c r="T93" s="218">
        <f t="shared" si="96"/>
        <v>0.28666666666666668</v>
      </c>
      <c r="U93" s="217">
        <f t="shared" si="97"/>
        <v>1</v>
      </c>
      <c r="V93" s="213">
        <f t="shared" si="98"/>
        <v>0.4147288270665544</v>
      </c>
      <c r="W93" s="213">
        <f t="shared" si="99"/>
        <v>3.3178306165324356E-2</v>
      </c>
      <c r="X93" s="213">
        <f t="shared" si="117"/>
        <v>0.5520928667681213</v>
      </c>
      <c r="Y93" s="217">
        <f t="shared" si="118"/>
        <v>0.69121471177759064</v>
      </c>
      <c r="Z93" s="213">
        <f t="shared" si="100"/>
        <v>1.3824294235551813</v>
      </c>
      <c r="AA93" s="213">
        <f t="shared" si="119"/>
        <v>1.3824294235551813</v>
      </c>
      <c r="AB93" s="218">
        <f t="shared" si="101"/>
        <v>0.51400157895508791</v>
      </c>
      <c r="AC93" s="217">
        <v>0</v>
      </c>
      <c r="AD93" s="213">
        <f t="shared" si="102"/>
        <v>0.30382726664357201</v>
      </c>
      <c r="AE93" s="218">
        <f t="shared" si="120"/>
        <v>0.30382726664357201</v>
      </c>
      <c r="AF93" s="58">
        <f t="shared" si="103"/>
        <v>8.5999999999999993E-2</v>
      </c>
      <c r="AG93" s="61">
        <f t="shared" si="104"/>
        <v>8.5999999999999993E-2</v>
      </c>
      <c r="AH93" s="58">
        <f t="shared" si="105"/>
        <v>1.8493833621782644E-2</v>
      </c>
      <c r="AI93" s="49">
        <f t="shared" si="106"/>
        <v>8.2132472109997367E-3</v>
      </c>
      <c r="AJ93" s="61">
        <f t="shared" si="121"/>
        <v>2.6707080832782379E-2</v>
      </c>
      <c r="AK93" s="217">
        <f t="shared" si="107"/>
        <v>4.3</v>
      </c>
      <c r="AL93" s="213">
        <f t="shared" si="108"/>
        <v>1500</v>
      </c>
      <c r="AM93" s="218">
        <f t="shared" si="122"/>
        <v>2.8666666666666667E-3</v>
      </c>
      <c r="AN93" s="217">
        <f t="shared" si="123"/>
        <v>2</v>
      </c>
      <c r="AO93" s="213">
        <f t="shared" si="124"/>
        <v>3.3178306165324356E-2</v>
      </c>
      <c r="AP93" s="213">
        <f t="shared" si="125"/>
        <v>8.640183897219883E-2</v>
      </c>
      <c r="AQ93" s="213">
        <f t="shared" si="126"/>
        <v>0.17280367794439769</v>
      </c>
      <c r="AR93" s="213">
        <f t="shared" si="142"/>
        <v>0.17280367794439766</v>
      </c>
      <c r="AS93" s="218">
        <f t="shared" si="143"/>
        <v>1.8172700100986761E-2</v>
      </c>
      <c r="AT93" s="217"/>
      <c r="AU93" s="213">
        <f t="shared" si="127"/>
        <v>2.2188000000000001E-4</v>
      </c>
      <c r="AV93" s="218">
        <f t="shared" si="144"/>
        <v>2.2188000000000001E-4</v>
      </c>
      <c r="AW93" s="217">
        <f t="shared" si="128"/>
        <v>0</v>
      </c>
      <c r="AX93" s="213">
        <f t="shared" si="129"/>
        <v>3.2966666666666665E-3</v>
      </c>
      <c r="AY93" s="218">
        <f t="shared" si="145"/>
        <v>3.2966666666666665E-3</v>
      </c>
      <c r="AZ93" s="217">
        <f t="shared" si="109"/>
        <v>0</v>
      </c>
      <c r="BA93" s="213">
        <f t="shared" si="110"/>
        <v>0</v>
      </c>
      <c r="BB93" s="213">
        <f t="shared" si="146"/>
        <v>0</v>
      </c>
      <c r="BC93" s="61">
        <f t="shared" si="130"/>
        <v>0</v>
      </c>
      <c r="BD93" s="58">
        <v>0</v>
      </c>
      <c r="BE93" s="49">
        <f t="shared" si="131"/>
        <v>0</v>
      </c>
      <c r="BF93" s="61">
        <f t="shared" si="147"/>
        <v>0</v>
      </c>
      <c r="BG93" s="58">
        <f t="shared" si="132"/>
        <v>0</v>
      </c>
      <c r="BH93" s="49">
        <f t="shared" si="133"/>
        <v>0</v>
      </c>
      <c r="BI93" s="61">
        <f t="shared" si="134"/>
        <v>0</v>
      </c>
      <c r="BK93" s="217">
        <f t="shared" si="111"/>
        <v>0</v>
      </c>
      <c r="BL93" s="213">
        <f t="shared" si="112"/>
        <v>0</v>
      </c>
      <c r="BM93" s="213">
        <f t="shared" si="113"/>
        <v>0</v>
      </c>
      <c r="BN93" s="61">
        <f t="shared" si="150"/>
        <v>0</v>
      </c>
      <c r="BO93" s="58">
        <v>0</v>
      </c>
      <c r="BP93" s="49">
        <f t="shared" si="136"/>
        <v>0</v>
      </c>
      <c r="BQ93" s="61">
        <f t="shared" si="148"/>
        <v>0</v>
      </c>
      <c r="BR93" s="58">
        <f t="shared" si="137"/>
        <v>0</v>
      </c>
      <c r="BS93" s="49">
        <f t="shared" si="138"/>
        <v>0</v>
      </c>
      <c r="BT93" s="61">
        <f t="shared" si="149"/>
        <v>0</v>
      </c>
      <c r="BU93" s="58">
        <f t="shared" si="114"/>
        <v>1.0567904926732938E-3</v>
      </c>
      <c r="BV93" s="49">
        <f t="shared" si="115"/>
        <v>3.6450000000000007E-3</v>
      </c>
      <c r="BW93" s="61">
        <f t="shared" si="116"/>
        <v>6.7499999999999999E-3</v>
      </c>
      <c r="BX93" s="49">
        <f t="shared" si="139"/>
        <v>0.38982726664357203</v>
      </c>
      <c r="BY93" s="49">
        <f t="shared" si="140"/>
        <v>0.51750468463569432</v>
      </c>
      <c r="BZ93" s="49">
        <f t="shared" si="141"/>
        <v>89.257827059594675</v>
      </c>
    </row>
    <row r="94" spans="17:78" x14ac:dyDescent="0.3">
      <c r="Q94" s="49">
        <v>87</v>
      </c>
      <c r="R94" s="217">
        <f t="shared" si="94"/>
        <v>4.3500000000000005</v>
      </c>
      <c r="S94" s="213">
        <f t="shared" si="95"/>
        <v>15</v>
      </c>
      <c r="T94" s="218">
        <f t="shared" si="96"/>
        <v>0.29000000000000004</v>
      </c>
      <c r="U94" s="217">
        <f t="shared" si="97"/>
        <v>1</v>
      </c>
      <c r="V94" s="213">
        <f t="shared" si="98"/>
        <v>0.41713307229228425</v>
      </c>
      <c r="W94" s="213">
        <f t="shared" si="99"/>
        <v>3.3370645783382738E-2</v>
      </c>
      <c r="X94" s="213">
        <f t="shared" si="117"/>
        <v>0.54949628192433297</v>
      </c>
      <c r="Y94" s="217">
        <f t="shared" si="118"/>
        <v>0.695221787153807</v>
      </c>
      <c r="Z94" s="213">
        <f t="shared" si="100"/>
        <v>1.3904435743076142</v>
      </c>
      <c r="AA94" s="213">
        <f t="shared" si="119"/>
        <v>1.3904435743076142</v>
      </c>
      <c r="AB94" s="218">
        <f t="shared" si="101"/>
        <v>0.51847766686020857</v>
      </c>
      <c r="AC94" s="217">
        <v>0</v>
      </c>
      <c r="AD94" s="213">
        <f t="shared" si="102"/>
        <v>0.30914195468772626</v>
      </c>
      <c r="AE94" s="218">
        <f t="shared" si="120"/>
        <v>0.30914195468772626</v>
      </c>
      <c r="AF94" s="58">
        <f t="shared" si="103"/>
        <v>8.7000000000000008E-2</v>
      </c>
      <c r="AG94" s="61">
        <f t="shared" si="104"/>
        <v>8.7000000000000008E-2</v>
      </c>
      <c r="AH94" s="58">
        <f t="shared" si="105"/>
        <v>1.8817336372296382E-2</v>
      </c>
      <c r="AI94" s="49">
        <f t="shared" si="106"/>
        <v>8.2608606371858458E-3</v>
      </c>
      <c r="AJ94" s="61">
        <f t="shared" si="121"/>
        <v>2.7078197009482226E-2</v>
      </c>
      <c r="AK94" s="217">
        <f t="shared" si="107"/>
        <v>4.3500000000000005</v>
      </c>
      <c r="AL94" s="213">
        <f t="shared" si="108"/>
        <v>1500</v>
      </c>
      <c r="AM94" s="218">
        <f t="shared" si="122"/>
        <v>2.9000000000000002E-3</v>
      </c>
      <c r="AN94" s="217">
        <f t="shared" si="123"/>
        <v>2</v>
      </c>
      <c r="AO94" s="213">
        <f t="shared" si="124"/>
        <v>3.3370645783382738E-2</v>
      </c>
      <c r="AP94" s="213">
        <f t="shared" si="125"/>
        <v>8.6902723394225875E-2</v>
      </c>
      <c r="AQ94" s="213">
        <f t="shared" si="126"/>
        <v>0.17380544678845175</v>
      </c>
      <c r="AR94" s="213">
        <f t="shared" si="142"/>
        <v>0.17380544678845175</v>
      </c>
      <c r="AS94" s="218">
        <f t="shared" si="143"/>
        <v>1.833095370653166E-2</v>
      </c>
      <c r="AT94" s="217"/>
      <c r="AU94" s="213">
        <f t="shared" si="127"/>
        <v>2.2707000000000003E-4</v>
      </c>
      <c r="AV94" s="218">
        <f t="shared" si="144"/>
        <v>2.2707000000000003E-4</v>
      </c>
      <c r="AW94" s="217">
        <f t="shared" si="128"/>
        <v>0</v>
      </c>
      <c r="AX94" s="213">
        <f t="shared" si="129"/>
        <v>3.3349999999999999E-3</v>
      </c>
      <c r="AY94" s="218">
        <f t="shared" si="145"/>
        <v>3.3349999999999999E-3</v>
      </c>
      <c r="AZ94" s="217">
        <f t="shared" si="109"/>
        <v>0</v>
      </c>
      <c r="BA94" s="213">
        <f t="shared" si="110"/>
        <v>0</v>
      </c>
      <c r="BB94" s="213">
        <f t="shared" si="146"/>
        <v>0</v>
      </c>
      <c r="BC94" s="61">
        <f t="shared" si="130"/>
        <v>0</v>
      </c>
      <c r="BD94" s="58">
        <v>0</v>
      </c>
      <c r="BE94" s="49">
        <f t="shared" si="131"/>
        <v>0</v>
      </c>
      <c r="BF94" s="61">
        <f t="shared" si="147"/>
        <v>0</v>
      </c>
      <c r="BG94" s="58">
        <f t="shared" si="132"/>
        <v>0</v>
      </c>
      <c r="BH94" s="49">
        <f t="shared" si="133"/>
        <v>0</v>
      </c>
      <c r="BI94" s="61">
        <f t="shared" si="134"/>
        <v>0</v>
      </c>
      <c r="BK94" s="217">
        <f t="shared" si="111"/>
        <v>0</v>
      </c>
      <c r="BL94" s="213">
        <f t="shared" si="112"/>
        <v>0</v>
      </c>
      <c r="BM94" s="213">
        <f t="shared" si="113"/>
        <v>0</v>
      </c>
      <c r="BN94" s="61">
        <f t="shared" si="150"/>
        <v>0</v>
      </c>
      <c r="BO94" s="58">
        <v>0</v>
      </c>
      <c r="BP94" s="49">
        <f t="shared" si="136"/>
        <v>0</v>
      </c>
      <c r="BQ94" s="61">
        <f t="shared" si="148"/>
        <v>0</v>
      </c>
      <c r="BR94" s="58">
        <f t="shared" si="137"/>
        <v>0</v>
      </c>
      <c r="BS94" s="49">
        <f t="shared" si="138"/>
        <v>0</v>
      </c>
      <c r="BT94" s="61">
        <f t="shared" si="149"/>
        <v>0</v>
      </c>
      <c r="BU94" s="58">
        <f t="shared" si="114"/>
        <v>1.0752763641312217E-3</v>
      </c>
      <c r="BV94" s="49">
        <f t="shared" si="115"/>
        <v>3.6450000000000007E-3</v>
      </c>
      <c r="BW94" s="61">
        <f t="shared" si="116"/>
        <v>6.7499999999999999E-3</v>
      </c>
      <c r="BX94" s="49">
        <f t="shared" si="139"/>
        <v>0.39614195468772628</v>
      </c>
      <c r="BY94" s="49">
        <f t="shared" si="140"/>
        <v>0.52525249806133967</v>
      </c>
      <c r="BZ94" s="49">
        <f t="shared" si="141"/>
        <v>89.226147809365614</v>
      </c>
    </row>
    <row r="95" spans="17:78" x14ac:dyDescent="0.3">
      <c r="Q95" s="49">
        <v>88</v>
      </c>
      <c r="R95" s="217">
        <f t="shared" si="94"/>
        <v>4.4000000000000004</v>
      </c>
      <c r="S95" s="213">
        <f t="shared" si="95"/>
        <v>15</v>
      </c>
      <c r="T95" s="218">
        <f t="shared" si="96"/>
        <v>0.29333333333333333</v>
      </c>
      <c r="U95" s="217">
        <f t="shared" si="97"/>
        <v>1</v>
      </c>
      <c r="V95" s="213">
        <f t="shared" si="98"/>
        <v>0.41952353926806057</v>
      </c>
      <c r="W95" s="213">
        <f t="shared" si="99"/>
        <v>3.356188314144485E-2</v>
      </c>
      <c r="X95" s="213">
        <f t="shared" si="117"/>
        <v>0.54691457759049467</v>
      </c>
      <c r="Y95" s="217">
        <f t="shared" si="118"/>
        <v>0.69920589878010109</v>
      </c>
      <c r="Z95" s="213">
        <f t="shared" si="100"/>
        <v>1.398411797560202</v>
      </c>
      <c r="AA95" s="213">
        <f t="shared" si="119"/>
        <v>1.3984117975602022</v>
      </c>
      <c r="AB95" s="218">
        <f t="shared" si="101"/>
        <v>0.52294091058869008</v>
      </c>
      <c r="AC95" s="217">
        <v>0</v>
      </c>
      <c r="AD95" s="213">
        <f t="shared" si="102"/>
        <v>0.3144872753624276</v>
      </c>
      <c r="AE95" s="218">
        <f t="shared" si="120"/>
        <v>0.3144872753624276</v>
      </c>
      <c r="AF95" s="58">
        <f t="shared" si="103"/>
        <v>8.8000000000000009E-2</v>
      </c>
      <c r="AG95" s="61">
        <f t="shared" si="104"/>
        <v>8.8000000000000009E-2</v>
      </c>
      <c r="AH95" s="58">
        <f t="shared" si="105"/>
        <v>1.9142703717712983E-2</v>
      </c>
      <c r="AI95" s="49">
        <f t="shared" si="106"/>
        <v>8.3082012003211688E-3</v>
      </c>
      <c r="AJ95" s="61">
        <f t="shared" si="121"/>
        <v>2.7450904918034154E-2</v>
      </c>
      <c r="AK95" s="217">
        <f t="shared" si="107"/>
        <v>4.4000000000000004</v>
      </c>
      <c r="AL95" s="213">
        <f t="shared" si="108"/>
        <v>1500</v>
      </c>
      <c r="AM95" s="218">
        <f t="shared" si="122"/>
        <v>2.9333333333333334E-3</v>
      </c>
      <c r="AN95" s="217">
        <f t="shared" si="123"/>
        <v>2</v>
      </c>
      <c r="AO95" s="213">
        <f t="shared" si="124"/>
        <v>3.356188314144485E-2</v>
      </c>
      <c r="AP95" s="213">
        <f t="shared" si="125"/>
        <v>8.7400737347512636E-2</v>
      </c>
      <c r="AQ95" s="213">
        <f t="shared" si="126"/>
        <v>0.17480147469502524</v>
      </c>
      <c r="AR95" s="213">
        <f t="shared" si="142"/>
        <v>0.17480147469502527</v>
      </c>
      <c r="AS95" s="218">
        <f t="shared" si="143"/>
        <v>1.8488753201856545E-2</v>
      </c>
      <c r="AT95" s="217"/>
      <c r="AU95" s="213">
        <f t="shared" si="127"/>
        <v>2.3232E-4</v>
      </c>
      <c r="AV95" s="218">
        <f t="shared" si="144"/>
        <v>2.3232E-4</v>
      </c>
      <c r="AW95" s="217">
        <f t="shared" si="128"/>
        <v>0</v>
      </c>
      <c r="AX95" s="213">
        <f t="shared" si="129"/>
        <v>3.3733333333333332E-3</v>
      </c>
      <c r="AY95" s="218">
        <f t="shared" si="145"/>
        <v>3.3733333333333332E-3</v>
      </c>
      <c r="AZ95" s="217">
        <f t="shared" si="109"/>
        <v>0</v>
      </c>
      <c r="BA95" s="213">
        <f t="shared" si="110"/>
        <v>0</v>
      </c>
      <c r="BB95" s="213">
        <f t="shared" si="146"/>
        <v>0</v>
      </c>
      <c r="BC95" s="61">
        <f t="shared" si="130"/>
        <v>0</v>
      </c>
      <c r="BD95" s="58">
        <v>0</v>
      </c>
      <c r="BE95" s="49">
        <f t="shared" si="131"/>
        <v>0</v>
      </c>
      <c r="BF95" s="61">
        <f t="shared" si="147"/>
        <v>0</v>
      </c>
      <c r="BG95" s="58">
        <f t="shared" si="132"/>
        <v>0</v>
      </c>
      <c r="BH95" s="49">
        <f t="shared" si="133"/>
        <v>0</v>
      </c>
      <c r="BI95" s="61">
        <f t="shared" si="134"/>
        <v>0</v>
      </c>
      <c r="BK95" s="217">
        <f t="shared" si="111"/>
        <v>0</v>
      </c>
      <c r="BL95" s="213">
        <f t="shared" si="112"/>
        <v>0</v>
      </c>
      <c r="BM95" s="213">
        <f t="shared" si="113"/>
        <v>0</v>
      </c>
      <c r="BN95" s="61">
        <f t="shared" si="150"/>
        <v>0</v>
      </c>
      <c r="BO95" s="58">
        <v>0</v>
      </c>
      <c r="BP95" s="49">
        <f t="shared" si="136"/>
        <v>0</v>
      </c>
      <c r="BQ95" s="61">
        <f t="shared" si="148"/>
        <v>0</v>
      </c>
      <c r="BR95" s="58">
        <f t="shared" si="137"/>
        <v>0</v>
      </c>
      <c r="BS95" s="49">
        <f t="shared" si="138"/>
        <v>0</v>
      </c>
      <c r="BT95" s="61">
        <f t="shared" si="149"/>
        <v>0</v>
      </c>
      <c r="BU95" s="58">
        <f t="shared" si="114"/>
        <v>1.0938687838693132E-3</v>
      </c>
      <c r="BV95" s="49">
        <f t="shared" si="115"/>
        <v>3.6450000000000007E-3</v>
      </c>
      <c r="BW95" s="61">
        <f t="shared" si="116"/>
        <v>6.7499999999999999E-3</v>
      </c>
      <c r="BX95" s="49">
        <f t="shared" si="139"/>
        <v>0.40248727536242762</v>
      </c>
      <c r="BY95" s="49">
        <f t="shared" si="140"/>
        <v>0.53303270239766443</v>
      </c>
      <c r="BZ95" s="49">
        <f t="shared" si="141"/>
        <v>89.194624593942237</v>
      </c>
    </row>
    <row r="96" spans="17:78" x14ac:dyDescent="0.3">
      <c r="Q96" s="49">
        <v>89</v>
      </c>
      <c r="R96" s="217">
        <f t="shared" si="94"/>
        <v>4.45</v>
      </c>
      <c r="S96" s="213">
        <f t="shared" si="95"/>
        <v>15</v>
      </c>
      <c r="T96" s="218">
        <f t="shared" si="96"/>
        <v>0.29666666666666669</v>
      </c>
      <c r="U96" s="217">
        <f t="shared" si="97"/>
        <v>1</v>
      </c>
      <c r="V96" s="213">
        <f t="shared" si="98"/>
        <v>0.42190046219457972</v>
      </c>
      <c r="W96" s="213">
        <f t="shared" si="99"/>
        <v>3.3752036975566377E-2</v>
      </c>
      <c r="X96" s="213">
        <f t="shared" si="117"/>
        <v>0.54434750082985395</v>
      </c>
      <c r="Y96" s="217">
        <f t="shared" si="118"/>
        <v>0.70316743699096629</v>
      </c>
      <c r="Z96" s="213">
        <f t="shared" si="100"/>
        <v>1.4063348739819324</v>
      </c>
      <c r="AA96" s="213">
        <f t="shared" si="119"/>
        <v>1.4063348739819324</v>
      </c>
      <c r="AB96" s="218">
        <f t="shared" si="101"/>
        <v>0.527391492335189</v>
      </c>
      <c r="AC96" s="217">
        <v>0</v>
      </c>
      <c r="AD96" s="213">
        <f t="shared" si="102"/>
        <v>0.3198630541156684</v>
      </c>
      <c r="AE96" s="218">
        <f t="shared" si="120"/>
        <v>0.3198630541156684</v>
      </c>
      <c r="AF96" s="58">
        <f t="shared" si="103"/>
        <v>8.900000000000001E-2</v>
      </c>
      <c r="AG96" s="61">
        <f t="shared" si="104"/>
        <v>8.900000000000001E-2</v>
      </c>
      <c r="AH96" s="58">
        <f t="shared" si="105"/>
        <v>1.9469925033127642E-2</v>
      </c>
      <c r="AI96" s="49">
        <f t="shared" si="106"/>
        <v>8.3552735384923027E-3</v>
      </c>
      <c r="AJ96" s="61">
        <f t="shared" si="121"/>
        <v>2.7825198571619945E-2</v>
      </c>
      <c r="AK96" s="217">
        <f t="shared" si="107"/>
        <v>4.45</v>
      </c>
      <c r="AL96" s="213">
        <f t="shared" si="108"/>
        <v>1500</v>
      </c>
      <c r="AM96" s="218">
        <f t="shared" si="122"/>
        <v>2.9666666666666669E-3</v>
      </c>
      <c r="AN96" s="217">
        <f t="shared" si="123"/>
        <v>2</v>
      </c>
      <c r="AO96" s="213">
        <f t="shared" si="124"/>
        <v>3.3752036975566377E-2</v>
      </c>
      <c r="AP96" s="213">
        <f t="shared" si="125"/>
        <v>8.7895929623870786E-2</v>
      </c>
      <c r="AQ96" s="213">
        <f t="shared" si="126"/>
        <v>0.17579185924774154</v>
      </c>
      <c r="AR96" s="213">
        <f t="shared" si="142"/>
        <v>0.17579185924774154</v>
      </c>
      <c r="AS96" s="218">
        <f t="shared" si="143"/>
        <v>1.8646105028515263E-2</v>
      </c>
      <c r="AT96" s="217"/>
      <c r="AU96" s="213">
        <f t="shared" si="127"/>
        <v>2.3763000000000007E-4</v>
      </c>
      <c r="AV96" s="218">
        <f t="shared" si="144"/>
        <v>2.3763000000000007E-4</v>
      </c>
      <c r="AW96" s="217">
        <f t="shared" si="128"/>
        <v>0</v>
      </c>
      <c r="AX96" s="213">
        <f t="shared" si="129"/>
        <v>3.4116666666666666E-3</v>
      </c>
      <c r="AY96" s="218">
        <f t="shared" si="145"/>
        <v>3.4116666666666666E-3</v>
      </c>
      <c r="AZ96" s="217">
        <f t="shared" si="109"/>
        <v>0</v>
      </c>
      <c r="BA96" s="213">
        <f t="shared" si="110"/>
        <v>0</v>
      </c>
      <c r="BB96" s="213">
        <f t="shared" si="146"/>
        <v>0</v>
      </c>
      <c r="BC96" s="61">
        <f t="shared" si="130"/>
        <v>0</v>
      </c>
      <c r="BD96" s="58">
        <v>0</v>
      </c>
      <c r="BE96" s="49">
        <f t="shared" si="131"/>
        <v>0</v>
      </c>
      <c r="BF96" s="61">
        <f t="shared" si="147"/>
        <v>0</v>
      </c>
      <c r="BG96" s="58">
        <f t="shared" si="132"/>
        <v>0</v>
      </c>
      <c r="BH96" s="49">
        <f t="shared" si="133"/>
        <v>0</v>
      </c>
      <c r="BI96" s="61">
        <f t="shared" si="134"/>
        <v>0</v>
      </c>
      <c r="BK96" s="217">
        <f t="shared" si="111"/>
        <v>0</v>
      </c>
      <c r="BL96" s="213">
        <f t="shared" si="112"/>
        <v>0</v>
      </c>
      <c r="BM96" s="213">
        <f t="shared" si="113"/>
        <v>0</v>
      </c>
      <c r="BN96" s="61">
        <f t="shared" si="150"/>
        <v>0</v>
      </c>
      <c r="BO96" s="58">
        <v>0</v>
      </c>
      <c r="BP96" s="49">
        <f t="shared" si="136"/>
        <v>0</v>
      </c>
      <c r="BQ96" s="61">
        <f t="shared" si="148"/>
        <v>0</v>
      </c>
      <c r="BR96" s="58">
        <f t="shared" si="137"/>
        <v>0</v>
      </c>
      <c r="BS96" s="49">
        <f t="shared" si="138"/>
        <v>0</v>
      </c>
      <c r="BT96" s="61">
        <f t="shared" si="149"/>
        <v>0</v>
      </c>
      <c r="BU96" s="58">
        <f t="shared" si="114"/>
        <v>1.112567144750151E-3</v>
      </c>
      <c r="BV96" s="49">
        <f t="shared" si="115"/>
        <v>3.6450000000000007E-3</v>
      </c>
      <c r="BW96" s="61">
        <f t="shared" si="116"/>
        <v>6.7499999999999999E-3</v>
      </c>
      <c r="BX96" s="49">
        <f t="shared" si="139"/>
        <v>0.40886305411566842</v>
      </c>
      <c r="BY96" s="49">
        <f t="shared" si="140"/>
        <v>0.54084511649870515</v>
      </c>
      <c r="BZ96" s="49">
        <f t="shared" si="141"/>
        <v>89.163255843969552</v>
      </c>
    </row>
    <row r="97" spans="17:78" x14ac:dyDescent="0.3">
      <c r="Q97" s="49">
        <v>90</v>
      </c>
      <c r="R97" s="217">
        <f t="shared" si="94"/>
        <v>4.5</v>
      </c>
      <c r="S97" s="213">
        <f t="shared" si="95"/>
        <v>15</v>
      </c>
      <c r="T97" s="218">
        <f t="shared" si="96"/>
        <v>0.3</v>
      </c>
      <c r="U97" s="217">
        <f t="shared" si="97"/>
        <v>1</v>
      </c>
      <c r="V97" s="213">
        <f t="shared" si="98"/>
        <v>0.42426406871192851</v>
      </c>
      <c r="W97" s="213">
        <f t="shared" si="99"/>
        <v>3.3941125496954279E-2</v>
      </c>
      <c r="X97" s="213">
        <f t="shared" si="117"/>
        <v>0.54179480579111716</v>
      </c>
      <c r="Y97" s="217">
        <f t="shared" si="118"/>
        <v>0.70710678118654757</v>
      </c>
      <c r="Z97" s="213">
        <f t="shared" si="100"/>
        <v>1.4142135623730949</v>
      </c>
      <c r="AA97" s="213">
        <f t="shared" si="119"/>
        <v>1.4142135623730949</v>
      </c>
      <c r="AB97" s="218">
        <f t="shared" si="101"/>
        <v>0.53182958969449878</v>
      </c>
      <c r="AC97" s="217">
        <v>0</v>
      </c>
      <c r="AD97" s="213">
        <f t="shared" si="102"/>
        <v>0.32526911934581182</v>
      </c>
      <c r="AE97" s="218">
        <f t="shared" si="120"/>
        <v>0.32526911934581182</v>
      </c>
      <c r="AF97" s="58">
        <f t="shared" si="103"/>
        <v>0.09</v>
      </c>
      <c r="AG97" s="61">
        <f t="shared" si="104"/>
        <v>0.09</v>
      </c>
      <c r="AH97" s="58">
        <f t="shared" si="105"/>
        <v>1.979898987322333E-2</v>
      </c>
      <c r="AI97" s="49">
        <f t="shared" si="106"/>
        <v>8.4020821598602136E-3</v>
      </c>
      <c r="AJ97" s="61">
        <f t="shared" si="121"/>
        <v>2.8201072033083543E-2</v>
      </c>
      <c r="AK97" s="217">
        <f t="shared" si="107"/>
        <v>4.5</v>
      </c>
      <c r="AL97" s="213">
        <f t="shared" si="108"/>
        <v>1500</v>
      </c>
      <c r="AM97" s="218">
        <f t="shared" si="122"/>
        <v>3.0000000000000001E-3</v>
      </c>
      <c r="AN97" s="217">
        <f t="shared" si="123"/>
        <v>2</v>
      </c>
      <c r="AO97" s="213">
        <f t="shared" si="124"/>
        <v>3.3941125496954279E-2</v>
      </c>
      <c r="AP97" s="213">
        <f t="shared" si="125"/>
        <v>8.8388347648318447E-2</v>
      </c>
      <c r="AQ97" s="213">
        <f t="shared" si="126"/>
        <v>0.17677669529663687</v>
      </c>
      <c r="AR97" s="213">
        <f t="shared" si="142"/>
        <v>0.17677669529663687</v>
      </c>
      <c r="AS97" s="218">
        <f t="shared" si="143"/>
        <v>1.8803015465431963E-2</v>
      </c>
      <c r="AT97" s="217"/>
      <c r="AU97" s="213">
        <f t="shared" si="127"/>
        <v>2.43E-4</v>
      </c>
      <c r="AV97" s="218">
        <f t="shared" si="144"/>
        <v>2.43E-4</v>
      </c>
      <c r="AW97" s="217">
        <f t="shared" si="128"/>
        <v>0</v>
      </c>
      <c r="AX97" s="213">
        <f t="shared" si="129"/>
        <v>3.4499999999999999E-3</v>
      </c>
      <c r="AY97" s="218">
        <f t="shared" si="145"/>
        <v>3.4499999999999999E-3</v>
      </c>
      <c r="AZ97" s="217">
        <f t="shared" si="109"/>
        <v>0</v>
      </c>
      <c r="BA97" s="213">
        <f t="shared" si="110"/>
        <v>0</v>
      </c>
      <c r="BB97" s="213">
        <f t="shared" si="146"/>
        <v>0</v>
      </c>
      <c r="BC97" s="61">
        <f t="shared" si="130"/>
        <v>0</v>
      </c>
      <c r="BD97" s="58">
        <v>0</v>
      </c>
      <c r="BE97" s="49">
        <f t="shared" si="131"/>
        <v>0</v>
      </c>
      <c r="BF97" s="61">
        <f t="shared" si="147"/>
        <v>0</v>
      </c>
      <c r="BG97" s="58">
        <f t="shared" si="132"/>
        <v>0</v>
      </c>
      <c r="BH97" s="49">
        <f t="shared" si="133"/>
        <v>0</v>
      </c>
      <c r="BI97" s="61">
        <f t="shared" si="134"/>
        <v>0</v>
      </c>
      <c r="BK97" s="217">
        <f t="shared" si="111"/>
        <v>0</v>
      </c>
      <c r="BL97" s="213">
        <f t="shared" si="112"/>
        <v>0</v>
      </c>
      <c r="BM97" s="213">
        <f t="shared" si="113"/>
        <v>0</v>
      </c>
      <c r="BN97" s="61">
        <f t="shared" si="150"/>
        <v>0</v>
      </c>
      <c r="BO97" s="58">
        <v>0</v>
      </c>
      <c r="BP97" s="49">
        <f t="shared" si="136"/>
        <v>0</v>
      </c>
      <c r="BQ97" s="61">
        <f t="shared" si="148"/>
        <v>0</v>
      </c>
      <c r="BR97" s="58">
        <f t="shared" si="137"/>
        <v>0</v>
      </c>
      <c r="BS97" s="49">
        <f t="shared" si="138"/>
        <v>0</v>
      </c>
      <c r="BT97" s="61">
        <f t="shared" si="149"/>
        <v>0</v>
      </c>
      <c r="BU97" s="58">
        <f t="shared" si="114"/>
        <v>1.1313708498984758E-3</v>
      </c>
      <c r="BV97" s="49">
        <f t="shared" si="115"/>
        <v>3.6450000000000007E-3</v>
      </c>
      <c r="BW97" s="61">
        <f t="shared" si="116"/>
        <v>6.7499999999999999E-3</v>
      </c>
      <c r="BX97" s="49">
        <f t="shared" si="139"/>
        <v>0.41526911934581179</v>
      </c>
      <c r="BY97" s="49">
        <f t="shared" si="140"/>
        <v>0.54868956222879384</v>
      </c>
      <c r="BZ97" s="49">
        <f t="shared" si="141"/>
        <v>89.132039998383874</v>
      </c>
    </row>
    <row r="98" spans="17:78" x14ac:dyDescent="0.3">
      <c r="Q98" s="49">
        <v>91</v>
      </c>
      <c r="R98" s="217">
        <f t="shared" si="94"/>
        <v>4.55</v>
      </c>
      <c r="S98" s="213">
        <f t="shared" si="95"/>
        <v>15</v>
      </c>
      <c r="T98" s="218">
        <f t="shared" si="96"/>
        <v>0.30333333333333334</v>
      </c>
      <c r="U98" s="217">
        <f t="shared" si="97"/>
        <v>1</v>
      </c>
      <c r="V98" s="213">
        <f t="shared" si="98"/>
        <v>0.42661458015403081</v>
      </c>
      <c r="W98" s="213">
        <f t="shared" si="99"/>
        <v>3.4129166412322463E-2</v>
      </c>
      <c r="X98" s="213">
        <f t="shared" si="117"/>
        <v>0.53925625343364669</v>
      </c>
      <c r="Y98" s="217">
        <f t="shared" si="118"/>
        <v>0.71102430025671803</v>
      </c>
      <c r="Z98" s="213">
        <f t="shared" si="100"/>
        <v>1.4220486005134361</v>
      </c>
      <c r="AA98" s="213">
        <f t="shared" si="119"/>
        <v>1.4220486005134361</v>
      </c>
      <c r="AB98" s="218">
        <f t="shared" si="101"/>
        <v>0.53625537582743932</v>
      </c>
      <c r="AC98" s="217">
        <v>0</v>
      </c>
      <c r="AD98" s="213">
        <f t="shared" si="102"/>
        <v>0.33070530231940248</v>
      </c>
      <c r="AE98" s="218">
        <f t="shared" si="120"/>
        <v>0.33070530231940248</v>
      </c>
      <c r="AF98" s="58">
        <f t="shared" si="103"/>
        <v>9.0999999999999998E-2</v>
      </c>
      <c r="AG98" s="61">
        <f t="shared" si="104"/>
        <v>9.0999999999999998E-2</v>
      </c>
      <c r="AH98" s="58">
        <f t="shared" si="105"/>
        <v>2.0129887967267977E-2</v>
      </c>
      <c r="AI98" s="49">
        <f t="shared" si="106"/>
        <v>8.4486314476992543E-3</v>
      </c>
      <c r="AJ98" s="61">
        <f t="shared" si="121"/>
        <v>2.8578519414967231E-2</v>
      </c>
      <c r="AK98" s="217">
        <f t="shared" si="107"/>
        <v>4.55</v>
      </c>
      <c r="AL98" s="213">
        <f t="shared" si="108"/>
        <v>1500</v>
      </c>
      <c r="AM98" s="218">
        <f t="shared" si="122"/>
        <v>3.0333333333333332E-3</v>
      </c>
      <c r="AN98" s="217">
        <f t="shared" si="123"/>
        <v>2</v>
      </c>
      <c r="AO98" s="213">
        <f t="shared" si="124"/>
        <v>3.4129166412322463E-2</v>
      </c>
      <c r="AP98" s="213">
        <f t="shared" si="125"/>
        <v>8.8878037532089754E-2</v>
      </c>
      <c r="AQ98" s="213">
        <f t="shared" si="126"/>
        <v>0.17775607506417948</v>
      </c>
      <c r="AR98" s="213">
        <f t="shared" si="142"/>
        <v>0.17775607506417951</v>
      </c>
      <c r="AS98" s="218">
        <f t="shared" si="143"/>
        <v>1.8959490634766145E-2</v>
      </c>
      <c r="AT98" s="217"/>
      <c r="AU98" s="213">
        <f t="shared" si="127"/>
        <v>2.4842999999999995E-4</v>
      </c>
      <c r="AV98" s="218">
        <f t="shared" si="144"/>
        <v>2.4842999999999995E-4</v>
      </c>
      <c r="AW98" s="217">
        <f t="shared" si="128"/>
        <v>0</v>
      </c>
      <c r="AX98" s="213">
        <f t="shared" si="129"/>
        <v>3.4883333333333329E-3</v>
      </c>
      <c r="AY98" s="218">
        <f t="shared" si="145"/>
        <v>3.4883333333333329E-3</v>
      </c>
      <c r="AZ98" s="217">
        <f t="shared" si="109"/>
        <v>0</v>
      </c>
      <c r="BA98" s="213">
        <f t="shared" si="110"/>
        <v>0</v>
      </c>
      <c r="BB98" s="213">
        <f>IF(EN_OUT_2=1,AZ98/BA98,0)</f>
        <v>0</v>
      </c>
      <c r="BC98" s="61">
        <f t="shared" si="130"/>
        <v>0</v>
      </c>
      <c r="BD98" s="58">
        <v>0</v>
      </c>
      <c r="BE98" s="49">
        <f t="shared" si="131"/>
        <v>0</v>
      </c>
      <c r="BF98" s="61">
        <f t="shared" si="147"/>
        <v>0</v>
      </c>
      <c r="BG98" s="58">
        <f t="shared" si="132"/>
        <v>0</v>
      </c>
      <c r="BH98" s="49">
        <f t="shared" si="133"/>
        <v>0</v>
      </c>
      <c r="BI98" s="61">
        <f t="shared" si="134"/>
        <v>0</v>
      </c>
      <c r="BK98" s="217">
        <f t="shared" si="111"/>
        <v>0</v>
      </c>
      <c r="BL98" s="213">
        <f t="shared" si="112"/>
        <v>0</v>
      </c>
      <c r="BM98" s="213">
        <f t="shared" si="113"/>
        <v>0</v>
      </c>
      <c r="BN98" s="61">
        <f t="shared" si="150"/>
        <v>0</v>
      </c>
      <c r="BO98" s="58">
        <v>0</v>
      </c>
      <c r="BP98" s="49">
        <f t="shared" si="136"/>
        <v>0</v>
      </c>
      <c r="BQ98" s="61">
        <f t="shared" si="148"/>
        <v>0</v>
      </c>
      <c r="BR98" s="58">
        <f t="shared" si="137"/>
        <v>0</v>
      </c>
      <c r="BS98" s="49">
        <f t="shared" si="138"/>
        <v>0</v>
      </c>
      <c r="BT98" s="61">
        <f t="shared" si="149"/>
        <v>0</v>
      </c>
      <c r="BU98" s="58">
        <f t="shared" si="114"/>
        <v>1.1502793124153127E-3</v>
      </c>
      <c r="BV98" s="49">
        <f t="shared" si="115"/>
        <v>3.6450000000000007E-3</v>
      </c>
      <c r="BW98" s="61">
        <f t="shared" si="116"/>
        <v>6.7499999999999999E-3</v>
      </c>
      <c r="BX98" s="49">
        <f t="shared" si="139"/>
        <v>0.42170530231940251</v>
      </c>
      <c r="BY98" s="49">
        <f t="shared" si="140"/>
        <v>0.55656586438011835</v>
      </c>
      <c r="BZ98" s="49">
        <f t="shared" si="141"/>
        <v>89.100975505626238</v>
      </c>
    </row>
    <row r="99" spans="17:78" x14ac:dyDescent="0.3">
      <c r="Q99" s="49">
        <v>92</v>
      </c>
      <c r="R99" s="217">
        <f t="shared" si="94"/>
        <v>4.6000000000000005</v>
      </c>
      <c r="S99" s="213">
        <f t="shared" si="95"/>
        <v>15</v>
      </c>
      <c r="T99" s="218">
        <f t="shared" si="96"/>
        <v>0.3066666666666667</v>
      </c>
      <c r="U99" s="217">
        <f t="shared" si="97"/>
        <v>1</v>
      </c>
      <c r="V99" s="213">
        <f t="shared" si="98"/>
        <v>0.42895221179054438</v>
      </c>
      <c r="W99" s="213">
        <f t="shared" si="99"/>
        <v>3.431617694324355E-2</v>
      </c>
      <c r="X99" s="213">
        <f t="shared" si="117"/>
        <v>0.53673161126621205</v>
      </c>
      <c r="Y99" s="217">
        <f t="shared" si="118"/>
        <v>0.7149203529842405</v>
      </c>
      <c r="Z99" s="213">
        <f t="shared" si="100"/>
        <v>1.4298407059684815</v>
      </c>
      <c r="AA99" s="213">
        <f t="shared" si="119"/>
        <v>1.4298407059684812</v>
      </c>
      <c r="AB99" s="218">
        <f t="shared" si="101"/>
        <v>0.54066901961900726</v>
      </c>
      <c r="AC99" s="217">
        <v>0</v>
      </c>
      <c r="AD99" s="213">
        <f t="shared" si="102"/>
        <v>0.33617143709214525</v>
      </c>
      <c r="AE99" s="218">
        <f t="shared" si="120"/>
        <v>0.33617143709214525</v>
      </c>
      <c r="AF99" s="58">
        <f t="shared" si="103"/>
        <v>9.2000000000000012E-2</v>
      </c>
      <c r="AG99" s="61">
        <f t="shared" si="104"/>
        <v>9.2000000000000012E-2</v>
      </c>
      <c r="AH99" s="58">
        <f t="shared" si="105"/>
        <v>2.0462609214304494E-2</v>
      </c>
      <c r="AI99" s="49">
        <f t="shared" si="106"/>
        <v>8.4949256651876814E-3</v>
      </c>
      <c r="AJ99" s="61">
        <f t="shared" si="121"/>
        <v>2.8957534879492174E-2</v>
      </c>
      <c r="AK99" s="217">
        <f t="shared" si="107"/>
        <v>4.6000000000000005</v>
      </c>
      <c r="AL99" s="213">
        <f t="shared" si="108"/>
        <v>1500</v>
      </c>
      <c r="AM99" s="218">
        <f t="shared" si="122"/>
        <v>3.0666666666666672E-3</v>
      </c>
      <c r="AN99" s="217">
        <f t="shared" si="123"/>
        <v>2</v>
      </c>
      <c r="AO99" s="213">
        <f t="shared" si="124"/>
        <v>3.4316176943243556E-2</v>
      </c>
      <c r="AP99" s="213">
        <f t="shared" si="125"/>
        <v>8.9365044123030063E-2</v>
      </c>
      <c r="AQ99" s="213">
        <f t="shared" si="126"/>
        <v>0.17873008824606018</v>
      </c>
      <c r="AR99" s="213">
        <f t="shared" si="142"/>
        <v>0.17873008824606015</v>
      </c>
      <c r="AS99" s="218">
        <f t="shared" si="143"/>
        <v>1.9115536507504128E-2</v>
      </c>
      <c r="AT99" s="217"/>
      <c r="AU99" s="213">
        <f t="shared" si="127"/>
        <v>2.5392000000000009E-4</v>
      </c>
      <c r="AV99" s="218">
        <f t="shared" si="144"/>
        <v>2.5392000000000009E-4</v>
      </c>
      <c r="AW99" s="217">
        <f t="shared" si="128"/>
        <v>0</v>
      </c>
      <c r="AX99" s="213">
        <f t="shared" si="129"/>
        <v>3.5266666666666671E-3</v>
      </c>
      <c r="AY99" s="218">
        <f t="shared" si="145"/>
        <v>3.5266666666666671E-3</v>
      </c>
      <c r="AZ99" s="217">
        <f t="shared" si="109"/>
        <v>0</v>
      </c>
      <c r="BA99" s="213">
        <f t="shared" si="110"/>
        <v>0</v>
      </c>
      <c r="BB99" s="213">
        <f t="shared" si="146"/>
        <v>0</v>
      </c>
      <c r="BC99" s="61">
        <f t="shared" si="130"/>
        <v>0</v>
      </c>
      <c r="BD99" s="58">
        <v>0</v>
      </c>
      <c r="BE99" s="49">
        <f t="shared" si="131"/>
        <v>0</v>
      </c>
      <c r="BF99" s="61">
        <f t="shared" si="147"/>
        <v>0</v>
      </c>
      <c r="BG99" s="58">
        <f t="shared" si="132"/>
        <v>0</v>
      </c>
      <c r="BH99" s="49">
        <f t="shared" si="133"/>
        <v>0</v>
      </c>
      <c r="BI99" s="61">
        <f t="shared" si="134"/>
        <v>0</v>
      </c>
      <c r="BK99" s="217">
        <f t="shared" si="111"/>
        <v>0</v>
      </c>
      <c r="BL99" s="213">
        <f t="shared" si="112"/>
        <v>0</v>
      </c>
      <c r="BM99" s="213">
        <f t="shared" si="113"/>
        <v>0</v>
      </c>
      <c r="BN99" s="61">
        <f t="shared" si="150"/>
        <v>0</v>
      </c>
      <c r="BO99" s="58">
        <v>0</v>
      </c>
      <c r="BP99" s="49">
        <f t="shared" si="136"/>
        <v>0</v>
      </c>
      <c r="BQ99" s="61">
        <f t="shared" si="148"/>
        <v>0</v>
      </c>
      <c r="BR99" s="58">
        <f t="shared" si="137"/>
        <v>0</v>
      </c>
      <c r="BS99" s="49">
        <f t="shared" si="138"/>
        <v>0</v>
      </c>
      <c r="BT99" s="61">
        <f t="shared" si="149"/>
        <v>0</v>
      </c>
      <c r="BU99" s="58">
        <f t="shared" si="114"/>
        <v>1.1692919551031138E-3</v>
      </c>
      <c r="BV99" s="49">
        <f t="shared" si="115"/>
        <v>3.6450000000000007E-3</v>
      </c>
      <c r="BW99" s="61">
        <f t="shared" si="116"/>
        <v>6.7499999999999999E-3</v>
      </c>
      <c r="BX99" s="49">
        <f t="shared" si="139"/>
        <v>0.42817143709214528</v>
      </c>
      <c r="BY99" s="49">
        <f t="shared" si="140"/>
        <v>0.56447385059340716</v>
      </c>
      <c r="BZ99" s="49">
        <f t="shared" si="141"/>
        <v>89.070060824714076</v>
      </c>
    </row>
    <row r="100" spans="17:78" x14ac:dyDescent="0.3">
      <c r="Q100" s="49">
        <v>93</v>
      </c>
      <c r="R100" s="217">
        <f t="shared" si="94"/>
        <v>4.6500000000000004</v>
      </c>
      <c r="S100" s="213">
        <f t="shared" si="95"/>
        <v>15</v>
      </c>
      <c r="T100" s="218">
        <f t="shared" si="96"/>
        <v>0.31</v>
      </c>
      <c r="U100" s="217">
        <f t="shared" si="97"/>
        <v>1</v>
      </c>
      <c r="V100" s="213">
        <f t="shared" si="98"/>
        <v>0.43127717305695651</v>
      </c>
      <c r="W100" s="213">
        <f t="shared" si="99"/>
        <v>3.4502173844556519E-2</v>
      </c>
      <c r="X100" s="213">
        <f t="shared" si="117"/>
        <v>0.53422065309848699</v>
      </c>
      <c r="Y100" s="217">
        <f t="shared" si="118"/>
        <v>0.7187952884282609</v>
      </c>
      <c r="Z100" s="213">
        <f t="shared" si="100"/>
        <v>1.4375905768565216</v>
      </c>
      <c r="AA100" s="213">
        <f t="shared" si="119"/>
        <v>1.4375905768565218</v>
      </c>
      <c r="AB100" s="218">
        <f t="shared" si="101"/>
        <v>0.54507068582923068</v>
      </c>
      <c r="AC100" s="217">
        <v>0</v>
      </c>
      <c r="AD100" s="213">
        <f t="shared" si="102"/>
        <v>0.34166736043290008</v>
      </c>
      <c r="AE100" s="218">
        <f t="shared" si="120"/>
        <v>0.34166736043290008</v>
      </c>
      <c r="AF100" s="58">
        <f t="shared" si="103"/>
        <v>9.3000000000000013E-2</v>
      </c>
      <c r="AG100" s="61">
        <f t="shared" si="104"/>
        <v>9.3000000000000013E-2</v>
      </c>
      <c r="AH100" s="58">
        <f t="shared" si="105"/>
        <v>2.0797143678524355E-2</v>
      </c>
      <c r="AI100" s="49">
        <f t="shared" si="106"/>
        <v>8.5409689599644355E-3</v>
      </c>
      <c r="AJ100" s="61">
        <f t="shared" si="121"/>
        <v>2.9338112638488789E-2</v>
      </c>
      <c r="AK100" s="217">
        <f t="shared" si="107"/>
        <v>4.6500000000000004</v>
      </c>
      <c r="AL100" s="213">
        <f t="shared" si="108"/>
        <v>1500</v>
      </c>
      <c r="AM100" s="218">
        <f t="shared" si="122"/>
        <v>3.1000000000000003E-3</v>
      </c>
      <c r="AN100" s="217">
        <f t="shared" si="123"/>
        <v>2</v>
      </c>
      <c r="AO100" s="213">
        <f t="shared" si="124"/>
        <v>3.4502173844556519E-2</v>
      </c>
      <c r="AP100" s="213">
        <f t="shared" si="125"/>
        <v>8.9849411053532613E-2</v>
      </c>
      <c r="AQ100" s="213">
        <f t="shared" si="126"/>
        <v>0.1796988221070652</v>
      </c>
      <c r="AR100" s="213">
        <f t="shared" si="142"/>
        <v>0.17969882210706523</v>
      </c>
      <c r="AS100" s="218">
        <f t="shared" si="143"/>
        <v>1.9271158908792559E-2</v>
      </c>
      <c r="AT100" s="217"/>
      <c r="AU100" s="213">
        <f t="shared" si="127"/>
        <v>2.5947000000000009E-4</v>
      </c>
      <c r="AV100" s="218">
        <f t="shared" si="144"/>
        <v>2.5947000000000009E-4</v>
      </c>
      <c r="AW100" s="217">
        <f t="shared" si="128"/>
        <v>0</v>
      </c>
      <c r="AX100" s="213">
        <f t="shared" si="129"/>
        <v>3.565E-3</v>
      </c>
      <c r="AY100" s="218">
        <f t="shared" si="145"/>
        <v>3.565E-3</v>
      </c>
      <c r="AZ100" s="217">
        <f t="shared" si="109"/>
        <v>0</v>
      </c>
      <c r="BA100" s="213">
        <f t="shared" si="110"/>
        <v>0</v>
      </c>
      <c r="BB100" s="213">
        <f t="shared" si="146"/>
        <v>0</v>
      </c>
      <c r="BC100" s="61">
        <f t="shared" si="130"/>
        <v>0</v>
      </c>
      <c r="BD100" s="58">
        <v>0</v>
      </c>
      <c r="BE100" s="49">
        <f t="shared" si="131"/>
        <v>0</v>
      </c>
      <c r="BF100" s="61">
        <f t="shared" si="147"/>
        <v>0</v>
      </c>
      <c r="BG100" s="58">
        <f t="shared" si="132"/>
        <v>0</v>
      </c>
      <c r="BH100" s="49">
        <f t="shared" si="133"/>
        <v>0</v>
      </c>
      <c r="BI100" s="61">
        <f t="shared" si="134"/>
        <v>0</v>
      </c>
      <c r="BK100" s="217">
        <f t="shared" si="111"/>
        <v>0</v>
      </c>
      <c r="BL100" s="213">
        <f t="shared" si="112"/>
        <v>0</v>
      </c>
      <c r="BM100" s="213">
        <f t="shared" si="113"/>
        <v>0</v>
      </c>
      <c r="BN100" s="61">
        <f t="shared" si="150"/>
        <v>0</v>
      </c>
      <c r="BO100" s="58">
        <v>0</v>
      </c>
      <c r="BP100" s="49">
        <f t="shared" si="136"/>
        <v>0</v>
      </c>
      <c r="BQ100" s="61">
        <f t="shared" si="148"/>
        <v>0</v>
      </c>
      <c r="BR100" s="58">
        <f t="shared" si="137"/>
        <v>0</v>
      </c>
      <c r="BS100" s="49">
        <f t="shared" si="138"/>
        <v>0</v>
      </c>
      <c r="BT100" s="61">
        <f t="shared" si="149"/>
        <v>0</v>
      </c>
      <c r="BU100" s="58">
        <f t="shared" si="114"/>
        <v>1.1884082102013916E-3</v>
      </c>
      <c r="BV100" s="49">
        <f t="shared" si="115"/>
        <v>3.6450000000000007E-3</v>
      </c>
      <c r="BW100" s="61">
        <f t="shared" si="116"/>
        <v>6.7499999999999999E-3</v>
      </c>
      <c r="BX100" s="49">
        <f t="shared" si="139"/>
        <v>0.43466736043290011</v>
      </c>
      <c r="BY100" s="49">
        <f t="shared" si="140"/>
        <v>0.57241335128159021</v>
      </c>
      <c r="BZ100" s="49">
        <f t="shared" si="141"/>
        <v>89.039294426184796</v>
      </c>
    </row>
    <row r="101" spans="17:78" x14ac:dyDescent="0.3">
      <c r="Q101" s="49">
        <v>94</v>
      </c>
      <c r="R101" s="217">
        <f t="shared" si="94"/>
        <v>4.7</v>
      </c>
      <c r="S101" s="213">
        <f t="shared" si="95"/>
        <v>15</v>
      </c>
      <c r="T101" s="218">
        <f t="shared" si="96"/>
        <v>0.31333333333333335</v>
      </c>
      <c r="U101" s="217">
        <f t="shared" si="97"/>
        <v>1</v>
      </c>
      <c r="V101" s="213">
        <f t="shared" si="98"/>
        <v>0.43358966777357599</v>
      </c>
      <c r="W101" s="213">
        <f t="shared" si="99"/>
        <v>3.4687173421886076E-2</v>
      </c>
      <c r="X101" s="213">
        <f t="shared" si="117"/>
        <v>0.53172315880453791</v>
      </c>
      <c r="Y101" s="217">
        <f t="shared" si="118"/>
        <v>0.7226494462892934</v>
      </c>
      <c r="Z101" s="213">
        <f t="shared" si="100"/>
        <v>1.4452988925785866</v>
      </c>
      <c r="AA101" s="213">
        <f t="shared" si="119"/>
        <v>1.4452988925785868</v>
      </c>
      <c r="AB101" s="218">
        <f t="shared" si="101"/>
        <v>0.54946053523713845</v>
      </c>
      <c r="AC101" s="217">
        <v>0</v>
      </c>
      <c r="AD101" s="213">
        <f t="shared" si="102"/>
        <v>0.34719291175054512</v>
      </c>
      <c r="AE101" s="218">
        <f t="shared" si="120"/>
        <v>0.34719291175054512</v>
      </c>
      <c r="AF101" s="58">
        <f t="shared" si="103"/>
        <v>9.4E-2</v>
      </c>
      <c r="AG101" s="61">
        <f t="shared" si="104"/>
        <v>9.4E-2</v>
      </c>
      <c r="AH101" s="58">
        <f t="shared" si="105"/>
        <v>2.1133481584815789E-2</v>
      </c>
      <c r="AI101" s="49">
        <f t="shared" si="106"/>
        <v>8.5867653684660282E-3</v>
      </c>
      <c r="AJ101" s="61">
        <f t="shared" si="121"/>
        <v>2.9720246953281817E-2</v>
      </c>
      <c r="AK101" s="217">
        <f t="shared" si="107"/>
        <v>4.7</v>
      </c>
      <c r="AL101" s="213">
        <f t="shared" si="108"/>
        <v>1500</v>
      </c>
      <c r="AM101" s="218">
        <f t="shared" si="122"/>
        <v>3.1333333333333335E-3</v>
      </c>
      <c r="AN101" s="217">
        <f t="shared" si="123"/>
        <v>2</v>
      </c>
      <c r="AO101" s="213">
        <f t="shared" si="124"/>
        <v>3.4687173421886076E-2</v>
      </c>
      <c r="AP101" s="213">
        <f t="shared" si="125"/>
        <v>9.0331180786161674E-2</v>
      </c>
      <c r="AQ101" s="213">
        <f t="shared" si="126"/>
        <v>0.18066236157232332</v>
      </c>
      <c r="AR101" s="213">
        <f t="shared" si="142"/>
        <v>0.18066236157232335</v>
      </c>
      <c r="AS101" s="218">
        <f t="shared" si="143"/>
        <v>1.9426363523028529E-2</v>
      </c>
      <c r="AT101" s="217"/>
      <c r="AU101" s="213">
        <f t="shared" si="127"/>
        <v>2.6508E-4</v>
      </c>
      <c r="AV101" s="218">
        <f t="shared" si="144"/>
        <v>2.6508E-4</v>
      </c>
      <c r="AW101" s="217">
        <f t="shared" si="128"/>
        <v>0</v>
      </c>
      <c r="AX101" s="213">
        <f t="shared" si="129"/>
        <v>3.6033333333333334E-3</v>
      </c>
      <c r="AY101" s="218">
        <f t="shared" si="145"/>
        <v>3.6033333333333334E-3</v>
      </c>
      <c r="AZ101" s="217">
        <f t="shared" si="109"/>
        <v>0</v>
      </c>
      <c r="BA101" s="213">
        <f t="shared" si="110"/>
        <v>0</v>
      </c>
      <c r="BB101" s="213">
        <f t="shared" si="146"/>
        <v>0</v>
      </c>
      <c r="BC101" s="61">
        <f t="shared" si="130"/>
        <v>0</v>
      </c>
      <c r="BD101" s="58">
        <v>0</v>
      </c>
      <c r="BE101" s="49">
        <f t="shared" si="131"/>
        <v>0</v>
      </c>
      <c r="BF101" s="61">
        <f t="shared" si="147"/>
        <v>0</v>
      </c>
      <c r="BG101" s="58">
        <f t="shared" si="132"/>
        <v>0</v>
      </c>
      <c r="BH101" s="49">
        <f t="shared" si="133"/>
        <v>0</v>
      </c>
      <c r="BI101" s="61">
        <f t="shared" si="134"/>
        <v>0</v>
      </c>
      <c r="BK101" s="217">
        <f t="shared" si="111"/>
        <v>0</v>
      </c>
      <c r="BL101" s="213">
        <f t="shared" si="112"/>
        <v>0</v>
      </c>
      <c r="BM101" s="213">
        <f t="shared" si="113"/>
        <v>0</v>
      </c>
      <c r="BN101" s="61">
        <f t="shared" si="150"/>
        <v>0</v>
      </c>
      <c r="BO101" s="58">
        <v>0</v>
      </c>
      <c r="BP101" s="49">
        <f t="shared" si="136"/>
        <v>0</v>
      </c>
      <c r="BQ101" s="61">
        <f t="shared" si="148"/>
        <v>0</v>
      </c>
      <c r="BR101" s="58">
        <f t="shared" si="137"/>
        <v>0</v>
      </c>
      <c r="BS101" s="49">
        <f t="shared" si="138"/>
        <v>0</v>
      </c>
      <c r="BT101" s="61">
        <f t="shared" si="149"/>
        <v>0</v>
      </c>
      <c r="BU101" s="58">
        <f t="shared" si="114"/>
        <v>1.2076275191323306E-3</v>
      </c>
      <c r="BV101" s="49">
        <f t="shared" si="115"/>
        <v>3.6450000000000007E-3</v>
      </c>
      <c r="BW101" s="61">
        <f t="shared" si="116"/>
        <v>6.7499999999999999E-3</v>
      </c>
      <c r="BX101" s="49">
        <f t="shared" si="139"/>
        <v>0.44119291175054509</v>
      </c>
      <c r="BY101" s="49">
        <f t="shared" si="140"/>
        <v>0.58038419955629261</v>
      </c>
      <c r="BZ101" s="49">
        <f t="shared" si="141"/>
        <v>89.008674792923927</v>
      </c>
    </row>
    <row r="102" spans="17:78" x14ac:dyDescent="0.3">
      <c r="Q102" s="49">
        <v>95</v>
      </c>
      <c r="R102" s="217">
        <f t="shared" si="94"/>
        <v>4.75</v>
      </c>
      <c r="S102" s="213">
        <f t="shared" si="95"/>
        <v>15</v>
      </c>
      <c r="T102" s="218">
        <f t="shared" si="96"/>
        <v>0.31666666666666665</v>
      </c>
      <c r="U102" s="217">
        <f t="shared" si="97"/>
        <v>1</v>
      </c>
      <c r="V102" s="213">
        <f t="shared" si="98"/>
        <v>0.43588989435406733</v>
      </c>
      <c r="W102" s="213">
        <f t="shared" si="99"/>
        <v>3.4871191548325388E-2</v>
      </c>
      <c r="X102" s="213">
        <f t="shared" si="117"/>
        <v>0.52923891409760726</v>
      </c>
      <c r="Y102" s="217">
        <f t="shared" si="118"/>
        <v>0.72648315725677903</v>
      </c>
      <c r="Z102" s="213">
        <f t="shared" si="100"/>
        <v>1.4529663145135576</v>
      </c>
      <c r="AA102" s="213">
        <f t="shared" si="119"/>
        <v>1.4529663145135578</v>
      </c>
      <c r="AB102" s="218">
        <f t="shared" si="101"/>
        <v>0.55383872477822749</v>
      </c>
      <c r="AC102" s="217">
        <v>0</v>
      </c>
      <c r="AD102" s="213">
        <f t="shared" si="102"/>
        <v>0.35274793302356922</v>
      </c>
      <c r="AE102" s="218">
        <f t="shared" si="120"/>
        <v>0.35274793302356922</v>
      </c>
      <c r="AF102" s="58">
        <f t="shared" si="103"/>
        <v>9.5000000000000001E-2</v>
      </c>
      <c r="AG102" s="61">
        <f t="shared" si="104"/>
        <v>9.5000000000000001E-2</v>
      </c>
      <c r="AH102" s="58">
        <f t="shared" si="105"/>
        <v>2.1471613314478128E-2</v>
      </c>
      <c r="AI102" s="49">
        <f t="shared" si="106"/>
        <v>8.6323188200563526E-3</v>
      </c>
      <c r="AJ102" s="61">
        <f t="shared" si="121"/>
        <v>3.0103932134534481E-2</v>
      </c>
      <c r="AK102" s="217">
        <f t="shared" si="107"/>
        <v>4.75</v>
      </c>
      <c r="AL102" s="213">
        <f t="shared" si="108"/>
        <v>1500</v>
      </c>
      <c r="AM102" s="218">
        <f t="shared" si="122"/>
        <v>3.1666666666666666E-3</v>
      </c>
      <c r="AN102" s="217">
        <f t="shared" si="123"/>
        <v>2</v>
      </c>
      <c r="AO102" s="213">
        <f t="shared" si="124"/>
        <v>3.4871191548325381E-2</v>
      </c>
      <c r="AP102" s="213">
        <f t="shared" si="125"/>
        <v>9.0810394657097379E-2</v>
      </c>
      <c r="AQ102" s="213">
        <f t="shared" si="126"/>
        <v>0.18162078931419467</v>
      </c>
      <c r="AR102" s="213">
        <f t="shared" si="142"/>
        <v>0.18162078931419473</v>
      </c>
      <c r="AS102" s="218">
        <f t="shared" si="143"/>
        <v>1.958115589871974E-2</v>
      </c>
      <c r="AT102" s="217"/>
      <c r="AU102" s="213">
        <f t="shared" si="127"/>
        <v>2.7074999999999999E-4</v>
      </c>
      <c r="AV102" s="218">
        <f t="shared" si="144"/>
        <v>2.7074999999999999E-4</v>
      </c>
      <c r="AW102" s="217">
        <f t="shared" si="128"/>
        <v>0</v>
      </c>
      <c r="AX102" s="213">
        <f t="shared" si="129"/>
        <v>3.6416666666666663E-3</v>
      </c>
      <c r="AY102" s="218">
        <f t="shared" si="145"/>
        <v>3.6416666666666663E-3</v>
      </c>
      <c r="AZ102" s="217">
        <f t="shared" si="109"/>
        <v>0</v>
      </c>
      <c r="BA102" s="213">
        <f t="shared" si="110"/>
        <v>0</v>
      </c>
      <c r="BB102" s="213">
        <f t="shared" si="146"/>
        <v>0</v>
      </c>
      <c r="BC102" s="61">
        <f t="shared" si="130"/>
        <v>0</v>
      </c>
      <c r="BD102" s="58">
        <v>0</v>
      </c>
      <c r="BE102" s="49">
        <f t="shared" si="131"/>
        <v>0</v>
      </c>
      <c r="BF102" s="61">
        <f t="shared" si="147"/>
        <v>0</v>
      </c>
      <c r="BG102" s="58">
        <f t="shared" si="132"/>
        <v>0</v>
      </c>
      <c r="BH102" s="49">
        <f t="shared" si="133"/>
        <v>0</v>
      </c>
      <c r="BI102" s="61">
        <f t="shared" si="134"/>
        <v>0</v>
      </c>
      <c r="BK102" s="217">
        <f t="shared" si="111"/>
        <v>0</v>
      </c>
      <c r="BL102" s="213">
        <f t="shared" si="112"/>
        <v>0</v>
      </c>
      <c r="BM102" s="213">
        <f t="shared" si="113"/>
        <v>0</v>
      </c>
      <c r="BN102" s="61">
        <f t="shared" si="150"/>
        <v>0</v>
      </c>
      <c r="BO102" s="58">
        <v>0</v>
      </c>
      <c r="BP102" s="49">
        <f t="shared" si="136"/>
        <v>0</v>
      </c>
      <c r="BQ102" s="61">
        <f t="shared" si="148"/>
        <v>0</v>
      </c>
      <c r="BR102" s="58">
        <f t="shared" si="137"/>
        <v>0</v>
      </c>
      <c r="BS102" s="49">
        <f t="shared" si="138"/>
        <v>0</v>
      </c>
      <c r="BT102" s="61">
        <f t="shared" si="149"/>
        <v>0</v>
      </c>
      <c r="BU102" s="58">
        <f t="shared" si="114"/>
        <v>1.2269493322558929E-3</v>
      </c>
      <c r="BV102" s="49">
        <f t="shared" si="115"/>
        <v>3.6450000000000007E-3</v>
      </c>
      <c r="BW102" s="61">
        <f t="shared" si="116"/>
        <v>6.7499999999999999E-3</v>
      </c>
      <c r="BX102" s="49">
        <f t="shared" si="139"/>
        <v>0.44774793302356919</v>
      </c>
      <c r="BY102" s="49">
        <f t="shared" si="140"/>
        <v>0.58838623115702626</v>
      </c>
      <c r="BZ102" s="49">
        <f t="shared" si="141"/>
        <v>88.978200420888228</v>
      </c>
    </row>
    <row r="103" spans="17:78" x14ac:dyDescent="0.3">
      <c r="Q103" s="49">
        <v>96</v>
      </c>
      <c r="R103" s="217">
        <f t="shared" ref="R103:R134" si="151">AK103+AZ103+BK103</f>
        <v>4.8000000000000007</v>
      </c>
      <c r="S103" s="213">
        <f t="shared" si="95"/>
        <v>15</v>
      </c>
      <c r="T103" s="218">
        <f t="shared" ref="T103:T134" si="152">(R103)/(S103*EFF_est)</f>
        <v>0.32000000000000006</v>
      </c>
      <c r="U103" s="217">
        <f t="shared" ref="U103:U134" si="153">IF(R103&lt;((((Np/NS1_)*(AL103)/((S103+((Np/NS1_)*(AL103)))))^2)*(S103^2))/(2*Lm*Fsw),1,2)</f>
        <v>1</v>
      </c>
      <c r="V103" s="213">
        <f t="shared" ref="V103:V134" si="154">CHOOSE(U103,SQRT((2*Lm*R103*Fsw)/((S103^2)*EFF_est)),(((Np/NS1_)*(AL103))/(S103+((Np/NS1_)*(AL103)))))</f>
        <v>0.4381780460041329</v>
      </c>
      <c r="W103" s="213">
        <f t="shared" ref="W103:W134" si="155">CHOOSE(U103,(NS1_*S103*V103)/(Np*AL103),1-V103)</f>
        <v>3.5054243680330631E-2</v>
      </c>
      <c r="X103" s="213">
        <f t="shared" si="117"/>
        <v>0.52676771031553649</v>
      </c>
      <c r="Y103" s="217">
        <f t="shared" si="118"/>
        <v>0.73029674334022154</v>
      </c>
      <c r="Z103" s="213">
        <f t="shared" ref="Z103:Z134" si="156">(S103*V103)/(Lm*Fsw)</f>
        <v>1.4605934866804431</v>
      </c>
      <c r="AA103" s="213">
        <f t="shared" si="119"/>
        <v>1.4605934866804431</v>
      </c>
      <c r="AB103" s="218">
        <f t="shared" ref="AB103:AB134" si="157">CHOOSE(U103,AA103*SQRT(V103/3),SQRT(V103*((AA103^2)+((Z103^2)/(3))-(AA103*Z103))))</f>
        <v>0.55820540767578963</v>
      </c>
      <c r="AC103" s="217">
        <v>0</v>
      </c>
      <c r="AD103" s="213">
        <f t="shared" ref="AD103:AD134" si="158">(AB103^2)*Rdcr</f>
        <v>0.3583322687322687</v>
      </c>
      <c r="AE103" s="218">
        <f t="shared" si="120"/>
        <v>0.3583322687322687</v>
      </c>
      <c r="AF103" s="58">
        <f t="shared" ref="AF103:AF134" si="159">R103*0.02</f>
        <v>9.6000000000000016E-2</v>
      </c>
      <c r="AG103" s="61">
        <f t="shared" ref="AG103:AG134" si="160">R103*0.02</f>
        <v>9.6000000000000016E-2</v>
      </c>
      <c r="AH103" s="58">
        <f t="shared" ref="AH103:AH134" si="161">(AB103^2)*RDS_on</f>
        <v>2.1811529401094615E-2</v>
      </c>
      <c r="AI103" s="49">
        <f t="shared" ref="AI103:AI134" si="162">((Y103*(S103+((Np/NS1_)*VOUT1)))/2)*Fsw*(tr_sw+tf_sw)</f>
        <v>8.6776331409613456E-3</v>
      </c>
      <c r="AJ103" s="61">
        <f t="shared" si="121"/>
        <v>3.0489162542055963E-2</v>
      </c>
      <c r="AK103" s="217">
        <f t="shared" ref="AK103:AK134" si="163">Q103*$B$11</f>
        <v>4.8000000000000007</v>
      </c>
      <c r="AL103" s="213">
        <f t="shared" si="108"/>
        <v>1500</v>
      </c>
      <c r="AM103" s="218">
        <f t="shared" si="122"/>
        <v>3.2000000000000006E-3</v>
      </c>
      <c r="AN103" s="217">
        <f t="shared" si="123"/>
        <v>2</v>
      </c>
      <c r="AO103" s="213">
        <f t="shared" si="124"/>
        <v>3.5054243680330638E-2</v>
      </c>
      <c r="AP103" s="213">
        <f t="shared" si="125"/>
        <v>9.1287092917527693E-2</v>
      </c>
      <c r="AQ103" s="213">
        <f t="shared" si="126"/>
        <v>0.18257418583505541</v>
      </c>
      <c r="AR103" s="213">
        <f t="shared" si="142"/>
        <v>0.18257418583505541</v>
      </c>
      <c r="AS103" s="218">
        <f t="shared" si="143"/>
        <v>1.9735541453127611E-2</v>
      </c>
      <c r="AT103" s="217"/>
      <c r="AU103" s="213">
        <f t="shared" si="127"/>
        <v>2.7648000000000012E-4</v>
      </c>
      <c r="AV103" s="218">
        <f t="shared" si="144"/>
        <v>2.7648000000000012E-4</v>
      </c>
      <c r="AW103" s="217">
        <f t="shared" si="128"/>
        <v>0</v>
      </c>
      <c r="AX103" s="213">
        <f t="shared" si="129"/>
        <v>3.6800000000000005E-3</v>
      </c>
      <c r="AY103" s="218">
        <f t="shared" si="145"/>
        <v>3.6800000000000005E-3</v>
      </c>
      <c r="AZ103" s="217">
        <f t="shared" ref="AZ103:AZ134" si="164">IF(EN_OUT_2=1,Q103*$B$15,0)</f>
        <v>0</v>
      </c>
      <c r="BA103" s="213">
        <f t="shared" ref="BA103:BA134" si="165">IF(EN_OUT_2=1,VOUT2,0)</f>
        <v>0</v>
      </c>
      <c r="BB103" s="213">
        <f t="shared" si="146"/>
        <v>0</v>
      </c>
      <c r="BC103" s="61">
        <f t="shared" si="130"/>
        <v>0</v>
      </c>
      <c r="BD103" s="58">
        <v>0</v>
      </c>
      <c r="BE103" s="49">
        <f t="shared" si="131"/>
        <v>0</v>
      </c>
      <c r="BF103" s="61">
        <f t="shared" si="147"/>
        <v>0</v>
      </c>
      <c r="BG103" s="58">
        <f t="shared" si="132"/>
        <v>0</v>
      </c>
      <c r="BH103" s="49">
        <f t="shared" si="133"/>
        <v>0</v>
      </c>
      <c r="BI103" s="61">
        <f t="shared" si="134"/>
        <v>0</v>
      </c>
      <c r="BK103" s="217">
        <f t="shared" ref="BK103:BK134" si="166">IF(EN_OUT_3=1,Q103*$B$19,0)</f>
        <v>0</v>
      </c>
      <c r="BL103" s="213">
        <f t="shared" si="112"/>
        <v>0</v>
      </c>
      <c r="BM103" s="213">
        <f t="shared" ref="BM103:BM134" si="167">IF(EN_OUT_3=1,BK103/BL103,0)</f>
        <v>0</v>
      </c>
      <c r="BN103" s="61">
        <f t="shared" si="150"/>
        <v>0</v>
      </c>
      <c r="BO103" s="58">
        <v>0</v>
      </c>
      <c r="BP103" s="49">
        <f t="shared" si="136"/>
        <v>0</v>
      </c>
      <c r="BQ103" s="61">
        <f t="shared" si="148"/>
        <v>0</v>
      </c>
      <c r="BR103" s="58">
        <f t="shared" si="137"/>
        <v>0</v>
      </c>
      <c r="BS103" s="49">
        <f t="shared" si="138"/>
        <v>0</v>
      </c>
      <c r="BT103" s="61">
        <f t="shared" si="149"/>
        <v>0</v>
      </c>
      <c r="BU103" s="58">
        <f t="shared" ref="BU103:BU134" si="168">(AB103^2)*R_cs</f>
        <v>1.246373108633978E-3</v>
      </c>
      <c r="BV103" s="49">
        <f t="shared" si="115"/>
        <v>3.6450000000000007E-3</v>
      </c>
      <c r="BW103" s="61">
        <f t="shared" ref="BW103:BW134" si="169">IQ*S103</f>
        <v>6.7499999999999999E-3</v>
      </c>
      <c r="BX103" s="49">
        <f t="shared" si="139"/>
        <v>0.45433226873226873</v>
      </c>
      <c r="BY103" s="49">
        <f t="shared" si="140"/>
        <v>0.59641928438295866</v>
      </c>
      <c r="BZ103" s="49">
        <f t="shared" si="141"/>
        <v>88.947869819734464</v>
      </c>
    </row>
    <row r="104" spans="17:78" x14ac:dyDescent="0.3">
      <c r="Q104" s="49">
        <v>97</v>
      </c>
      <c r="R104" s="217">
        <f t="shared" si="151"/>
        <v>4.8500000000000005</v>
      </c>
      <c r="S104" s="213">
        <f t="shared" si="95"/>
        <v>15</v>
      </c>
      <c r="T104" s="218">
        <f t="shared" si="152"/>
        <v>0.32333333333333336</v>
      </c>
      <c r="U104" s="217">
        <f t="shared" si="153"/>
        <v>1</v>
      </c>
      <c r="V104" s="213">
        <f t="shared" si="154"/>
        <v>0.44045431091090481</v>
      </c>
      <c r="W104" s="213">
        <f t="shared" si="155"/>
        <v>3.5236344872872381E-2</v>
      </c>
      <c r="X104" s="213">
        <f t="shared" si="117"/>
        <v>0.52430934421622277</v>
      </c>
      <c r="Y104" s="217">
        <f t="shared" ref="Y104:Y135" si="170">R104/(S104*EFF_est*V104)</f>
        <v>0.73409051818484139</v>
      </c>
      <c r="Z104" s="213">
        <f t="shared" si="156"/>
        <v>1.4681810363696828</v>
      </c>
      <c r="AA104" s="213">
        <f t="shared" si="119"/>
        <v>1.4681810363696828</v>
      </c>
      <c r="AB104" s="218">
        <f t="shared" si="157"/>
        <v>0.56256073356642866</v>
      </c>
      <c r="AC104" s="217">
        <v>0</v>
      </c>
      <c r="AD104" s="213">
        <f t="shared" si="158"/>
        <v>0.36394576579341814</v>
      </c>
      <c r="AE104" s="218">
        <f t="shared" si="120"/>
        <v>0.36394576579341814</v>
      </c>
      <c r="AF104" s="58">
        <f t="shared" si="159"/>
        <v>9.7000000000000017E-2</v>
      </c>
      <c r="AG104" s="61">
        <f t="shared" si="160"/>
        <v>9.7000000000000017E-2</v>
      </c>
      <c r="AH104" s="58">
        <f t="shared" si="161"/>
        <v>2.2153220526555887E-2</v>
      </c>
      <c r="AI104" s="49">
        <f t="shared" si="162"/>
        <v>8.7227120580196989E-3</v>
      </c>
      <c r="AJ104" s="61">
        <f t="shared" si="121"/>
        <v>3.0875932584575584E-2</v>
      </c>
      <c r="AK104" s="217">
        <f t="shared" si="163"/>
        <v>4.8500000000000005</v>
      </c>
      <c r="AL104" s="213">
        <f t="shared" si="108"/>
        <v>1500</v>
      </c>
      <c r="AM104" s="218">
        <f t="shared" ref="AM104:AM135" si="171">AK104/AL104</f>
        <v>3.2333333333333337E-3</v>
      </c>
      <c r="AN104" s="217">
        <f t="shared" ref="AN104:AN135" si="172">IF(((AL104*AO104)/(Fsw*$AO$2))/2&gt;AP104,1,2)</f>
        <v>2</v>
      </c>
      <c r="AO104" s="213">
        <f t="shared" ref="AO104:AO135" si="173">AM104/AP104</f>
        <v>3.5236344872872388E-2</v>
      </c>
      <c r="AP104" s="213">
        <f t="shared" ref="AP104:AP135" si="174">Np*$Y104*AK104/(R104*NS1_)</f>
        <v>9.1761314773105174E-2</v>
      </c>
      <c r="AQ104" s="213">
        <f t="shared" ref="AQ104:AQ135" si="175">(AL104*AO104)/(Fsw*$AO$2)</f>
        <v>0.18352262954621035</v>
      </c>
      <c r="AR104" s="213">
        <f t="shared" si="142"/>
        <v>0.18352262954621035</v>
      </c>
      <c r="AS104" s="218">
        <f t="shared" si="143"/>
        <v>1.9889525476705021E-2</v>
      </c>
      <c r="AT104" s="217"/>
      <c r="AU104" s="213">
        <f t="shared" ref="AU104:AU135" si="176">(AM104^2)*Rdcr1</f>
        <v>2.8227000000000005E-4</v>
      </c>
      <c r="AV104" s="218">
        <f t="shared" si="144"/>
        <v>2.8227000000000005E-4</v>
      </c>
      <c r="AW104" s="217">
        <f t="shared" ref="AW104:AW135" si="177">(VOUT1+((NS1_/Np)*S104))*QRR1_*Fsw</f>
        <v>0</v>
      </c>
      <c r="AX104" s="213">
        <f t="shared" ref="AX104:AX135" si="178">AM104*VD1_</f>
        <v>3.7183333333333335E-3</v>
      </c>
      <c r="AY104" s="218">
        <f t="shared" si="145"/>
        <v>3.7183333333333335E-3</v>
      </c>
      <c r="AZ104" s="217">
        <f t="shared" si="164"/>
        <v>0</v>
      </c>
      <c r="BA104" s="213">
        <f t="shared" si="165"/>
        <v>0</v>
      </c>
      <c r="BB104" s="213">
        <f t="shared" si="146"/>
        <v>0</v>
      </c>
      <c r="BC104" s="61">
        <f t="shared" ref="BC104:BC135" si="179">IF(EN_OUT_2=1,AZ104/BA104,0)</f>
        <v>0</v>
      </c>
      <c r="BD104" s="58">
        <v>0</v>
      </c>
      <c r="BE104" s="49">
        <f t="shared" ref="BE104:BE135" si="180">(BB104^2)*Rdcr2</f>
        <v>0</v>
      </c>
      <c r="BF104" s="61">
        <f t="shared" si="147"/>
        <v>0</v>
      </c>
      <c r="BG104" s="58">
        <f t="shared" ref="BG104:BG135" si="181">(VOUT2+((NS2_/Np)*S104))*QRR2_*Fsw</f>
        <v>0</v>
      </c>
      <c r="BH104" s="49">
        <f t="shared" ref="BH104:BH135" si="182">BB104*VD2_</f>
        <v>0</v>
      </c>
      <c r="BI104" s="61">
        <f t="shared" ref="BI104:BI135" si="183">BH104+BG104</f>
        <v>0</v>
      </c>
      <c r="BK104" s="217">
        <f t="shared" si="166"/>
        <v>0</v>
      </c>
      <c r="BL104" s="213">
        <f t="shared" si="112"/>
        <v>0</v>
      </c>
      <c r="BM104" s="213">
        <f t="shared" si="167"/>
        <v>0</v>
      </c>
      <c r="BN104" s="61">
        <f t="shared" si="150"/>
        <v>0</v>
      </c>
      <c r="BO104" s="58">
        <v>0</v>
      </c>
      <c r="BP104" s="49">
        <f t="shared" ref="BP104:BP135" si="184">(BM104^2)*Rdcr3</f>
        <v>0</v>
      </c>
      <c r="BQ104" s="61">
        <f t="shared" si="148"/>
        <v>0</v>
      </c>
      <c r="BR104" s="58">
        <f t="shared" ref="BR104:BR135" si="185">(VOUT3+((NS3_/Np)*S104))*QRR3_*Fsw</f>
        <v>0</v>
      </c>
      <c r="BS104" s="49">
        <f t="shared" ref="BS104:BS135" si="186">BM104*VD3_</f>
        <v>0</v>
      </c>
      <c r="BT104" s="61">
        <f t="shared" si="149"/>
        <v>0</v>
      </c>
      <c r="BU104" s="58">
        <f t="shared" si="168"/>
        <v>1.2658983158031934E-3</v>
      </c>
      <c r="BV104" s="49">
        <f t="shared" si="115"/>
        <v>3.6450000000000007E-3</v>
      </c>
      <c r="BW104" s="61">
        <f t="shared" si="169"/>
        <v>6.7499999999999999E-3</v>
      </c>
      <c r="BX104" s="49">
        <f t="shared" si="139"/>
        <v>0.46094576579341817</v>
      </c>
      <c r="BY104" s="49">
        <f t="shared" si="140"/>
        <v>0.6044832000271303</v>
      </c>
      <c r="BZ104" s="49">
        <f t="shared" ref="BZ104:BZ135" si="187">(R104/(R104+BY104))*100</f>
        <v>88.917681513362751</v>
      </c>
    </row>
    <row r="105" spans="17:78" x14ac:dyDescent="0.3">
      <c r="Q105" s="49">
        <v>98</v>
      </c>
      <c r="R105" s="217">
        <f t="shared" si="151"/>
        <v>4.9000000000000004</v>
      </c>
      <c r="S105" s="213">
        <f t="shared" si="95"/>
        <v>15</v>
      </c>
      <c r="T105" s="218">
        <f t="shared" si="152"/>
        <v>0.32666666666666672</v>
      </c>
      <c r="U105" s="217">
        <f t="shared" si="153"/>
        <v>1</v>
      </c>
      <c r="V105" s="213">
        <f t="shared" si="154"/>
        <v>0.44271887242357311</v>
      </c>
      <c r="W105" s="213">
        <f t="shared" si="155"/>
        <v>3.5417509793885853E-2</v>
      </c>
      <c r="X105" s="213">
        <f t="shared" si="117"/>
        <v>0.52186361778254109</v>
      </c>
      <c r="Y105" s="217">
        <f t="shared" si="170"/>
        <v>0.73786478737262184</v>
      </c>
      <c r="Z105" s="213">
        <f t="shared" si="156"/>
        <v>1.4757295747452437</v>
      </c>
      <c r="AA105" s="213">
        <f t="shared" si="119"/>
        <v>1.4757295747452437</v>
      </c>
      <c r="AB105" s="218">
        <f t="shared" si="157"/>
        <v>0.56690484862008739</v>
      </c>
      <c r="AC105" s="217">
        <v>0</v>
      </c>
      <c r="AD105" s="213">
        <f t="shared" si="158"/>
        <v>0.36958827349730888</v>
      </c>
      <c r="AE105" s="218">
        <f t="shared" si="120"/>
        <v>0.36958827349730888</v>
      </c>
      <c r="AF105" s="58">
        <f t="shared" si="159"/>
        <v>9.8000000000000004E-2</v>
      </c>
      <c r="AG105" s="61">
        <f t="shared" si="160"/>
        <v>9.8000000000000004E-2</v>
      </c>
      <c r="AH105" s="58">
        <f t="shared" si="161"/>
        <v>2.2496677517227497E-2</v>
      </c>
      <c r="AI105" s="49">
        <f t="shared" si="162"/>
        <v>8.7675592022599877E-3</v>
      </c>
      <c r="AJ105" s="61">
        <f t="shared" si="121"/>
        <v>3.1264236719487484E-2</v>
      </c>
      <c r="AK105" s="217">
        <f t="shared" si="163"/>
        <v>4.9000000000000004</v>
      </c>
      <c r="AL105" s="213">
        <f t="shared" si="108"/>
        <v>1500</v>
      </c>
      <c r="AM105" s="218">
        <f t="shared" si="171"/>
        <v>3.2666666666666669E-3</v>
      </c>
      <c r="AN105" s="217">
        <f t="shared" si="172"/>
        <v>2</v>
      </c>
      <c r="AO105" s="213">
        <f t="shared" si="173"/>
        <v>3.5417509793885853E-2</v>
      </c>
      <c r="AP105" s="213">
        <f t="shared" si="174"/>
        <v>9.2233098421577731E-2</v>
      </c>
      <c r="AQ105" s="213">
        <f t="shared" si="175"/>
        <v>0.18446619684315546</v>
      </c>
      <c r="AR105" s="213">
        <f t="shared" si="142"/>
        <v>0.18446619684315546</v>
      </c>
      <c r="AS105" s="218">
        <f t="shared" si="143"/>
        <v>2.0043113137339849E-2</v>
      </c>
      <c r="AT105" s="217"/>
      <c r="AU105" s="213">
        <f t="shared" si="176"/>
        <v>2.8812000000000005E-4</v>
      </c>
      <c r="AV105" s="218">
        <f t="shared" si="144"/>
        <v>2.8812000000000005E-4</v>
      </c>
      <c r="AW105" s="217">
        <f t="shared" si="177"/>
        <v>0</v>
      </c>
      <c r="AX105" s="213">
        <f t="shared" si="178"/>
        <v>3.7566666666666664E-3</v>
      </c>
      <c r="AY105" s="218">
        <f t="shared" si="145"/>
        <v>3.7566666666666664E-3</v>
      </c>
      <c r="AZ105" s="217">
        <f t="shared" si="164"/>
        <v>0</v>
      </c>
      <c r="BA105" s="213">
        <f t="shared" si="165"/>
        <v>0</v>
      </c>
      <c r="BB105" s="213">
        <f t="shared" si="146"/>
        <v>0</v>
      </c>
      <c r="BC105" s="61">
        <f t="shared" si="179"/>
        <v>0</v>
      </c>
      <c r="BD105" s="58">
        <v>0</v>
      </c>
      <c r="BE105" s="49">
        <f t="shared" si="180"/>
        <v>0</v>
      </c>
      <c r="BF105" s="61">
        <f t="shared" si="147"/>
        <v>0</v>
      </c>
      <c r="BG105" s="58">
        <f t="shared" si="181"/>
        <v>0</v>
      </c>
      <c r="BH105" s="49">
        <f t="shared" si="182"/>
        <v>0</v>
      </c>
      <c r="BI105" s="61">
        <f t="shared" si="183"/>
        <v>0</v>
      </c>
      <c r="BK105" s="217">
        <f t="shared" si="166"/>
        <v>0</v>
      </c>
      <c r="BL105" s="213">
        <f t="shared" si="112"/>
        <v>0</v>
      </c>
      <c r="BM105" s="213">
        <f t="shared" si="167"/>
        <v>0</v>
      </c>
      <c r="BN105" s="61">
        <f t="shared" si="150"/>
        <v>0</v>
      </c>
      <c r="BO105" s="58">
        <v>0</v>
      </c>
      <c r="BP105" s="49">
        <f t="shared" si="184"/>
        <v>0</v>
      </c>
      <c r="BQ105" s="61">
        <f t="shared" si="148"/>
        <v>0</v>
      </c>
      <c r="BR105" s="58">
        <f t="shared" si="185"/>
        <v>0</v>
      </c>
      <c r="BS105" s="49">
        <f t="shared" si="186"/>
        <v>0</v>
      </c>
      <c r="BT105" s="61">
        <f t="shared" si="149"/>
        <v>0</v>
      </c>
      <c r="BU105" s="58">
        <f t="shared" si="168"/>
        <v>1.2855244295558567E-3</v>
      </c>
      <c r="BV105" s="49">
        <f t="shared" si="115"/>
        <v>3.6450000000000007E-3</v>
      </c>
      <c r="BW105" s="61">
        <f t="shared" si="169"/>
        <v>6.7499999999999999E-3</v>
      </c>
      <c r="BX105" s="49">
        <f t="shared" si="139"/>
        <v>0.46758827349730891</v>
      </c>
      <c r="BY105" s="49">
        <f t="shared" si="140"/>
        <v>0.61257782131301886</v>
      </c>
      <c r="BZ105" s="49">
        <f t="shared" si="187"/>
        <v>88.887634040382366</v>
      </c>
    </row>
    <row r="106" spans="17:78" x14ac:dyDescent="0.3">
      <c r="Q106" s="49">
        <v>99</v>
      </c>
      <c r="R106" s="217">
        <f t="shared" si="151"/>
        <v>4.95</v>
      </c>
      <c r="S106" s="213">
        <f t="shared" si="95"/>
        <v>15</v>
      </c>
      <c r="T106" s="218">
        <f t="shared" si="152"/>
        <v>0.33</v>
      </c>
      <c r="U106" s="217">
        <f t="shared" si="153"/>
        <v>1</v>
      </c>
      <c r="V106" s="213">
        <f t="shared" si="154"/>
        <v>0.44497190922573976</v>
      </c>
      <c r="W106" s="213">
        <f t="shared" si="155"/>
        <v>3.559775273805918E-2</v>
      </c>
      <c r="X106" s="213">
        <f t="shared" si="117"/>
        <v>0.51943033803620098</v>
      </c>
      <c r="Y106" s="217">
        <f t="shared" si="170"/>
        <v>0.74161984870956632</v>
      </c>
      <c r="Z106" s="213">
        <f t="shared" si="156"/>
        <v>1.4832396974191324</v>
      </c>
      <c r="AA106" s="213">
        <f t="shared" si="119"/>
        <v>1.4832396974191324</v>
      </c>
      <c r="AB106" s="218">
        <f t="shared" si="157"/>
        <v>0.57123789565487437</v>
      </c>
      <c r="AC106" s="217">
        <v>0</v>
      </c>
      <c r="AD106" s="213">
        <f t="shared" si="158"/>
        <v>0.37525964344704055</v>
      </c>
      <c r="AE106" s="218">
        <f t="shared" si="120"/>
        <v>0.37525964344704055</v>
      </c>
      <c r="AF106" s="58">
        <f t="shared" si="159"/>
        <v>9.9000000000000005E-2</v>
      </c>
      <c r="AG106" s="61">
        <f t="shared" si="160"/>
        <v>9.9000000000000005E-2</v>
      </c>
      <c r="AH106" s="58">
        <f t="shared" si="161"/>
        <v>2.284189134025464E-2</v>
      </c>
      <c r="AI106" s="49">
        <f t="shared" si="162"/>
        <v>8.8121781123139693E-3</v>
      </c>
      <c r="AJ106" s="61">
        <f t="shared" si="121"/>
        <v>3.1654069452568608E-2</v>
      </c>
      <c r="AK106" s="217">
        <f t="shared" si="163"/>
        <v>4.95</v>
      </c>
      <c r="AL106" s="213">
        <f t="shared" si="108"/>
        <v>1500</v>
      </c>
      <c r="AM106" s="218">
        <f t="shared" si="171"/>
        <v>3.3E-3</v>
      </c>
      <c r="AN106" s="217">
        <f t="shared" si="172"/>
        <v>2</v>
      </c>
      <c r="AO106" s="213">
        <f t="shared" si="173"/>
        <v>3.559775273805918E-2</v>
      </c>
      <c r="AP106" s="213">
        <f t="shared" si="174"/>
        <v>9.270248108869579E-2</v>
      </c>
      <c r="AQ106" s="213">
        <f t="shared" si="175"/>
        <v>0.18540496217739155</v>
      </c>
      <c r="AR106" s="213">
        <f t="shared" si="142"/>
        <v>0.18540496217739155</v>
      </c>
      <c r="AS106" s="218">
        <f t="shared" si="143"/>
        <v>2.019630948441475E-2</v>
      </c>
      <c r="AT106" s="217"/>
      <c r="AU106" s="213">
        <f t="shared" si="176"/>
        <v>2.9402999999999997E-4</v>
      </c>
      <c r="AV106" s="218">
        <f t="shared" si="144"/>
        <v>2.9402999999999997E-4</v>
      </c>
      <c r="AW106" s="217">
        <f t="shared" si="177"/>
        <v>0</v>
      </c>
      <c r="AX106" s="213">
        <f t="shared" si="178"/>
        <v>3.7949999999999998E-3</v>
      </c>
      <c r="AY106" s="218">
        <f t="shared" si="145"/>
        <v>3.7949999999999998E-3</v>
      </c>
      <c r="AZ106" s="217">
        <f t="shared" si="164"/>
        <v>0</v>
      </c>
      <c r="BA106" s="213">
        <f t="shared" si="165"/>
        <v>0</v>
      </c>
      <c r="BB106" s="213">
        <f t="shared" si="146"/>
        <v>0</v>
      </c>
      <c r="BC106" s="61">
        <f t="shared" si="179"/>
        <v>0</v>
      </c>
      <c r="BD106" s="58">
        <v>0</v>
      </c>
      <c r="BE106" s="49">
        <f t="shared" si="180"/>
        <v>0</v>
      </c>
      <c r="BF106" s="61">
        <f t="shared" si="147"/>
        <v>0</v>
      </c>
      <c r="BG106" s="58">
        <f t="shared" si="181"/>
        <v>0</v>
      </c>
      <c r="BH106" s="49">
        <f t="shared" si="182"/>
        <v>0</v>
      </c>
      <c r="BI106" s="61">
        <f t="shared" si="183"/>
        <v>0</v>
      </c>
      <c r="BK106" s="217">
        <f t="shared" si="166"/>
        <v>0</v>
      </c>
      <c r="BL106" s="213">
        <f t="shared" si="112"/>
        <v>0</v>
      </c>
      <c r="BM106" s="213">
        <f t="shared" si="167"/>
        <v>0</v>
      </c>
      <c r="BN106" s="61">
        <f t="shared" si="150"/>
        <v>0</v>
      </c>
      <c r="BO106" s="58">
        <v>0</v>
      </c>
      <c r="BP106" s="49">
        <f t="shared" si="184"/>
        <v>0</v>
      </c>
      <c r="BQ106" s="61">
        <f t="shared" si="148"/>
        <v>0</v>
      </c>
      <c r="BR106" s="58">
        <f t="shared" si="185"/>
        <v>0</v>
      </c>
      <c r="BS106" s="49">
        <f t="shared" si="186"/>
        <v>0</v>
      </c>
      <c r="BT106" s="61">
        <f t="shared" si="149"/>
        <v>0</v>
      </c>
      <c r="BU106" s="58">
        <f t="shared" si="168"/>
        <v>1.3052509337288364E-3</v>
      </c>
      <c r="BV106" s="49">
        <f t="shared" si="115"/>
        <v>3.6450000000000007E-3</v>
      </c>
      <c r="BW106" s="61">
        <f t="shared" si="169"/>
        <v>6.7499999999999999E-3</v>
      </c>
      <c r="BX106" s="49">
        <f t="shared" si="139"/>
        <v>0.47425964344704052</v>
      </c>
      <c r="BY106" s="49">
        <f t="shared" si="140"/>
        <v>0.62070299383333793</v>
      </c>
      <c r="BZ106" s="49">
        <f t="shared" si="187"/>
        <v>88.857725954507998</v>
      </c>
    </row>
    <row r="107" spans="17:78" x14ac:dyDescent="0.3">
      <c r="Q107" s="49">
        <v>100</v>
      </c>
      <c r="R107" s="217">
        <f t="shared" si="151"/>
        <v>5</v>
      </c>
      <c r="S107" s="213">
        <f t="shared" si="95"/>
        <v>15</v>
      </c>
      <c r="T107" s="218">
        <f t="shared" si="152"/>
        <v>0.33333333333333331</v>
      </c>
      <c r="U107" s="217">
        <f t="shared" si="153"/>
        <v>1</v>
      </c>
      <c r="V107" s="213">
        <f t="shared" si="154"/>
        <v>0.44721359549995793</v>
      </c>
      <c r="W107" s="213">
        <f t="shared" si="155"/>
        <v>3.5777087639996631E-2</v>
      </c>
      <c r="X107" s="213">
        <f t="shared" si="117"/>
        <v>0.51700931686004548</v>
      </c>
      <c r="Y107" s="217">
        <f t="shared" si="170"/>
        <v>0.74535599249993001</v>
      </c>
      <c r="Z107" s="213">
        <f t="shared" si="156"/>
        <v>1.4907119849998596</v>
      </c>
      <c r="AA107" s="213">
        <f t="shared" si="119"/>
        <v>1.4907119849998598</v>
      </c>
      <c r="AB107" s="218">
        <f t="shared" si="157"/>
        <v>0.57556001424696701</v>
      </c>
      <c r="AC107" s="217">
        <v>0</v>
      </c>
      <c r="AD107" s="213">
        <f t="shared" si="158"/>
        <v>0.38095972949996426</v>
      </c>
      <c r="AE107" s="218">
        <f t="shared" si="120"/>
        <v>0.38095972949996426</v>
      </c>
      <c r="AF107" s="58">
        <f t="shared" si="159"/>
        <v>0.1</v>
      </c>
      <c r="AG107" s="61">
        <f t="shared" si="160"/>
        <v>0.1</v>
      </c>
      <c r="AH107" s="58">
        <f t="shared" si="161"/>
        <v>2.3188853099997825E-2</v>
      </c>
      <c r="AI107" s="49">
        <f t="shared" si="162"/>
        <v>8.8565722376750793E-3</v>
      </c>
      <c r="AJ107" s="61">
        <f t="shared" si="121"/>
        <v>3.2045425337672906E-2</v>
      </c>
      <c r="AK107" s="217">
        <f t="shared" si="163"/>
        <v>5</v>
      </c>
      <c r="AL107" s="213">
        <f t="shared" si="108"/>
        <v>1500</v>
      </c>
      <c r="AM107" s="218">
        <f t="shared" si="171"/>
        <v>3.3333333333333335E-3</v>
      </c>
      <c r="AN107" s="217">
        <f t="shared" si="172"/>
        <v>2</v>
      </c>
      <c r="AO107" s="213">
        <f t="shared" si="173"/>
        <v>3.5777087639996631E-2</v>
      </c>
      <c r="AP107" s="213">
        <f t="shared" si="174"/>
        <v>9.3169499062491251E-2</v>
      </c>
      <c r="AQ107" s="213">
        <f t="shared" si="175"/>
        <v>0.18633899812498245</v>
      </c>
      <c r="AR107" s="213">
        <f t="shared" si="142"/>
        <v>0.18633899812498247</v>
      </c>
      <c r="AS107" s="218">
        <f t="shared" si="143"/>
        <v>2.0349119452692816E-2</v>
      </c>
      <c r="AT107" s="217"/>
      <c r="AU107" s="213">
        <f t="shared" si="176"/>
        <v>3.0000000000000008E-4</v>
      </c>
      <c r="AV107" s="218">
        <f t="shared" si="144"/>
        <v>3.0000000000000008E-4</v>
      </c>
      <c r="AW107" s="217">
        <f t="shared" si="177"/>
        <v>0</v>
      </c>
      <c r="AX107" s="213">
        <f t="shared" si="178"/>
        <v>3.8333333333333331E-3</v>
      </c>
      <c r="AY107" s="218">
        <f t="shared" si="145"/>
        <v>3.8333333333333331E-3</v>
      </c>
      <c r="AZ107" s="217">
        <f t="shared" si="164"/>
        <v>0</v>
      </c>
      <c r="BA107" s="213">
        <f t="shared" si="165"/>
        <v>0</v>
      </c>
      <c r="BB107" s="213">
        <f t="shared" si="146"/>
        <v>0</v>
      </c>
      <c r="BC107" s="61">
        <f t="shared" si="179"/>
        <v>0</v>
      </c>
      <c r="BD107" s="58">
        <v>0</v>
      </c>
      <c r="BE107" s="49">
        <f t="shared" si="180"/>
        <v>0</v>
      </c>
      <c r="BF107" s="61">
        <f t="shared" si="147"/>
        <v>0</v>
      </c>
      <c r="BG107" s="58">
        <f t="shared" si="181"/>
        <v>0</v>
      </c>
      <c r="BH107" s="49">
        <f t="shared" si="182"/>
        <v>0</v>
      </c>
      <c r="BI107" s="61">
        <f t="shared" si="183"/>
        <v>0</v>
      </c>
      <c r="BK107" s="217">
        <f t="shared" si="166"/>
        <v>0</v>
      </c>
      <c r="BL107" s="213">
        <f t="shared" si="112"/>
        <v>0</v>
      </c>
      <c r="BM107" s="213">
        <f t="shared" si="167"/>
        <v>0</v>
      </c>
      <c r="BN107" s="61">
        <f t="shared" si="150"/>
        <v>0</v>
      </c>
      <c r="BO107" s="58">
        <v>0</v>
      </c>
      <c r="BP107" s="49">
        <f t="shared" si="184"/>
        <v>0</v>
      </c>
      <c r="BQ107" s="61">
        <f t="shared" si="148"/>
        <v>0</v>
      </c>
      <c r="BR107" s="58">
        <f t="shared" si="185"/>
        <v>0</v>
      </c>
      <c r="BS107" s="49">
        <f t="shared" si="186"/>
        <v>0</v>
      </c>
      <c r="BT107" s="61">
        <f t="shared" si="149"/>
        <v>0</v>
      </c>
      <c r="BU107" s="58">
        <f t="shared" si="168"/>
        <v>1.3250773199998756E-3</v>
      </c>
      <c r="BV107" s="49">
        <f t="shared" si="115"/>
        <v>3.6450000000000007E-3</v>
      </c>
      <c r="BW107" s="61">
        <f t="shared" si="169"/>
        <v>6.7499999999999999E-3</v>
      </c>
      <c r="BX107" s="49">
        <f t="shared" si="139"/>
        <v>0.48095972949996424</v>
      </c>
      <c r="BY107" s="49">
        <f t="shared" si="140"/>
        <v>0.6288585654909703</v>
      </c>
      <c r="BZ107" s="49">
        <f t="shared" si="187"/>
        <v>88.827955824892555</v>
      </c>
    </row>
    <row r="108" spans="17:78" x14ac:dyDescent="0.3">
      <c r="Q108" s="49">
        <v>101</v>
      </c>
      <c r="R108" s="217">
        <f t="shared" si="151"/>
        <v>5.0500000000000007</v>
      </c>
      <c r="S108" s="213">
        <f t="shared" si="95"/>
        <v>15</v>
      </c>
      <c r="T108" s="218">
        <f t="shared" si="152"/>
        <v>0.33666666666666673</v>
      </c>
      <c r="U108" s="217">
        <f t="shared" si="153"/>
        <v>1</v>
      </c>
      <c r="V108" s="213">
        <f t="shared" si="154"/>
        <v>0.44944410108488464</v>
      </c>
      <c r="W108" s="213">
        <f t="shared" si="155"/>
        <v>3.5955528086790776E-2</v>
      </c>
      <c r="X108" s="213">
        <f t="shared" si="117"/>
        <v>0.51460037082832455</v>
      </c>
      <c r="Y108" s="217">
        <f t="shared" si="170"/>
        <v>0.74907350180814114</v>
      </c>
      <c r="Z108" s="213">
        <f t="shared" si="156"/>
        <v>1.4981470036162823</v>
      </c>
      <c r="AA108" s="213">
        <f t="shared" si="119"/>
        <v>1.4981470036162823</v>
      </c>
      <c r="AB108" s="218">
        <f t="shared" si="157"/>
        <v>0.57987134083584924</v>
      </c>
      <c r="AC108" s="217">
        <v>0</v>
      </c>
      <c r="AD108" s="213">
        <f t="shared" si="158"/>
        <v>0.38668838771118053</v>
      </c>
      <c r="AE108" s="218">
        <f t="shared" si="120"/>
        <v>0.38668838771118053</v>
      </c>
      <c r="AF108" s="58">
        <f t="shared" si="159"/>
        <v>0.10100000000000002</v>
      </c>
      <c r="AG108" s="61">
        <f t="shared" si="160"/>
        <v>0.10100000000000002</v>
      </c>
      <c r="AH108" s="58">
        <f t="shared" si="161"/>
        <v>2.3537554034593598E-2</v>
      </c>
      <c r="AI108" s="49">
        <f t="shared" si="162"/>
        <v>8.9007449418106871E-3</v>
      </c>
      <c r="AJ108" s="61">
        <f t="shared" si="121"/>
        <v>3.2438298976404281E-2</v>
      </c>
      <c r="AK108" s="217">
        <f t="shared" si="163"/>
        <v>5.0500000000000007</v>
      </c>
      <c r="AL108" s="213">
        <f t="shared" si="108"/>
        <v>1500</v>
      </c>
      <c r="AM108" s="218">
        <f t="shared" si="171"/>
        <v>3.3666666666666671E-3</v>
      </c>
      <c r="AN108" s="217">
        <f t="shared" si="172"/>
        <v>2</v>
      </c>
      <c r="AO108" s="213">
        <f t="shared" si="173"/>
        <v>3.595552808679077E-2</v>
      </c>
      <c r="AP108" s="213">
        <f t="shared" si="174"/>
        <v>9.3634187726017643E-2</v>
      </c>
      <c r="AQ108" s="213">
        <f t="shared" si="175"/>
        <v>0.18726837545203526</v>
      </c>
      <c r="AR108" s="213">
        <f t="shared" si="142"/>
        <v>0.18726837545203529</v>
      </c>
      <c r="AS108" s="218">
        <f t="shared" si="143"/>
        <v>2.050154786603824E-2</v>
      </c>
      <c r="AT108" s="217"/>
      <c r="AU108" s="213">
        <f t="shared" si="176"/>
        <v>3.0603000000000005E-4</v>
      </c>
      <c r="AV108" s="218">
        <f t="shared" si="144"/>
        <v>3.0603000000000005E-4</v>
      </c>
      <c r="AW108" s="217">
        <f t="shared" si="177"/>
        <v>0</v>
      </c>
      <c r="AX108" s="213">
        <f t="shared" si="178"/>
        <v>3.8716666666666669E-3</v>
      </c>
      <c r="AY108" s="218">
        <f t="shared" si="145"/>
        <v>3.8716666666666669E-3</v>
      </c>
      <c r="AZ108" s="217">
        <f t="shared" si="164"/>
        <v>0</v>
      </c>
      <c r="BA108" s="213">
        <f t="shared" si="165"/>
        <v>0</v>
      </c>
      <c r="BB108" s="213">
        <f t="shared" si="146"/>
        <v>0</v>
      </c>
      <c r="BC108" s="61">
        <f t="shared" si="179"/>
        <v>0</v>
      </c>
      <c r="BD108" s="58">
        <v>0</v>
      </c>
      <c r="BE108" s="49">
        <f t="shared" si="180"/>
        <v>0</v>
      </c>
      <c r="BF108" s="61">
        <f t="shared" si="147"/>
        <v>0</v>
      </c>
      <c r="BG108" s="58">
        <f t="shared" si="181"/>
        <v>0</v>
      </c>
      <c r="BH108" s="49">
        <f t="shared" si="182"/>
        <v>0</v>
      </c>
      <c r="BI108" s="61">
        <f t="shared" si="183"/>
        <v>0</v>
      </c>
      <c r="BK108" s="217">
        <f t="shared" si="166"/>
        <v>0</v>
      </c>
      <c r="BL108" s="213">
        <f t="shared" si="112"/>
        <v>0</v>
      </c>
      <c r="BM108" s="213">
        <f t="shared" si="167"/>
        <v>0</v>
      </c>
      <c r="BN108" s="61">
        <f t="shared" si="150"/>
        <v>0</v>
      </c>
      <c r="BO108" s="58">
        <v>0</v>
      </c>
      <c r="BP108" s="49">
        <f t="shared" si="184"/>
        <v>0</v>
      </c>
      <c r="BQ108" s="61">
        <f t="shared" si="148"/>
        <v>0</v>
      </c>
      <c r="BR108" s="58">
        <f t="shared" si="185"/>
        <v>0</v>
      </c>
      <c r="BS108" s="49">
        <f t="shared" si="186"/>
        <v>0</v>
      </c>
      <c r="BT108" s="61">
        <f t="shared" si="149"/>
        <v>0</v>
      </c>
      <c r="BU108" s="58">
        <f t="shared" si="168"/>
        <v>1.3450030876910625E-3</v>
      </c>
      <c r="BV108" s="49">
        <f t="shared" si="115"/>
        <v>3.6450000000000007E-3</v>
      </c>
      <c r="BW108" s="61">
        <f t="shared" si="169"/>
        <v>6.7499999999999999E-3</v>
      </c>
      <c r="BX108" s="49">
        <f t="shared" si="139"/>
        <v>0.48768838771118056</v>
      </c>
      <c r="BY108" s="49">
        <f t="shared" si="140"/>
        <v>0.6370443864419425</v>
      </c>
      <c r="BZ108" s="49">
        <f t="shared" si="187"/>
        <v>88.79832223640328</v>
      </c>
    </row>
    <row r="109" spans="17:78" x14ac:dyDescent="0.3">
      <c r="Q109" s="49">
        <v>102</v>
      </c>
      <c r="R109" s="217">
        <f t="shared" si="151"/>
        <v>5.1000000000000005</v>
      </c>
      <c r="S109" s="213">
        <f t="shared" si="95"/>
        <v>15</v>
      </c>
      <c r="T109" s="218">
        <f t="shared" si="152"/>
        <v>0.34</v>
      </c>
      <c r="U109" s="217">
        <f t="shared" si="153"/>
        <v>1</v>
      </c>
      <c r="V109" s="213">
        <f t="shared" si="154"/>
        <v>0.45166359162544856</v>
      </c>
      <c r="W109" s="213">
        <f t="shared" si="155"/>
        <v>3.6133087330035882E-2</v>
      </c>
      <c r="X109" s="213">
        <f t="shared" si="117"/>
        <v>0.5122033210445156</v>
      </c>
      <c r="Y109" s="217">
        <f t="shared" si="170"/>
        <v>0.75277265270908122</v>
      </c>
      <c r="Z109" s="213">
        <f t="shared" si="156"/>
        <v>1.5055453054181618</v>
      </c>
      <c r="AA109" s="213">
        <f t="shared" si="119"/>
        <v>1.505545305418162</v>
      </c>
      <c r="AB109" s="218">
        <f t="shared" si="157"/>
        <v>0.58417200882512632</v>
      </c>
      <c r="AC109" s="217">
        <v>0</v>
      </c>
      <c r="AD109" s="213">
        <f t="shared" si="158"/>
        <v>0.392445476279001</v>
      </c>
      <c r="AE109" s="218">
        <f t="shared" si="120"/>
        <v>0.392445476279001</v>
      </c>
      <c r="AF109" s="58">
        <f t="shared" si="159"/>
        <v>0.10200000000000001</v>
      </c>
      <c r="AG109" s="61">
        <f t="shared" si="160"/>
        <v>0.10200000000000001</v>
      </c>
      <c r="AH109" s="58">
        <f t="shared" si="161"/>
        <v>2.3887985512634845E-2</v>
      </c>
      <c r="AI109" s="49">
        <f t="shared" si="162"/>
        <v>8.9446995051359959E-3</v>
      </c>
      <c r="AJ109" s="61">
        <f t="shared" si="121"/>
        <v>3.2832685017770841E-2</v>
      </c>
      <c r="AK109" s="217">
        <f t="shared" si="163"/>
        <v>5.1000000000000005</v>
      </c>
      <c r="AL109" s="213">
        <f t="shared" si="108"/>
        <v>1500</v>
      </c>
      <c r="AM109" s="218">
        <f t="shared" si="171"/>
        <v>3.4000000000000002E-3</v>
      </c>
      <c r="AN109" s="217">
        <f t="shared" si="172"/>
        <v>2</v>
      </c>
      <c r="AO109" s="213">
        <f t="shared" si="173"/>
        <v>3.6133087330035882E-2</v>
      </c>
      <c r="AP109" s="213">
        <f t="shared" si="174"/>
        <v>9.4096581588635153E-2</v>
      </c>
      <c r="AQ109" s="213">
        <f t="shared" si="175"/>
        <v>0.18819316317727022</v>
      </c>
      <c r="AR109" s="213">
        <f t="shared" si="142"/>
        <v>0.18819316317727025</v>
      </c>
      <c r="AS109" s="218">
        <f t="shared" si="143"/>
        <v>2.0653599440980726E-2</v>
      </c>
      <c r="AT109" s="217"/>
      <c r="AU109" s="213">
        <f t="shared" si="176"/>
        <v>3.1212000000000004E-4</v>
      </c>
      <c r="AV109" s="218">
        <f t="shared" si="144"/>
        <v>3.1212000000000004E-4</v>
      </c>
      <c r="AW109" s="217">
        <f t="shared" si="177"/>
        <v>0</v>
      </c>
      <c r="AX109" s="213">
        <f t="shared" si="178"/>
        <v>3.9100000000000003E-3</v>
      </c>
      <c r="AY109" s="218">
        <f t="shared" si="145"/>
        <v>3.9100000000000003E-3</v>
      </c>
      <c r="AZ109" s="217">
        <f t="shared" si="164"/>
        <v>0</v>
      </c>
      <c r="BA109" s="213">
        <f t="shared" si="165"/>
        <v>0</v>
      </c>
      <c r="BB109" s="213">
        <f t="shared" si="146"/>
        <v>0</v>
      </c>
      <c r="BC109" s="61">
        <f t="shared" si="179"/>
        <v>0</v>
      </c>
      <c r="BD109" s="58">
        <v>0</v>
      </c>
      <c r="BE109" s="49">
        <f t="shared" si="180"/>
        <v>0</v>
      </c>
      <c r="BF109" s="61">
        <f t="shared" si="147"/>
        <v>0</v>
      </c>
      <c r="BG109" s="58">
        <f t="shared" si="181"/>
        <v>0</v>
      </c>
      <c r="BH109" s="49">
        <f t="shared" si="182"/>
        <v>0</v>
      </c>
      <c r="BI109" s="61">
        <f t="shared" si="183"/>
        <v>0</v>
      </c>
      <c r="BK109" s="217">
        <f t="shared" si="166"/>
        <v>0</v>
      </c>
      <c r="BL109" s="213">
        <f t="shared" si="112"/>
        <v>0</v>
      </c>
      <c r="BM109" s="213">
        <f t="shared" si="167"/>
        <v>0</v>
      </c>
      <c r="BN109" s="61">
        <f t="shared" si="150"/>
        <v>0</v>
      </c>
      <c r="BO109" s="58">
        <v>0</v>
      </c>
      <c r="BP109" s="49">
        <f t="shared" si="184"/>
        <v>0</v>
      </c>
      <c r="BQ109" s="61">
        <f t="shared" si="148"/>
        <v>0</v>
      </c>
      <c r="BR109" s="58">
        <f t="shared" si="185"/>
        <v>0</v>
      </c>
      <c r="BS109" s="49">
        <f t="shared" si="186"/>
        <v>0</v>
      </c>
      <c r="BT109" s="61">
        <f t="shared" si="149"/>
        <v>0</v>
      </c>
      <c r="BU109" s="58">
        <f t="shared" si="168"/>
        <v>1.3650277435791338E-3</v>
      </c>
      <c r="BV109" s="49">
        <f t="shared" si="115"/>
        <v>3.6450000000000007E-3</v>
      </c>
      <c r="BW109" s="61">
        <f t="shared" si="169"/>
        <v>6.7499999999999999E-3</v>
      </c>
      <c r="BX109" s="49">
        <f t="shared" si="139"/>
        <v>0.49444547627900104</v>
      </c>
      <c r="BY109" s="49">
        <f t="shared" si="140"/>
        <v>0.64526030904035092</v>
      </c>
      <c r="BZ109" s="49">
        <f t="shared" si="187"/>
        <v>88.768823789846167</v>
      </c>
    </row>
    <row r="110" spans="17:78" x14ac:dyDescent="0.3">
      <c r="Q110" s="49">
        <v>103</v>
      </c>
      <c r="R110" s="217">
        <f t="shared" si="151"/>
        <v>5.15</v>
      </c>
      <c r="S110" s="213">
        <f t="shared" si="95"/>
        <v>15</v>
      </c>
      <c r="T110" s="218">
        <f t="shared" si="152"/>
        <v>0.34333333333333338</v>
      </c>
      <c r="U110" s="217">
        <f t="shared" si="153"/>
        <v>1</v>
      </c>
      <c r="V110" s="213">
        <f t="shared" si="154"/>
        <v>0.4538722287164087</v>
      </c>
      <c r="W110" s="213">
        <f t="shared" si="155"/>
        <v>3.6309778297312696E-2</v>
      </c>
      <c r="X110" s="213">
        <f t="shared" si="117"/>
        <v>0.5098179929862785</v>
      </c>
      <c r="Y110" s="217">
        <f t="shared" si="170"/>
        <v>0.75645371452734789</v>
      </c>
      <c r="Z110" s="213">
        <f t="shared" si="156"/>
        <v>1.5129074290546956</v>
      </c>
      <c r="AA110" s="213">
        <f t="shared" si="119"/>
        <v>1.5129074290546956</v>
      </c>
      <c r="AB110" s="218">
        <f t="shared" si="157"/>
        <v>0.58846214867914381</v>
      </c>
      <c r="AC110" s="217">
        <v>0</v>
      </c>
      <c r="AD110" s="213">
        <f t="shared" si="158"/>
        <v>0.39823085549228604</v>
      </c>
      <c r="AE110" s="218">
        <f t="shared" si="120"/>
        <v>0.39823085549228604</v>
      </c>
      <c r="AF110" s="58">
        <f t="shared" si="159"/>
        <v>0.10300000000000001</v>
      </c>
      <c r="AG110" s="61">
        <f t="shared" si="160"/>
        <v>0.10300000000000001</v>
      </c>
      <c r="AH110" s="58">
        <f t="shared" si="161"/>
        <v>2.4240139029965236E-2</v>
      </c>
      <c r="AI110" s="49">
        <f t="shared" si="162"/>
        <v>8.9884391278570522E-3</v>
      </c>
      <c r="AJ110" s="61">
        <f t="shared" si="121"/>
        <v>3.3228578157822292E-2</v>
      </c>
      <c r="AK110" s="217">
        <f t="shared" si="163"/>
        <v>5.15</v>
      </c>
      <c r="AL110" s="213">
        <f t="shared" si="108"/>
        <v>1500</v>
      </c>
      <c r="AM110" s="218">
        <f t="shared" si="171"/>
        <v>3.4333333333333334E-3</v>
      </c>
      <c r="AN110" s="217">
        <f t="shared" si="172"/>
        <v>2</v>
      </c>
      <c r="AO110" s="213">
        <f t="shared" si="173"/>
        <v>3.6309778297312689E-2</v>
      </c>
      <c r="AP110" s="213">
        <f t="shared" si="174"/>
        <v>9.4556714315918486E-2</v>
      </c>
      <c r="AQ110" s="213">
        <f t="shared" si="175"/>
        <v>0.18911342863183692</v>
      </c>
      <c r="AR110" s="213">
        <f t="shared" si="142"/>
        <v>0.18911342863183694</v>
      </c>
      <c r="AS110" s="218">
        <f t="shared" si="143"/>
        <v>2.0805278790131446E-2</v>
      </c>
      <c r="AT110" s="217"/>
      <c r="AU110" s="213">
        <f t="shared" si="176"/>
        <v>3.1827E-4</v>
      </c>
      <c r="AV110" s="218">
        <f t="shared" si="144"/>
        <v>3.1827E-4</v>
      </c>
      <c r="AW110" s="217">
        <f t="shared" si="177"/>
        <v>0</v>
      </c>
      <c r="AX110" s="213">
        <f t="shared" si="178"/>
        <v>3.9483333333333332E-3</v>
      </c>
      <c r="AY110" s="218">
        <f t="shared" si="145"/>
        <v>3.9483333333333332E-3</v>
      </c>
      <c r="AZ110" s="217">
        <f t="shared" si="164"/>
        <v>0</v>
      </c>
      <c r="BA110" s="213">
        <f t="shared" si="165"/>
        <v>0</v>
      </c>
      <c r="BB110" s="213">
        <f t="shared" si="146"/>
        <v>0</v>
      </c>
      <c r="BC110" s="61">
        <f t="shared" si="179"/>
        <v>0</v>
      </c>
      <c r="BD110" s="58">
        <v>0</v>
      </c>
      <c r="BE110" s="49">
        <f t="shared" si="180"/>
        <v>0</v>
      </c>
      <c r="BF110" s="61">
        <f t="shared" si="147"/>
        <v>0</v>
      </c>
      <c r="BG110" s="58">
        <f t="shared" si="181"/>
        <v>0</v>
      </c>
      <c r="BH110" s="49">
        <f t="shared" si="182"/>
        <v>0</v>
      </c>
      <c r="BI110" s="61">
        <f t="shared" si="183"/>
        <v>0</v>
      </c>
      <c r="BK110" s="217">
        <f t="shared" si="166"/>
        <v>0</v>
      </c>
      <c r="BL110" s="213">
        <f t="shared" si="112"/>
        <v>0</v>
      </c>
      <c r="BM110" s="213">
        <f t="shared" si="167"/>
        <v>0</v>
      </c>
      <c r="BN110" s="61">
        <f t="shared" si="150"/>
        <v>0</v>
      </c>
      <c r="BO110" s="58">
        <v>0</v>
      </c>
      <c r="BP110" s="49">
        <f t="shared" si="184"/>
        <v>0</v>
      </c>
      <c r="BQ110" s="61">
        <f t="shared" si="148"/>
        <v>0</v>
      </c>
      <c r="BR110" s="58">
        <f t="shared" si="185"/>
        <v>0</v>
      </c>
      <c r="BS110" s="49">
        <f t="shared" si="186"/>
        <v>0</v>
      </c>
      <c r="BT110" s="61">
        <f t="shared" si="149"/>
        <v>0</v>
      </c>
      <c r="BU110" s="58">
        <f t="shared" si="168"/>
        <v>1.3851508017122991E-3</v>
      </c>
      <c r="BV110" s="49">
        <f t="shared" si="115"/>
        <v>3.6450000000000007E-3</v>
      </c>
      <c r="BW110" s="61">
        <f t="shared" si="169"/>
        <v>6.7499999999999999E-3</v>
      </c>
      <c r="BX110" s="49">
        <f t="shared" si="139"/>
        <v>0.50123085549228608</v>
      </c>
      <c r="BY110" s="49">
        <f t="shared" si="140"/>
        <v>0.65350618778515401</v>
      </c>
      <c r="BZ110" s="49">
        <f t="shared" si="187"/>
        <v>88.739459102143954</v>
      </c>
    </row>
    <row r="111" spans="17:78" x14ac:dyDescent="0.3">
      <c r="Q111" s="49">
        <v>104</v>
      </c>
      <c r="R111" s="217">
        <f t="shared" si="151"/>
        <v>5.2</v>
      </c>
      <c r="S111" s="213">
        <f t="shared" si="95"/>
        <v>15</v>
      </c>
      <c r="T111" s="218">
        <f t="shared" si="152"/>
        <v>0.34666666666666668</v>
      </c>
      <c r="U111" s="217">
        <f t="shared" si="153"/>
        <v>1</v>
      </c>
      <c r="V111" s="213">
        <f t="shared" si="154"/>
        <v>0.45607017003965516</v>
      </c>
      <c r="W111" s="213">
        <f t="shared" si="155"/>
        <v>3.6485613603172415E-2</v>
      </c>
      <c r="X111" s="213">
        <f t="shared" si="117"/>
        <v>0.50744421635717241</v>
      </c>
      <c r="Y111" s="217">
        <f t="shared" si="170"/>
        <v>0.76011695006609203</v>
      </c>
      <c r="Z111" s="213">
        <f t="shared" si="156"/>
        <v>1.5202339001321841</v>
      </c>
      <c r="AA111" s="213">
        <f t="shared" si="119"/>
        <v>1.5202339001321841</v>
      </c>
      <c r="AB111" s="218">
        <f t="shared" si="157"/>
        <v>0.59274188801562444</v>
      </c>
      <c r="AC111" s="217">
        <v>0</v>
      </c>
      <c r="AD111" s="213">
        <f t="shared" si="158"/>
        <v>0.40404438767957618</v>
      </c>
      <c r="AE111" s="218">
        <f t="shared" si="120"/>
        <v>0.40404438767957618</v>
      </c>
      <c r="AF111" s="58">
        <f t="shared" si="159"/>
        <v>0.10400000000000001</v>
      </c>
      <c r="AG111" s="61">
        <f t="shared" si="160"/>
        <v>0.10400000000000001</v>
      </c>
      <c r="AH111" s="58">
        <f t="shared" si="161"/>
        <v>2.4594006206582898E-2</v>
      </c>
      <c r="AI111" s="49">
        <f t="shared" si="162"/>
        <v>9.0319669326898687E-3</v>
      </c>
      <c r="AJ111" s="61">
        <f t="shared" si="121"/>
        <v>3.3625973139272763E-2</v>
      </c>
      <c r="AK111" s="217">
        <f t="shared" si="163"/>
        <v>5.2</v>
      </c>
      <c r="AL111" s="213">
        <f t="shared" si="108"/>
        <v>1500</v>
      </c>
      <c r="AM111" s="218">
        <f t="shared" si="171"/>
        <v>3.4666666666666669E-3</v>
      </c>
      <c r="AN111" s="217">
        <f t="shared" si="172"/>
        <v>2</v>
      </c>
      <c r="AO111" s="213">
        <f t="shared" si="173"/>
        <v>3.6485613603172415E-2</v>
      </c>
      <c r="AP111" s="213">
        <f t="shared" si="174"/>
        <v>9.5014618758261504E-2</v>
      </c>
      <c r="AQ111" s="213">
        <f t="shared" si="175"/>
        <v>0.19002923751652301</v>
      </c>
      <c r="AR111" s="213">
        <f t="shared" si="142"/>
        <v>0.19002923751652301</v>
      </c>
      <c r="AS111" s="218">
        <f t="shared" si="143"/>
        <v>2.095659042545826E-2</v>
      </c>
      <c r="AT111" s="217"/>
      <c r="AU111" s="213">
        <f t="shared" si="176"/>
        <v>3.2448000000000004E-4</v>
      </c>
      <c r="AV111" s="218">
        <f t="shared" si="144"/>
        <v>3.2448000000000004E-4</v>
      </c>
      <c r="AW111" s="217">
        <f t="shared" si="177"/>
        <v>0</v>
      </c>
      <c r="AX111" s="213">
        <f t="shared" si="178"/>
        <v>3.986666666666667E-3</v>
      </c>
      <c r="AY111" s="218">
        <f t="shared" si="145"/>
        <v>3.986666666666667E-3</v>
      </c>
      <c r="AZ111" s="217">
        <f t="shared" si="164"/>
        <v>0</v>
      </c>
      <c r="BA111" s="213">
        <f t="shared" si="165"/>
        <v>0</v>
      </c>
      <c r="BB111" s="213">
        <f t="shared" si="146"/>
        <v>0</v>
      </c>
      <c r="BC111" s="61">
        <f t="shared" si="179"/>
        <v>0</v>
      </c>
      <c r="BD111" s="58">
        <v>0</v>
      </c>
      <c r="BE111" s="49">
        <f t="shared" si="180"/>
        <v>0</v>
      </c>
      <c r="BF111" s="61">
        <f t="shared" si="147"/>
        <v>0</v>
      </c>
      <c r="BG111" s="58">
        <f t="shared" si="181"/>
        <v>0</v>
      </c>
      <c r="BH111" s="49">
        <f t="shared" si="182"/>
        <v>0</v>
      </c>
      <c r="BI111" s="61">
        <f t="shared" si="183"/>
        <v>0</v>
      </c>
      <c r="BK111" s="217">
        <f t="shared" si="166"/>
        <v>0</v>
      </c>
      <c r="BL111" s="213">
        <f t="shared" si="112"/>
        <v>0</v>
      </c>
      <c r="BM111" s="213">
        <f t="shared" si="167"/>
        <v>0</v>
      </c>
      <c r="BN111" s="61">
        <f t="shared" si="150"/>
        <v>0</v>
      </c>
      <c r="BO111" s="58">
        <v>0</v>
      </c>
      <c r="BP111" s="49">
        <f t="shared" si="184"/>
        <v>0</v>
      </c>
      <c r="BQ111" s="61">
        <f t="shared" si="148"/>
        <v>0</v>
      </c>
      <c r="BR111" s="58">
        <f t="shared" si="185"/>
        <v>0</v>
      </c>
      <c r="BS111" s="49">
        <f t="shared" si="186"/>
        <v>0</v>
      </c>
      <c r="BT111" s="61">
        <f t="shared" si="149"/>
        <v>0</v>
      </c>
      <c r="BU111" s="58">
        <f t="shared" si="168"/>
        <v>1.4053717832333084E-3</v>
      </c>
      <c r="BV111" s="49">
        <f t="shared" si="115"/>
        <v>3.6450000000000007E-3</v>
      </c>
      <c r="BW111" s="61">
        <f t="shared" si="169"/>
        <v>6.7499999999999999E-3</v>
      </c>
      <c r="BX111" s="49">
        <f t="shared" si="139"/>
        <v>0.50804438767957616</v>
      </c>
      <c r="BY111" s="49">
        <f t="shared" si="140"/>
        <v>0.66178187926874887</v>
      </c>
      <c r="BZ111" s="49">
        <f t="shared" si="187"/>
        <v>88.710226806472278</v>
      </c>
    </row>
    <row r="112" spans="17:78" x14ac:dyDescent="0.3">
      <c r="Q112" s="49">
        <v>105</v>
      </c>
      <c r="R112" s="217">
        <f t="shared" si="151"/>
        <v>5.25</v>
      </c>
      <c r="S112" s="213">
        <f t="shared" si="95"/>
        <v>15</v>
      </c>
      <c r="T112" s="218">
        <f t="shared" si="152"/>
        <v>0.35</v>
      </c>
      <c r="U112" s="217">
        <f t="shared" si="153"/>
        <v>1</v>
      </c>
      <c r="V112" s="213">
        <f t="shared" si="154"/>
        <v>0.45825756949558394</v>
      </c>
      <c r="W112" s="213">
        <f t="shared" si="155"/>
        <v>3.6660605559646717E-2</v>
      </c>
      <c r="X112" s="213">
        <f t="shared" si="117"/>
        <v>0.50508182494476939</v>
      </c>
      <c r="Y112" s="217">
        <f t="shared" si="170"/>
        <v>0.76376261582597338</v>
      </c>
      <c r="Z112" s="213">
        <f t="shared" si="156"/>
        <v>1.5275252316519465</v>
      </c>
      <c r="AA112" s="213">
        <f t="shared" si="119"/>
        <v>1.5275252316519468</v>
      </c>
      <c r="AB112" s="218">
        <f t="shared" si="157"/>
        <v>0.59701135169452257</v>
      </c>
      <c r="AC112" s="217">
        <v>0</v>
      </c>
      <c r="AD112" s="213">
        <f t="shared" si="158"/>
        <v>0.4098859371599391</v>
      </c>
      <c r="AE112" s="218">
        <f t="shared" si="120"/>
        <v>0.4098859371599391</v>
      </c>
      <c r="AF112" s="58">
        <f t="shared" si="159"/>
        <v>0.105</v>
      </c>
      <c r="AG112" s="61">
        <f t="shared" si="160"/>
        <v>0.105</v>
      </c>
      <c r="AH112" s="58">
        <f t="shared" si="161"/>
        <v>2.4949578783648466E-2</v>
      </c>
      <c r="AI112" s="49">
        <f t="shared" si="162"/>
        <v>9.0752859674621163E-3</v>
      </c>
      <c r="AJ112" s="61">
        <f t="shared" si="121"/>
        <v>3.4024864751110578E-2</v>
      </c>
      <c r="AK112" s="217">
        <f t="shared" si="163"/>
        <v>5.25</v>
      </c>
      <c r="AL112" s="213">
        <f t="shared" si="108"/>
        <v>1500</v>
      </c>
      <c r="AM112" s="218">
        <f t="shared" si="171"/>
        <v>3.5000000000000001E-3</v>
      </c>
      <c r="AN112" s="217">
        <f t="shared" si="172"/>
        <v>2</v>
      </c>
      <c r="AO112" s="213">
        <f t="shared" si="173"/>
        <v>3.6660605559646717E-2</v>
      </c>
      <c r="AP112" s="213">
        <f t="shared" si="174"/>
        <v>9.5470326978246672E-2</v>
      </c>
      <c r="AQ112" s="213">
        <f t="shared" si="175"/>
        <v>0.19094065395649332</v>
      </c>
      <c r="AR112" s="213">
        <f t="shared" si="142"/>
        <v>0.19094065395649334</v>
      </c>
      <c r="AS112" s="218">
        <f t="shared" si="143"/>
        <v>2.1107538761427184E-2</v>
      </c>
      <c r="AT112" s="217"/>
      <c r="AU112" s="213">
        <f t="shared" si="176"/>
        <v>3.3075000000000004E-4</v>
      </c>
      <c r="AV112" s="218">
        <f t="shared" si="144"/>
        <v>3.3075000000000004E-4</v>
      </c>
      <c r="AW112" s="217">
        <f t="shared" si="177"/>
        <v>0</v>
      </c>
      <c r="AX112" s="213">
        <f t="shared" si="178"/>
        <v>4.0249999999999999E-3</v>
      </c>
      <c r="AY112" s="218">
        <f t="shared" si="145"/>
        <v>4.0249999999999999E-3</v>
      </c>
      <c r="AZ112" s="217">
        <f t="shared" si="164"/>
        <v>0</v>
      </c>
      <c r="BA112" s="213">
        <f t="shared" si="165"/>
        <v>0</v>
      </c>
      <c r="BB112" s="213">
        <f t="shared" si="146"/>
        <v>0</v>
      </c>
      <c r="BC112" s="61">
        <f t="shared" si="179"/>
        <v>0</v>
      </c>
      <c r="BD112" s="58">
        <v>0</v>
      </c>
      <c r="BE112" s="49">
        <f t="shared" si="180"/>
        <v>0</v>
      </c>
      <c r="BF112" s="61">
        <f t="shared" si="147"/>
        <v>0</v>
      </c>
      <c r="BG112" s="58">
        <f t="shared" si="181"/>
        <v>0</v>
      </c>
      <c r="BH112" s="49">
        <f t="shared" si="182"/>
        <v>0</v>
      </c>
      <c r="BI112" s="61">
        <f t="shared" si="183"/>
        <v>0</v>
      </c>
      <c r="BK112" s="217">
        <f t="shared" si="166"/>
        <v>0</v>
      </c>
      <c r="BL112" s="213">
        <f t="shared" si="112"/>
        <v>0</v>
      </c>
      <c r="BM112" s="213">
        <f t="shared" si="167"/>
        <v>0</v>
      </c>
      <c r="BN112" s="61">
        <f t="shared" ref="BN112:BN143" si="188">IF(EN_OUT_3=1,BK112/BL112,0)</f>
        <v>0</v>
      </c>
      <c r="BO112" s="58">
        <v>0</v>
      </c>
      <c r="BP112" s="49">
        <f t="shared" si="184"/>
        <v>0</v>
      </c>
      <c r="BQ112" s="61">
        <f t="shared" si="148"/>
        <v>0</v>
      </c>
      <c r="BR112" s="58">
        <f t="shared" si="185"/>
        <v>0</v>
      </c>
      <c r="BS112" s="49">
        <f t="shared" si="186"/>
        <v>0</v>
      </c>
      <c r="BT112" s="61">
        <f t="shared" si="149"/>
        <v>0</v>
      </c>
      <c r="BU112" s="58">
        <f t="shared" si="168"/>
        <v>1.4256902162084837E-3</v>
      </c>
      <c r="BV112" s="49">
        <f t="shared" si="115"/>
        <v>3.6450000000000007E-3</v>
      </c>
      <c r="BW112" s="61">
        <f t="shared" si="169"/>
        <v>6.7499999999999999E-3</v>
      </c>
      <c r="BX112" s="49">
        <f t="shared" si="139"/>
        <v>0.51488593715993913</v>
      </c>
      <c r="BY112" s="49">
        <f t="shared" si="140"/>
        <v>0.67008724212725812</v>
      </c>
      <c r="BZ112" s="49">
        <f t="shared" si="187"/>
        <v>88.681125552357969</v>
      </c>
    </row>
    <row r="113" spans="17:78" x14ac:dyDescent="0.3">
      <c r="Q113" s="49">
        <v>106</v>
      </c>
      <c r="R113" s="217">
        <f t="shared" si="151"/>
        <v>5.3000000000000007</v>
      </c>
      <c r="S113" s="213">
        <f t="shared" si="95"/>
        <v>15</v>
      </c>
      <c r="T113" s="218">
        <f t="shared" si="152"/>
        <v>0.35333333333333339</v>
      </c>
      <c r="U113" s="217">
        <f t="shared" si="153"/>
        <v>1</v>
      </c>
      <c r="V113" s="213">
        <f t="shared" si="154"/>
        <v>0.46043457732885357</v>
      </c>
      <c r="W113" s="213">
        <f t="shared" si="155"/>
        <v>3.6834766186308286E-2</v>
      </c>
      <c r="X113" s="213">
        <f t="shared" si="117"/>
        <v>0.50273065648483806</v>
      </c>
      <c r="Y113" s="217">
        <f t="shared" si="170"/>
        <v>0.76739096221475589</v>
      </c>
      <c r="Z113" s="213">
        <f t="shared" si="156"/>
        <v>1.534781924429512</v>
      </c>
      <c r="AA113" s="213">
        <f t="shared" si="119"/>
        <v>1.5347819244295118</v>
      </c>
      <c r="AB113" s="218">
        <f t="shared" si="157"/>
        <v>0.60127066190328826</v>
      </c>
      <c r="AC113" s="217">
        <v>0</v>
      </c>
      <c r="AD113" s="213">
        <f t="shared" si="158"/>
        <v>0.41575537019546116</v>
      </c>
      <c r="AE113" s="218">
        <f t="shared" si="120"/>
        <v>0.41575537019546116</v>
      </c>
      <c r="AF113" s="58">
        <f t="shared" si="159"/>
        <v>0.10600000000000001</v>
      </c>
      <c r="AG113" s="61">
        <f t="shared" si="160"/>
        <v>0.10600000000000001</v>
      </c>
      <c r="AH113" s="58">
        <f t="shared" si="161"/>
        <v>2.5306848620593288E-2</v>
      </c>
      <c r="AI113" s="49">
        <f t="shared" si="162"/>
        <v>9.118399207603621E-3</v>
      </c>
      <c r="AJ113" s="61">
        <f t="shared" si="121"/>
        <v>3.4425247828196906E-2</v>
      </c>
      <c r="AK113" s="217">
        <f t="shared" si="163"/>
        <v>5.3000000000000007</v>
      </c>
      <c r="AL113" s="213">
        <f t="shared" si="108"/>
        <v>1500</v>
      </c>
      <c r="AM113" s="218">
        <f t="shared" si="171"/>
        <v>3.5333333333333336E-3</v>
      </c>
      <c r="AN113" s="217">
        <f t="shared" si="172"/>
        <v>2</v>
      </c>
      <c r="AO113" s="213">
        <f t="shared" si="173"/>
        <v>3.6834766186308293E-2</v>
      </c>
      <c r="AP113" s="213">
        <f t="shared" si="174"/>
        <v>9.5923870276844472E-2</v>
      </c>
      <c r="AQ113" s="213">
        <f t="shared" si="175"/>
        <v>0.19184774055368903</v>
      </c>
      <c r="AR113" s="213">
        <f t="shared" si="142"/>
        <v>0.19184774055368897</v>
      </c>
      <c r="AS113" s="218">
        <f t="shared" si="143"/>
        <v>2.1258128118016955E-2</v>
      </c>
      <c r="AT113" s="217"/>
      <c r="AU113" s="213">
        <f t="shared" si="176"/>
        <v>3.3708000000000002E-4</v>
      </c>
      <c r="AV113" s="218">
        <f t="shared" si="144"/>
        <v>3.3708000000000002E-4</v>
      </c>
      <c r="AW113" s="217">
        <f t="shared" si="177"/>
        <v>0</v>
      </c>
      <c r="AX113" s="213">
        <f t="shared" si="178"/>
        <v>4.0633333333333337E-3</v>
      </c>
      <c r="AY113" s="218">
        <f t="shared" si="145"/>
        <v>4.0633333333333337E-3</v>
      </c>
      <c r="AZ113" s="217">
        <f t="shared" si="164"/>
        <v>0</v>
      </c>
      <c r="BA113" s="213">
        <f t="shared" si="165"/>
        <v>0</v>
      </c>
      <c r="BB113" s="213">
        <f t="shared" si="146"/>
        <v>0</v>
      </c>
      <c r="BC113" s="61">
        <f t="shared" si="179"/>
        <v>0</v>
      </c>
      <c r="BD113" s="58">
        <v>0</v>
      </c>
      <c r="BE113" s="49">
        <f t="shared" si="180"/>
        <v>0</v>
      </c>
      <c r="BF113" s="61">
        <f t="shared" si="147"/>
        <v>0</v>
      </c>
      <c r="BG113" s="58">
        <f t="shared" si="181"/>
        <v>0</v>
      </c>
      <c r="BH113" s="49">
        <f t="shared" si="182"/>
        <v>0</v>
      </c>
      <c r="BI113" s="61">
        <f t="shared" si="183"/>
        <v>0</v>
      </c>
      <c r="BK113" s="217">
        <f t="shared" si="166"/>
        <v>0</v>
      </c>
      <c r="BL113" s="213">
        <f t="shared" si="112"/>
        <v>0</v>
      </c>
      <c r="BM113" s="213">
        <f t="shared" si="167"/>
        <v>0</v>
      </c>
      <c r="BN113" s="61">
        <f t="shared" si="188"/>
        <v>0</v>
      </c>
      <c r="BO113" s="58">
        <v>0</v>
      </c>
      <c r="BP113" s="49">
        <f t="shared" si="184"/>
        <v>0</v>
      </c>
      <c r="BQ113" s="61">
        <f t="shared" si="148"/>
        <v>0</v>
      </c>
      <c r="BR113" s="58">
        <f t="shared" si="185"/>
        <v>0</v>
      </c>
      <c r="BS113" s="49">
        <f t="shared" si="186"/>
        <v>0</v>
      </c>
      <c r="BT113" s="61">
        <f t="shared" si="149"/>
        <v>0</v>
      </c>
      <c r="BU113" s="58">
        <f t="shared" si="168"/>
        <v>1.4461056354624735E-3</v>
      </c>
      <c r="BV113" s="49">
        <f t="shared" si="115"/>
        <v>3.6450000000000007E-3</v>
      </c>
      <c r="BW113" s="61">
        <f t="shared" si="169"/>
        <v>6.7499999999999999E-3</v>
      </c>
      <c r="BX113" s="49">
        <f t="shared" si="139"/>
        <v>0.52175537019546114</v>
      </c>
      <c r="BY113" s="49">
        <f t="shared" si="140"/>
        <v>0.67842213699245379</v>
      </c>
      <c r="BZ113" s="49">
        <f t="shared" si="187"/>
        <v>88.652154005743299</v>
      </c>
    </row>
    <row r="114" spans="17:78" x14ac:dyDescent="0.3">
      <c r="Q114" s="49">
        <v>107</v>
      </c>
      <c r="R114" s="217">
        <f t="shared" si="151"/>
        <v>5.3500000000000005</v>
      </c>
      <c r="S114" s="213">
        <f t="shared" si="95"/>
        <v>15</v>
      </c>
      <c r="T114" s="218">
        <f t="shared" si="152"/>
        <v>0.35666666666666669</v>
      </c>
      <c r="U114" s="217">
        <f t="shared" si="153"/>
        <v>1</v>
      </c>
      <c r="V114" s="213">
        <f t="shared" si="154"/>
        <v>0.46260134024881511</v>
      </c>
      <c r="W114" s="213">
        <f t="shared" si="155"/>
        <v>3.7008107219905211E-2</v>
      </c>
      <c r="X114" s="213">
        <f t="shared" si="117"/>
        <v>0.50039055253127962</v>
      </c>
      <c r="Y114" s="217">
        <f t="shared" si="170"/>
        <v>0.77100223374802523</v>
      </c>
      <c r="Z114" s="213">
        <f t="shared" si="156"/>
        <v>1.5420044674960502</v>
      </c>
      <c r="AA114" s="213">
        <f t="shared" si="119"/>
        <v>1.5420044674960502</v>
      </c>
      <c r="AB114" s="218">
        <f t="shared" si="157"/>
        <v>0.60551993823871431</v>
      </c>
      <c r="AC114" s="217">
        <v>0</v>
      </c>
      <c r="AD114" s="213">
        <f t="shared" si="158"/>
        <v>0.4216525549453089</v>
      </c>
      <c r="AE114" s="218">
        <f t="shared" si="120"/>
        <v>0.4216525549453089</v>
      </c>
      <c r="AF114" s="58">
        <f t="shared" si="159"/>
        <v>0.10700000000000001</v>
      </c>
      <c r="AG114" s="61">
        <f t="shared" si="160"/>
        <v>0.10700000000000001</v>
      </c>
      <c r="AH114" s="58">
        <f t="shared" si="161"/>
        <v>2.5665807692323149E-2</v>
      </c>
      <c r="AI114" s="49">
        <f t="shared" si="162"/>
        <v>9.1613095585313543E-3</v>
      </c>
      <c r="AJ114" s="61">
        <f t="shared" si="121"/>
        <v>3.4827117250854502E-2</v>
      </c>
      <c r="AK114" s="217">
        <f t="shared" si="163"/>
        <v>5.3500000000000005</v>
      </c>
      <c r="AL114" s="213">
        <f t="shared" si="108"/>
        <v>1500</v>
      </c>
      <c r="AM114" s="218">
        <f t="shared" si="171"/>
        <v>3.5666666666666672E-3</v>
      </c>
      <c r="AN114" s="217">
        <f t="shared" si="172"/>
        <v>1</v>
      </c>
      <c r="AO114" s="213">
        <f t="shared" si="173"/>
        <v>3.7008107219905217E-2</v>
      </c>
      <c r="AP114" s="213">
        <f t="shared" si="174"/>
        <v>9.637527921850314E-2</v>
      </c>
      <c r="AQ114" s="213">
        <f t="shared" si="175"/>
        <v>0.19275055843700634</v>
      </c>
      <c r="AR114" s="213">
        <f t="shared" si="142"/>
        <v>0.19275055843700631</v>
      </c>
      <c r="AS114" s="218">
        <f t="shared" si="143"/>
        <v>2.1408362723612722E-2</v>
      </c>
      <c r="AT114" s="217"/>
      <c r="AU114" s="213">
        <f t="shared" si="176"/>
        <v>3.4347000000000013E-4</v>
      </c>
      <c r="AV114" s="218">
        <f t="shared" si="144"/>
        <v>3.4347000000000013E-4</v>
      </c>
      <c r="AW114" s="217">
        <f t="shared" si="177"/>
        <v>0</v>
      </c>
      <c r="AX114" s="213">
        <f t="shared" si="178"/>
        <v>4.1016666666666667E-3</v>
      </c>
      <c r="AY114" s="218">
        <f t="shared" si="145"/>
        <v>4.1016666666666667E-3</v>
      </c>
      <c r="AZ114" s="217">
        <f t="shared" si="164"/>
        <v>0</v>
      </c>
      <c r="BA114" s="213">
        <f t="shared" si="165"/>
        <v>0</v>
      </c>
      <c r="BB114" s="213">
        <f t="shared" si="146"/>
        <v>0</v>
      </c>
      <c r="BC114" s="61">
        <f t="shared" si="179"/>
        <v>0</v>
      </c>
      <c r="BD114" s="58">
        <v>0</v>
      </c>
      <c r="BE114" s="49">
        <f t="shared" si="180"/>
        <v>0</v>
      </c>
      <c r="BF114" s="61">
        <f t="shared" si="147"/>
        <v>0</v>
      </c>
      <c r="BG114" s="58">
        <f t="shared" si="181"/>
        <v>0</v>
      </c>
      <c r="BH114" s="49">
        <f t="shared" si="182"/>
        <v>0</v>
      </c>
      <c r="BI114" s="61">
        <f t="shared" si="183"/>
        <v>0</v>
      </c>
      <c r="BK114" s="217">
        <f t="shared" si="166"/>
        <v>0</v>
      </c>
      <c r="BL114" s="213">
        <f t="shared" si="112"/>
        <v>0</v>
      </c>
      <c r="BM114" s="213">
        <f t="shared" si="167"/>
        <v>0</v>
      </c>
      <c r="BN114" s="61">
        <f t="shared" si="188"/>
        <v>0</v>
      </c>
      <c r="BO114" s="58">
        <v>0</v>
      </c>
      <c r="BP114" s="49">
        <f t="shared" si="184"/>
        <v>0</v>
      </c>
      <c r="BQ114" s="61">
        <f t="shared" si="148"/>
        <v>0</v>
      </c>
      <c r="BR114" s="58">
        <f t="shared" si="185"/>
        <v>0</v>
      </c>
      <c r="BS114" s="49">
        <f t="shared" si="186"/>
        <v>0</v>
      </c>
      <c r="BT114" s="61">
        <f t="shared" si="149"/>
        <v>0</v>
      </c>
      <c r="BU114" s="58">
        <f t="shared" si="168"/>
        <v>1.4666175824184656E-3</v>
      </c>
      <c r="BV114" s="49">
        <f t="shared" si="115"/>
        <v>3.6450000000000007E-3</v>
      </c>
      <c r="BW114" s="61">
        <f t="shared" si="169"/>
        <v>6.7499999999999999E-3</v>
      </c>
      <c r="BX114" s="49">
        <f t="shared" si="139"/>
        <v>0.52865255494530894</v>
      </c>
      <c r="BY114" s="49">
        <f t="shared" si="140"/>
        <v>0.68678642644524857</v>
      </c>
      <c r="BZ114" s="49">
        <f t="shared" si="187"/>
        <v>88.623310849019688</v>
      </c>
    </row>
    <row r="115" spans="17:78" x14ac:dyDescent="0.3">
      <c r="Q115" s="49">
        <v>108</v>
      </c>
      <c r="R115" s="217">
        <f t="shared" si="151"/>
        <v>5.4</v>
      </c>
      <c r="S115" s="213">
        <f t="shared" si="95"/>
        <v>15</v>
      </c>
      <c r="T115" s="218">
        <f t="shared" si="152"/>
        <v>0.36000000000000004</v>
      </c>
      <c r="U115" s="217">
        <f t="shared" si="153"/>
        <v>1</v>
      </c>
      <c r="V115" s="213">
        <f t="shared" si="154"/>
        <v>0.46475800154489</v>
      </c>
      <c r="W115" s="213">
        <f t="shared" si="155"/>
        <v>3.7180640123591201E-2</v>
      </c>
      <c r="X115" s="213">
        <f t="shared" si="117"/>
        <v>0.49806135833151882</v>
      </c>
      <c r="Y115" s="217">
        <f t="shared" si="170"/>
        <v>0.77459666924148352</v>
      </c>
      <c r="Z115" s="213">
        <f t="shared" si="156"/>
        <v>1.5491933384829666</v>
      </c>
      <c r="AA115" s="213">
        <f t="shared" si="119"/>
        <v>1.5491933384829668</v>
      </c>
      <c r="AB115" s="218">
        <f t="shared" si="157"/>
        <v>0.60975929778553772</v>
      </c>
      <c r="AC115" s="217">
        <v>0</v>
      </c>
      <c r="AD115" s="213">
        <f t="shared" si="158"/>
        <v>0.42757736142129893</v>
      </c>
      <c r="AE115" s="218">
        <f t="shared" si="120"/>
        <v>0.42757736142129893</v>
      </c>
      <c r="AF115" s="58">
        <f t="shared" si="159"/>
        <v>0.10800000000000001</v>
      </c>
      <c r="AG115" s="61">
        <f t="shared" si="160"/>
        <v>0.10800000000000001</v>
      </c>
      <c r="AH115" s="58">
        <f t="shared" si="161"/>
        <v>2.6026448086513849E-2</v>
      </c>
      <c r="AI115" s="49">
        <f t="shared" si="162"/>
        <v>9.204019857934332E-3</v>
      </c>
      <c r="AJ115" s="61">
        <f t="shared" si="121"/>
        <v>3.5230467944448181E-2</v>
      </c>
      <c r="AK115" s="217">
        <f t="shared" si="163"/>
        <v>5.4</v>
      </c>
      <c r="AL115" s="213">
        <f t="shared" si="108"/>
        <v>1500</v>
      </c>
      <c r="AM115" s="218">
        <f t="shared" si="171"/>
        <v>3.6000000000000003E-3</v>
      </c>
      <c r="AN115" s="217">
        <f t="shared" si="172"/>
        <v>2</v>
      </c>
      <c r="AO115" s="213">
        <f t="shared" si="173"/>
        <v>3.7180640123591201E-2</v>
      </c>
      <c r="AP115" s="213">
        <f t="shared" si="174"/>
        <v>9.6824583655185439E-2</v>
      </c>
      <c r="AQ115" s="213">
        <f t="shared" si="175"/>
        <v>0.19364916731037082</v>
      </c>
      <c r="AR115" s="213">
        <f t="shared" si="142"/>
        <v>0.19364916731037085</v>
      </c>
      <c r="AS115" s="218">
        <f t="shared" si="143"/>
        <v>2.1558246717785057E-2</v>
      </c>
      <c r="AT115" s="217"/>
      <c r="AU115" s="213">
        <f t="shared" si="176"/>
        <v>3.4992000000000009E-4</v>
      </c>
      <c r="AV115" s="218">
        <f t="shared" si="144"/>
        <v>3.4992000000000009E-4</v>
      </c>
      <c r="AW115" s="217">
        <f t="shared" si="177"/>
        <v>0</v>
      </c>
      <c r="AX115" s="213">
        <f t="shared" si="178"/>
        <v>4.1400000000000005E-3</v>
      </c>
      <c r="AY115" s="218">
        <f t="shared" si="145"/>
        <v>4.1400000000000005E-3</v>
      </c>
      <c r="AZ115" s="217">
        <f t="shared" si="164"/>
        <v>0</v>
      </c>
      <c r="BA115" s="213">
        <f t="shared" si="165"/>
        <v>0</v>
      </c>
      <c r="BB115" s="213">
        <f t="shared" si="146"/>
        <v>0</v>
      </c>
      <c r="BC115" s="61">
        <f t="shared" si="179"/>
        <v>0</v>
      </c>
      <c r="BD115" s="58">
        <v>0</v>
      </c>
      <c r="BE115" s="49">
        <f t="shared" si="180"/>
        <v>0</v>
      </c>
      <c r="BF115" s="61">
        <f t="shared" si="147"/>
        <v>0</v>
      </c>
      <c r="BG115" s="58">
        <f t="shared" si="181"/>
        <v>0</v>
      </c>
      <c r="BH115" s="49">
        <f t="shared" si="182"/>
        <v>0</v>
      </c>
      <c r="BI115" s="61">
        <f t="shared" si="183"/>
        <v>0</v>
      </c>
      <c r="BK115" s="217">
        <f t="shared" si="166"/>
        <v>0</v>
      </c>
      <c r="BL115" s="213">
        <f t="shared" si="112"/>
        <v>0</v>
      </c>
      <c r="BM115" s="213">
        <f t="shared" si="167"/>
        <v>0</v>
      </c>
      <c r="BN115" s="61">
        <f t="shared" si="188"/>
        <v>0</v>
      </c>
      <c r="BO115" s="58">
        <v>0</v>
      </c>
      <c r="BP115" s="49">
        <f t="shared" si="184"/>
        <v>0</v>
      </c>
      <c r="BQ115" s="61">
        <f t="shared" si="148"/>
        <v>0</v>
      </c>
      <c r="BR115" s="58">
        <f t="shared" si="185"/>
        <v>0</v>
      </c>
      <c r="BS115" s="49">
        <f t="shared" si="186"/>
        <v>0</v>
      </c>
      <c r="BT115" s="61">
        <f t="shared" si="149"/>
        <v>0</v>
      </c>
      <c r="BU115" s="58">
        <f t="shared" si="168"/>
        <v>1.4872256049436483E-3</v>
      </c>
      <c r="BV115" s="49">
        <f t="shared" si="115"/>
        <v>3.6450000000000007E-3</v>
      </c>
      <c r="BW115" s="61">
        <f t="shared" si="169"/>
        <v>6.7499999999999999E-3</v>
      </c>
      <c r="BX115" s="49">
        <f t="shared" si="139"/>
        <v>0.53557736142129897</v>
      </c>
      <c r="BY115" s="49">
        <f t="shared" si="140"/>
        <v>0.69517997497069073</v>
      </c>
      <c r="BZ115" s="49">
        <f t="shared" si="187"/>
        <v>88.594594781033791</v>
      </c>
    </row>
    <row r="116" spans="17:78" x14ac:dyDescent="0.3">
      <c r="Q116" s="49">
        <v>109</v>
      </c>
      <c r="R116" s="217">
        <f t="shared" si="151"/>
        <v>5.45</v>
      </c>
      <c r="S116" s="213">
        <f t="shared" si="95"/>
        <v>15</v>
      </c>
      <c r="T116" s="218">
        <f t="shared" si="152"/>
        <v>0.36333333333333334</v>
      </c>
      <c r="U116" s="217">
        <f t="shared" si="153"/>
        <v>1</v>
      </c>
      <c r="V116" s="213">
        <f t="shared" si="154"/>
        <v>0.46690470119715011</v>
      </c>
      <c r="W116" s="213">
        <f t="shared" si="155"/>
        <v>3.7352376095772008E-2</v>
      </c>
      <c r="X116" s="213">
        <f t="shared" si="117"/>
        <v>0.49574292270707787</v>
      </c>
      <c r="Y116" s="217">
        <f t="shared" si="170"/>
        <v>0.77817450199525007</v>
      </c>
      <c r="Z116" s="213">
        <f t="shared" si="156"/>
        <v>1.5563490039905004</v>
      </c>
      <c r="AA116" s="213">
        <f t="shared" si="119"/>
        <v>1.5563490039905004</v>
      </c>
      <c r="AB116" s="218">
        <f t="shared" si="157"/>
        <v>0.6139888551919499</v>
      </c>
      <c r="AC116" s="217">
        <v>0</v>
      </c>
      <c r="AD116" s="213">
        <f t="shared" si="158"/>
        <v>0.43352966144490945</v>
      </c>
      <c r="AE116" s="218">
        <f t="shared" si="120"/>
        <v>0.43352966144490945</v>
      </c>
      <c r="AF116" s="58">
        <f t="shared" si="159"/>
        <v>0.109</v>
      </c>
      <c r="AG116" s="61">
        <f t="shared" si="160"/>
        <v>0.109</v>
      </c>
      <c r="AH116" s="58">
        <f t="shared" si="161"/>
        <v>2.6388762000994489E-2</v>
      </c>
      <c r="AI116" s="49">
        <f t="shared" si="162"/>
        <v>9.2465328779635595E-3</v>
      </c>
      <c r="AJ116" s="61">
        <f t="shared" si="121"/>
        <v>3.563529487895805E-2</v>
      </c>
      <c r="AK116" s="217">
        <f t="shared" si="163"/>
        <v>5.45</v>
      </c>
      <c r="AL116" s="213">
        <f t="shared" si="108"/>
        <v>1500</v>
      </c>
      <c r="AM116" s="218">
        <f t="shared" si="171"/>
        <v>3.6333333333333335E-3</v>
      </c>
      <c r="AN116" s="217">
        <f t="shared" si="172"/>
        <v>2</v>
      </c>
      <c r="AO116" s="213">
        <f t="shared" si="173"/>
        <v>3.7352376095772008E-2</v>
      </c>
      <c r="AP116" s="213">
        <f t="shared" si="174"/>
        <v>9.7271812749406258E-2</v>
      </c>
      <c r="AQ116" s="213">
        <f t="shared" si="175"/>
        <v>0.19454362549881254</v>
      </c>
      <c r="AR116" s="213">
        <f t="shared" si="142"/>
        <v>0.19454362549881254</v>
      </c>
      <c r="AS116" s="218">
        <f t="shared" si="143"/>
        <v>2.1707784153959644E-2</v>
      </c>
      <c r="AT116" s="217"/>
      <c r="AU116" s="213">
        <f t="shared" si="176"/>
        <v>3.5643000000000003E-4</v>
      </c>
      <c r="AV116" s="218">
        <f t="shared" si="144"/>
        <v>3.5643000000000003E-4</v>
      </c>
      <c r="AW116" s="217">
        <f t="shared" si="177"/>
        <v>0</v>
      </c>
      <c r="AX116" s="213">
        <f t="shared" si="178"/>
        <v>4.1783333333333334E-3</v>
      </c>
      <c r="AY116" s="218">
        <f t="shared" si="145"/>
        <v>4.1783333333333334E-3</v>
      </c>
      <c r="AZ116" s="217">
        <f t="shared" si="164"/>
        <v>0</v>
      </c>
      <c r="BA116" s="213">
        <f t="shared" si="165"/>
        <v>0</v>
      </c>
      <c r="BB116" s="213">
        <f t="shared" si="146"/>
        <v>0</v>
      </c>
      <c r="BC116" s="61">
        <f t="shared" si="179"/>
        <v>0</v>
      </c>
      <c r="BD116" s="58">
        <v>0</v>
      </c>
      <c r="BE116" s="49">
        <f t="shared" si="180"/>
        <v>0</v>
      </c>
      <c r="BF116" s="61">
        <f t="shared" si="147"/>
        <v>0</v>
      </c>
      <c r="BG116" s="58">
        <f t="shared" si="181"/>
        <v>0</v>
      </c>
      <c r="BH116" s="49">
        <f t="shared" si="182"/>
        <v>0</v>
      </c>
      <c r="BI116" s="61">
        <f t="shared" si="183"/>
        <v>0</v>
      </c>
      <c r="BK116" s="217">
        <f t="shared" si="166"/>
        <v>0</v>
      </c>
      <c r="BL116" s="213">
        <f t="shared" si="112"/>
        <v>0</v>
      </c>
      <c r="BM116" s="213">
        <f t="shared" si="167"/>
        <v>0</v>
      </c>
      <c r="BN116" s="61">
        <f t="shared" si="188"/>
        <v>0</v>
      </c>
      <c r="BO116" s="58">
        <v>0</v>
      </c>
      <c r="BP116" s="49">
        <f t="shared" si="184"/>
        <v>0</v>
      </c>
      <c r="BQ116" s="61">
        <f t="shared" si="148"/>
        <v>0</v>
      </c>
      <c r="BR116" s="58">
        <f t="shared" si="185"/>
        <v>0</v>
      </c>
      <c r="BS116" s="49">
        <f t="shared" si="186"/>
        <v>0</v>
      </c>
      <c r="BT116" s="61">
        <f t="shared" si="149"/>
        <v>0</v>
      </c>
      <c r="BU116" s="58">
        <f t="shared" si="168"/>
        <v>1.507929257199685E-3</v>
      </c>
      <c r="BV116" s="49">
        <f t="shared" si="115"/>
        <v>3.6450000000000007E-3</v>
      </c>
      <c r="BW116" s="61">
        <f t="shared" si="169"/>
        <v>6.7499999999999999E-3</v>
      </c>
      <c r="BX116" s="49">
        <f t="shared" si="139"/>
        <v>0.54252966144490944</v>
      </c>
      <c r="BY116" s="49">
        <f t="shared" si="140"/>
        <v>0.7036026489144005</v>
      </c>
      <c r="BZ116" s="49">
        <f t="shared" si="187"/>
        <v>88.566004517068905</v>
      </c>
    </row>
    <row r="117" spans="17:78" x14ac:dyDescent="0.3">
      <c r="Q117" s="49">
        <v>110</v>
      </c>
      <c r="R117" s="217">
        <f t="shared" si="151"/>
        <v>5.5</v>
      </c>
      <c r="S117" s="213">
        <f t="shared" si="95"/>
        <v>15</v>
      </c>
      <c r="T117" s="218">
        <f t="shared" si="152"/>
        <v>0.36666666666666664</v>
      </c>
      <c r="U117" s="217">
        <f t="shared" si="153"/>
        <v>1</v>
      </c>
      <c r="V117" s="213">
        <f t="shared" si="154"/>
        <v>0.46904157598234297</v>
      </c>
      <c r="W117" s="213">
        <f t="shared" si="155"/>
        <v>3.7523326078587438E-2</v>
      </c>
      <c r="X117" s="213">
        <f t="shared" si="117"/>
        <v>0.49343509793906959</v>
      </c>
      <c r="Y117" s="217">
        <f t="shared" si="170"/>
        <v>0.78173595997057166</v>
      </c>
      <c r="Z117" s="213">
        <f t="shared" si="156"/>
        <v>1.5634719199411431</v>
      </c>
      <c r="AA117" s="213">
        <f t="shared" si="119"/>
        <v>1.5634719199411431</v>
      </c>
      <c r="AB117" s="218">
        <f t="shared" si="157"/>
        <v>0.61820872274216709</v>
      </c>
      <c r="AC117" s="217">
        <v>0</v>
      </c>
      <c r="AD117" s="213">
        <f t="shared" si="158"/>
        <v>0.43950932860567693</v>
      </c>
      <c r="AE117" s="218">
        <f t="shared" si="120"/>
        <v>0.43950932860567693</v>
      </c>
      <c r="AF117" s="58">
        <f t="shared" si="159"/>
        <v>0.11</v>
      </c>
      <c r="AG117" s="61">
        <f t="shared" si="160"/>
        <v>0.11</v>
      </c>
      <c r="AH117" s="58">
        <f t="shared" si="161"/>
        <v>2.6752741741215117E-2</v>
      </c>
      <c r="AI117" s="49">
        <f t="shared" si="162"/>
        <v>9.2888513273317406E-3</v>
      </c>
      <c r="AJ117" s="61">
        <f t="shared" si="121"/>
        <v>3.6041593068546859E-2</v>
      </c>
      <c r="AK117" s="217">
        <f t="shared" si="163"/>
        <v>5.5</v>
      </c>
      <c r="AL117" s="213">
        <f t="shared" si="108"/>
        <v>1500</v>
      </c>
      <c r="AM117" s="218">
        <f t="shared" si="171"/>
        <v>3.6666666666666666E-3</v>
      </c>
      <c r="AN117" s="217">
        <f t="shared" si="172"/>
        <v>2</v>
      </c>
      <c r="AO117" s="213">
        <f t="shared" si="173"/>
        <v>3.7523326078587431E-2</v>
      </c>
      <c r="AP117" s="213">
        <f t="shared" si="174"/>
        <v>9.7716994996321457E-2</v>
      </c>
      <c r="AQ117" s="213">
        <f t="shared" si="175"/>
        <v>0.19543398999264286</v>
      </c>
      <c r="AR117" s="213">
        <f t="shared" si="142"/>
        <v>0.19543398999264289</v>
      </c>
      <c r="AS117" s="218">
        <f t="shared" si="143"/>
        <v>2.185697900198303E-2</v>
      </c>
      <c r="AT117" s="217"/>
      <c r="AU117" s="213">
        <f t="shared" si="176"/>
        <v>3.6299999999999999E-4</v>
      </c>
      <c r="AV117" s="218">
        <f t="shared" si="144"/>
        <v>3.6299999999999999E-4</v>
      </c>
      <c r="AW117" s="217">
        <f t="shared" si="177"/>
        <v>0</v>
      </c>
      <c r="AX117" s="213">
        <f t="shared" si="178"/>
        <v>4.2166666666666663E-3</v>
      </c>
      <c r="AY117" s="218">
        <f t="shared" si="145"/>
        <v>4.2166666666666663E-3</v>
      </c>
      <c r="AZ117" s="217">
        <f t="shared" si="164"/>
        <v>0</v>
      </c>
      <c r="BA117" s="213">
        <f t="shared" si="165"/>
        <v>0</v>
      </c>
      <c r="BB117" s="213">
        <f t="shared" si="146"/>
        <v>0</v>
      </c>
      <c r="BC117" s="61">
        <f t="shared" si="179"/>
        <v>0</v>
      </c>
      <c r="BD117" s="58">
        <v>0</v>
      </c>
      <c r="BE117" s="49">
        <f t="shared" si="180"/>
        <v>0</v>
      </c>
      <c r="BF117" s="61">
        <f t="shared" si="147"/>
        <v>0</v>
      </c>
      <c r="BG117" s="58">
        <f t="shared" si="181"/>
        <v>0</v>
      </c>
      <c r="BH117" s="49">
        <f t="shared" si="182"/>
        <v>0</v>
      </c>
      <c r="BI117" s="61">
        <f t="shared" si="183"/>
        <v>0</v>
      </c>
      <c r="BK117" s="217">
        <f t="shared" si="166"/>
        <v>0</v>
      </c>
      <c r="BL117" s="213">
        <f t="shared" si="112"/>
        <v>0</v>
      </c>
      <c r="BM117" s="213">
        <f t="shared" si="167"/>
        <v>0</v>
      </c>
      <c r="BN117" s="61">
        <f t="shared" si="188"/>
        <v>0</v>
      </c>
      <c r="BO117" s="58">
        <v>0</v>
      </c>
      <c r="BP117" s="49">
        <f t="shared" si="184"/>
        <v>0</v>
      </c>
      <c r="BQ117" s="61">
        <f t="shared" si="148"/>
        <v>0</v>
      </c>
      <c r="BR117" s="58">
        <f t="shared" si="185"/>
        <v>0</v>
      </c>
      <c r="BS117" s="49">
        <f t="shared" si="186"/>
        <v>0</v>
      </c>
      <c r="BT117" s="61">
        <f t="shared" si="149"/>
        <v>0</v>
      </c>
      <c r="BU117" s="58">
        <f t="shared" si="168"/>
        <v>1.5287280994980067E-3</v>
      </c>
      <c r="BV117" s="49">
        <f t="shared" si="115"/>
        <v>3.6450000000000007E-3</v>
      </c>
      <c r="BW117" s="61">
        <f t="shared" si="169"/>
        <v>6.7499999999999999E-3</v>
      </c>
      <c r="BX117" s="49">
        <f t="shared" si="139"/>
        <v>0.54950932860567692</v>
      </c>
      <c r="BY117" s="49">
        <f t="shared" si="140"/>
        <v>0.71205431644038841</v>
      </c>
      <c r="BZ117" s="49">
        <f t="shared" si="187"/>
        <v>88.537538788804284</v>
      </c>
    </row>
    <row r="118" spans="17:78" x14ac:dyDescent="0.3">
      <c r="Q118" s="49">
        <v>111</v>
      </c>
      <c r="R118" s="217">
        <f t="shared" si="151"/>
        <v>5.5500000000000007</v>
      </c>
      <c r="S118" s="213">
        <f t="shared" si="95"/>
        <v>15</v>
      </c>
      <c r="T118" s="218">
        <f t="shared" si="152"/>
        <v>0.37000000000000005</v>
      </c>
      <c r="U118" s="217">
        <f t="shared" si="153"/>
        <v>1</v>
      </c>
      <c r="V118" s="213">
        <f t="shared" si="154"/>
        <v>0.47116875957558985</v>
      </c>
      <c r="W118" s="213">
        <f t="shared" si="155"/>
        <v>3.7693500766047189E-2</v>
      </c>
      <c r="X118" s="213">
        <f t="shared" si="117"/>
        <v>0.49113773965836305</v>
      </c>
      <c r="Y118" s="217">
        <f t="shared" si="170"/>
        <v>0.78528126595931658</v>
      </c>
      <c r="Z118" s="213">
        <f t="shared" si="156"/>
        <v>1.5705625319186329</v>
      </c>
      <c r="AA118" s="213">
        <f t="shared" si="119"/>
        <v>1.5705625319186329</v>
      </c>
      <c r="AB118" s="218">
        <f t="shared" si="157"/>
        <v>0.62241901042619951</v>
      </c>
      <c r="AC118" s="217">
        <v>0</v>
      </c>
      <c r="AD118" s="213">
        <f t="shared" si="158"/>
        <v>0.4455162382209189</v>
      </c>
      <c r="AE118" s="218">
        <f t="shared" si="120"/>
        <v>0.4455162382209189</v>
      </c>
      <c r="AF118" s="58">
        <f t="shared" si="159"/>
        <v>0.11100000000000002</v>
      </c>
      <c r="AG118" s="61">
        <f t="shared" si="160"/>
        <v>0.11100000000000002</v>
      </c>
      <c r="AH118" s="58">
        <f t="shared" si="161"/>
        <v>2.7118379717795064E-2</v>
      </c>
      <c r="AI118" s="49">
        <f t="shared" si="162"/>
        <v>9.3309778533272811E-3</v>
      </c>
      <c r="AJ118" s="61">
        <f t="shared" si="121"/>
        <v>3.6449357571122346E-2</v>
      </c>
      <c r="AK118" s="217">
        <f t="shared" si="163"/>
        <v>5.5500000000000007</v>
      </c>
      <c r="AL118" s="213">
        <f t="shared" si="108"/>
        <v>1500</v>
      </c>
      <c r="AM118" s="218">
        <f t="shared" si="171"/>
        <v>3.7000000000000006E-3</v>
      </c>
      <c r="AN118" s="217">
        <f t="shared" si="172"/>
        <v>2</v>
      </c>
      <c r="AO118" s="213">
        <f t="shared" si="173"/>
        <v>3.7693500766047189E-2</v>
      </c>
      <c r="AP118" s="213">
        <f t="shared" si="174"/>
        <v>9.8160158244914572E-2</v>
      </c>
      <c r="AQ118" s="213">
        <f t="shared" si="175"/>
        <v>0.19632031648982912</v>
      </c>
      <c r="AR118" s="213">
        <f t="shared" si="142"/>
        <v>0.19632031648982912</v>
      </c>
      <c r="AS118" s="218">
        <f t="shared" si="143"/>
        <v>2.2005835150589306E-2</v>
      </c>
      <c r="AT118" s="217"/>
      <c r="AU118" s="213">
        <f t="shared" si="176"/>
        <v>3.6963000000000013E-4</v>
      </c>
      <c r="AV118" s="218">
        <f t="shared" si="144"/>
        <v>3.6963000000000013E-4</v>
      </c>
      <c r="AW118" s="217">
        <f t="shared" si="177"/>
        <v>0</v>
      </c>
      <c r="AX118" s="213">
        <f t="shared" si="178"/>
        <v>4.2550000000000001E-3</v>
      </c>
      <c r="AY118" s="218">
        <f t="shared" si="145"/>
        <v>4.2550000000000001E-3</v>
      </c>
      <c r="AZ118" s="217">
        <f t="shared" si="164"/>
        <v>0</v>
      </c>
      <c r="BA118" s="213">
        <f t="shared" si="165"/>
        <v>0</v>
      </c>
      <c r="BB118" s="213">
        <f t="shared" si="146"/>
        <v>0</v>
      </c>
      <c r="BC118" s="61">
        <f t="shared" si="179"/>
        <v>0</v>
      </c>
      <c r="BD118" s="58">
        <v>0</v>
      </c>
      <c r="BE118" s="49">
        <f t="shared" si="180"/>
        <v>0</v>
      </c>
      <c r="BF118" s="61">
        <f t="shared" si="147"/>
        <v>0</v>
      </c>
      <c r="BG118" s="58">
        <f t="shared" si="181"/>
        <v>0</v>
      </c>
      <c r="BH118" s="49">
        <f t="shared" si="182"/>
        <v>0</v>
      </c>
      <c r="BI118" s="61">
        <f t="shared" si="183"/>
        <v>0</v>
      </c>
      <c r="BK118" s="217">
        <f t="shared" si="166"/>
        <v>0</v>
      </c>
      <c r="BL118" s="213">
        <f t="shared" si="112"/>
        <v>0</v>
      </c>
      <c r="BM118" s="213">
        <f t="shared" si="167"/>
        <v>0</v>
      </c>
      <c r="BN118" s="61">
        <f t="shared" si="188"/>
        <v>0</v>
      </c>
      <c r="BO118" s="58">
        <v>0</v>
      </c>
      <c r="BP118" s="49">
        <f t="shared" si="184"/>
        <v>0</v>
      </c>
      <c r="BQ118" s="61">
        <f t="shared" si="148"/>
        <v>0</v>
      </c>
      <c r="BR118" s="58">
        <f t="shared" si="185"/>
        <v>0</v>
      </c>
      <c r="BS118" s="49">
        <f t="shared" si="186"/>
        <v>0</v>
      </c>
      <c r="BT118" s="61">
        <f t="shared" si="149"/>
        <v>0</v>
      </c>
      <c r="BU118" s="58">
        <f t="shared" si="168"/>
        <v>1.5496216981597177E-3</v>
      </c>
      <c r="BV118" s="49">
        <f t="shared" si="115"/>
        <v>3.6450000000000007E-3</v>
      </c>
      <c r="BW118" s="61">
        <f t="shared" si="169"/>
        <v>6.7499999999999999E-3</v>
      </c>
      <c r="BX118" s="49">
        <f t="shared" si="139"/>
        <v>0.55651623822091889</v>
      </c>
      <c r="BY118" s="49">
        <f t="shared" si="140"/>
        <v>0.72053484749020091</v>
      </c>
      <c r="BZ118" s="49">
        <f t="shared" si="187"/>
        <v>88.509196344254477</v>
      </c>
    </row>
    <row r="119" spans="17:78" x14ac:dyDescent="0.3">
      <c r="Q119" s="49">
        <v>112</v>
      </c>
      <c r="R119" s="217">
        <f t="shared" si="151"/>
        <v>5.6000000000000005</v>
      </c>
      <c r="S119" s="213">
        <f t="shared" si="95"/>
        <v>15</v>
      </c>
      <c r="T119" s="218">
        <f t="shared" si="152"/>
        <v>0.37333333333333335</v>
      </c>
      <c r="U119" s="217">
        <f t="shared" si="153"/>
        <v>1</v>
      </c>
      <c r="V119" s="213">
        <f t="shared" si="154"/>
        <v>0.47328638264796929</v>
      </c>
      <c r="W119" s="213">
        <f t="shared" si="155"/>
        <v>3.7862910611837546E-2</v>
      </c>
      <c r="X119" s="213">
        <f t="shared" si="117"/>
        <v>0.48885070674019315</v>
      </c>
      <c r="Y119" s="217">
        <f t="shared" si="170"/>
        <v>0.78881063774661553</v>
      </c>
      <c r="Z119" s="213">
        <f t="shared" si="156"/>
        <v>1.5776212754932311</v>
      </c>
      <c r="AA119" s="213">
        <f t="shared" si="119"/>
        <v>1.5776212754932311</v>
      </c>
      <c r="AB119" s="218">
        <f t="shared" si="157"/>
        <v>0.62661982600695132</v>
      </c>
      <c r="AC119" s="217">
        <v>0</v>
      </c>
      <c r="AD119" s="213">
        <f t="shared" si="158"/>
        <v>0.45155026729672926</v>
      </c>
      <c r="AE119" s="218">
        <f t="shared" si="120"/>
        <v>0.45155026729672926</v>
      </c>
      <c r="AF119" s="58">
        <f t="shared" si="159"/>
        <v>0.11200000000000002</v>
      </c>
      <c r="AG119" s="61">
        <f t="shared" si="160"/>
        <v>0.11200000000000002</v>
      </c>
      <c r="AH119" s="58">
        <f t="shared" si="161"/>
        <v>2.748566844414874E-2</v>
      </c>
      <c r="AI119" s="49">
        <f t="shared" si="162"/>
        <v>9.3729150437468368E-3</v>
      </c>
      <c r="AJ119" s="61">
        <f t="shared" si="121"/>
        <v>3.6858583487895578E-2</v>
      </c>
      <c r="AK119" s="217">
        <f t="shared" si="163"/>
        <v>5.6000000000000005</v>
      </c>
      <c r="AL119" s="213">
        <f t="shared" si="108"/>
        <v>1500</v>
      </c>
      <c r="AM119" s="218">
        <f t="shared" si="171"/>
        <v>3.7333333333333337E-3</v>
      </c>
      <c r="AN119" s="217">
        <f t="shared" si="172"/>
        <v>2</v>
      </c>
      <c r="AO119" s="213">
        <f t="shared" si="173"/>
        <v>3.7862910611837546E-2</v>
      </c>
      <c r="AP119" s="213">
        <f t="shared" si="174"/>
        <v>9.8601329718326941E-2</v>
      </c>
      <c r="AQ119" s="213">
        <f t="shared" si="175"/>
        <v>0.19720265943665388</v>
      </c>
      <c r="AR119" s="213">
        <f t="shared" si="142"/>
        <v>0.19720265943665388</v>
      </c>
      <c r="AS119" s="218">
        <f t="shared" si="143"/>
        <v>2.2154356409772494E-2</v>
      </c>
      <c r="AT119" s="217"/>
      <c r="AU119" s="213">
        <f t="shared" si="176"/>
        <v>3.7632000000000008E-4</v>
      </c>
      <c r="AV119" s="218">
        <f t="shared" si="144"/>
        <v>3.7632000000000008E-4</v>
      </c>
      <c r="AW119" s="217">
        <f t="shared" si="177"/>
        <v>0</v>
      </c>
      <c r="AX119" s="213">
        <f t="shared" si="178"/>
        <v>4.293333333333333E-3</v>
      </c>
      <c r="AY119" s="218">
        <f t="shared" si="145"/>
        <v>4.293333333333333E-3</v>
      </c>
      <c r="AZ119" s="217">
        <f t="shared" si="164"/>
        <v>0</v>
      </c>
      <c r="BA119" s="213">
        <f t="shared" si="165"/>
        <v>0</v>
      </c>
      <c r="BB119" s="213">
        <f t="shared" si="146"/>
        <v>0</v>
      </c>
      <c r="BC119" s="61">
        <f t="shared" si="179"/>
        <v>0</v>
      </c>
      <c r="BD119" s="58">
        <v>0</v>
      </c>
      <c r="BE119" s="49">
        <f t="shared" si="180"/>
        <v>0</v>
      </c>
      <c r="BF119" s="61">
        <f t="shared" si="147"/>
        <v>0</v>
      </c>
      <c r="BG119" s="58">
        <f t="shared" si="181"/>
        <v>0</v>
      </c>
      <c r="BH119" s="49">
        <f t="shared" si="182"/>
        <v>0</v>
      </c>
      <c r="BI119" s="61">
        <f t="shared" si="183"/>
        <v>0</v>
      </c>
      <c r="BK119" s="217">
        <f t="shared" si="166"/>
        <v>0</v>
      </c>
      <c r="BL119" s="213">
        <f t="shared" si="112"/>
        <v>0</v>
      </c>
      <c r="BM119" s="213">
        <f t="shared" si="167"/>
        <v>0</v>
      </c>
      <c r="BN119" s="61">
        <f t="shared" si="188"/>
        <v>0</v>
      </c>
      <c r="BO119" s="58">
        <v>0</v>
      </c>
      <c r="BP119" s="49">
        <f t="shared" si="184"/>
        <v>0</v>
      </c>
      <c r="BQ119" s="61">
        <f t="shared" si="148"/>
        <v>0</v>
      </c>
      <c r="BR119" s="58">
        <f t="shared" si="185"/>
        <v>0</v>
      </c>
      <c r="BS119" s="49">
        <f t="shared" si="186"/>
        <v>0</v>
      </c>
      <c r="BT119" s="61">
        <f t="shared" si="149"/>
        <v>0</v>
      </c>
      <c r="BU119" s="58">
        <f t="shared" si="168"/>
        <v>1.5706096253799279E-3</v>
      </c>
      <c r="BV119" s="49">
        <f t="shared" si="115"/>
        <v>3.6450000000000007E-3</v>
      </c>
      <c r="BW119" s="61">
        <f t="shared" si="169"/>
        <v>6.7499999999999999E-3</v>
      </c>
      <c r="BX119" s="49">
        <f t="shared" si="139"/>
        <v>0.5635502672967293</v>
      </c>
      <c r="BY119" s="49">
        <f t="shared" si="140"/>
        <v>0.72904411374333811</v>
      </c>
      <c r="BZ119" s="49">
        <f t="shared" si="187"/>
        <v>88.480975947691064</v>
      </c>
    </row>
    <row r="120" spans="17:78" x14ac:dyDescent="0.3">
      <c r="Q120" s="49">
        <v>113</v>
      </c>
      <c r="R120" s="217">
        <f t="shared" si="151"/>
        <v>5.65</v>
      </c>
      <c r="S120" s="213">
        <f t="shared" si="95"/>
        <v>15</v>
      </c>
      <c r="T120" s="218">
        <f t="shared" si="152"/>
        <v>0.37666666666666671</v>
      </c>
      <c r="U120" s="217">
        <f t="shared" si="153"/>
        <v>1</v>
      </c>
      <c r="V120" s="213">
        <f t="shared" si="154"/>
        <v>0.4753945729601885</v>
      </c>
      <c r="W120" s="213">
        <f t="shared" si="155"/>
        <v>3.8031565836815079E-2</v>
      </c>
      <c r="X120" s="213">
        <f t="shared" si="117"/>
        <v>0.48657386120299639</v>
      </c>
      <c r="Y120" s="217">
        <f t="shared" si="170"/>
        <v>0.79232428826698087</v>
      </c>
      <c r="Z120" s="213">
        <f t="shared" si="156"/>
        <v>1.5846485765339617</v>
      </c>
      <c r="AA120" s="213">
        <f t="shared" si="119"/>
        <v>1.5846485765339617</v>
      </c>
      <c r="AB120" s="218">
        <f t="shared" si="157"/>
        <v>0.63081127508477819</v>
      </c>
      <c r="AC120" s="217">
        <v>0</v>
      </c>
      <c r="AD120" s="213">
        <f t="shared" si="158"/>
        <v>0.45761129449019627</v>
      </c>
      <c r="AE120" s="218">
        <f t="shared" si="120"/>
        <v>0.45761129449019627</v>
      </c>
      <c r="AF120" s="58">
        <f t="shared" si="159"/>
        <v>0.113</v>
      </c>
      <c r="AG120" s="61">
        <f t="shared" si="160"/>
        <v>0.113</v>
      </c>
      <c r="AH120" s="58">
        <f t="shared" si="161"/>
        <v>2.7854600534185859E-2</v>
      </c>
      <c r="AI120" s="49">
        <f t="shared" si="162"/>
        <v>9.4146654287503677E-3</v>
      </c>
      <c r="AJ120" s="61">
        <f t="shared" si="121"/>
        <v>3.7269265962936227E-2</v>
      </c>
      <c r="AK120" s="217">
        <f t="shared" si="163"/>
        <v>5.65</v>
      </c>
      <c r="AL120" s="213">
        <f t="shared" si="108"/>
        <v>1500</v>
      </c>
      <c r="AM120" s="218">
        <f t="shared" si="171"/>
        <v>3.7666666666666669E-3</v>
      </c>
      <c r="AN120" s="217">
        <f t="shared" si="172"/>
        <v>2</v>
      </c>
      <c r="AO120" s="213">
        <f t="shared" si="173"/>
        <v>3.8031565836815086E-2</v>
      </c>
      <c r="AP120" s="213">
        <f t="shared" si="174"/>
        <v>9.9040536033372609E-2</v>
      </c>
      <c r="AQ120" s="213">
        <f t="shared" si="175"/>
        <v>0.19808107206674525</v>
      </c>
      <c r="AR120" s="213">
        <f t="shared" si="142"/>
        <v>0.19808107206674525</v>
      </c>
      <c r="AS120" s="218">
        <f t="shared" si="143"/>
        <v>2.2302546513068972E-2</v>
      </c>
      <c r="AT120" s="217"/>
      <c r="AU120" s="213">
        <f t="shared" si="176"/>
        <v>3.8307E-4</v>
      </c>
      <c r="AV120" s="218">
        <f t="shared" si="144"/>
        <v>3.8307E-4</v>
      </c>
      <c r="AW120" s="217">
        <f t="shared" si="177"/>
        <v>0</v>
      </c>
      <c r="AX120" s="213">
        <f t="shared" si="178"/>
        <v>4.3316666666666668E-3</v>
      </c>
      <c r="AY120" s="218">
        <f t="shared" si="145"/>
        <v>4.3316666666666668E-3</v>
      </c>
      <c r="AZ120" s="217">
        <f t="shared" si="164"/>
        <v>0</v>
      </c>
      <c r="BA120" s="213">
        <f t="shared" si="165"/>
        <v>0</v>
      </c>
      <c r="BB120" s="213">
        <f t="shared" si="146"/>
        <v>0</v>
      </c>
      <c r="BC120" s="61">
        <f t="shared" si="179"/>
        <v>0</v>
      </c>
      <c r="BD120" s="58">
        <v>0</v>
      </c>
      <c r="BE120" s="49">
        <f t="shared" si="180"/>
        <v>0</v>
      </c>
      <c r="BF120" s="61">
        <f t="shared" si="147"/>
        <v>0</v>
      </c>
      <c r="BG120" s="58">
        <f t="shared" si="181"/>
        <v>0</v>
      </c>
      <c r="BH120" s="49">
        <f t="shared" si="182"/>
        <v>0</v>
      </c>
      <c r="BI120" s="61">
        <f t="shared" si="183"/>
        <v>0</v>
      </c>
      <c r="BK120" s="217">
        <f t="shared" si="166"/>
        <v>0</v>
      </c>
      <c r="BL120" s="213">
        <f t="shared" si="112"/>
        <v>0</v>
      </c>
      <c r="BM120" s="213">
        <f t="shared" si="167"/>
        <v>0</v>
      </c>
      <c r="BN120" s="61">
        <f t="shared" si="188"/>
        <v>0</v>
      </c>
      <c r="BO120" s="58">
        <v>0</v>
      </c>
      <c r="BP120" s="49">
        <f t="shared" si="184"/>
        <v>0</v>
      </c>
      <c r="BQ120" s="61">
        <f t="shared" si="148"/>
        <v>0</v>
      </c>
      <c r="BR120" s="58">
        <f t="shared" si="185"/>
        <v>0</v>
      </c>
      <c r="BS120" s="49">
        <f t="shared" si="186"/>
        <v>0</v>
      </c>
      <c r="BT120" s="61">
        <f t="shared" si="149"/>
        <v>0</v>
      </c>
      <c r="BU120" s="58">
        <f t="shared" si="168"/>
        <v>1.5916914590963346E-3</v>
      </c>
      <c r="BV120" s="49">
        <f t="shared" si="115"/>
        <v>3.6450000000000007E-3</v>
      </c>
      <c r="BW120" s="61">
        <f t="shared" si="169"/>
        <v>6.7499999999999999E-3</v>
      </c>
      <c r="BX120" s="49">
        <f t="shared" si="139"/>
        <v>0.57061129449019632</v>
      </c>
      <c r="BY120" s="49">
        <f t="shared" si="140"/>
        <v>0.73758198857889545</v>
      </c>
      <c r="BZ120" s="49">
        <f t="shared" si="187"/>
        <v>88.452876379548556</v>
      </c>
    </row>
    <row r="121" spans="17:78" x14ac:dyDescent="0.3">
      <c r="Q121" s="49">
        <v>114</v>
      </c>
      <c r="R121" s="217">
        <f t="shared" si="151"/>
        <v>5.7</v>
      </c>
      <c r="S121" s="213">
        <f t="shared" si="95"/>
        <v>15</v>
      </c>
      <c r="T121" s="218">
        <f t="shared" si="152"/>
        <v>0.38</v>
      </c>
      <c r="U121" s="217">
        <f t="shared" si="153"/>
        <v>1</v>
      </c>
      <c r="V121" s="213">
        <f t="shared" si="154"/>
        <v>0.47749345545253286</v>
      </c>
      <c r="W121" s="213">
        <f t="shared" si="155"/>
        <v>3.8199476436202633E-2</v>
      </c>
      <c r="X121" s="213">
        <f t="shared" si="117"/>
        <v>0.4843070681112645</v>
      </c>
      <c r="Y121" s="217">
        <f t="shared" si="170"/>
        <v>0.79582242575422146</v>
      </c>
      <c r="Z121" s="213">
        <f t="shared" si="156"/>
        <v>1.5916448515084429</v>
      </c>
      <c r="AA121" s="213">
        <f t="shared" si="119"/>
        <v>1.5916448515084429</v>
      </c>
      <c r="AB121" s="218">
        <f t="shared" si="157"/>
        <v>0.63499346115961874</v>
      </c>
      <c r="AC121" s="217">
        <v>0</v>
      </c>
      <c r="AD121" s="213">
        <f t="shared" si="158"/>
        <v>0.46369920007279314</v>
      </c>
      <c r="AE121" s="218">
        <f t="shared" si="120"/>
        <v>0.46369920007279314</v>
      </c>
      <c r="AF121" s="58">
        <f t="shared" si="159"/>
        <v>0.114</v>
      </c>
      <c r="AG121" s="61">
        <f t="shared" si="160"/>
        <v>0.114</v>
      </c>
      <c r="AH121" s="58">
        <f t="shared" si="161"/>
        <v>2.8225168700083059E-2</v>
      </c>
      <c r="AI121" s="49">
        <f t="shared" si="162"/>
        <v>9.4562314826424857E-3</v>
      </c>
      <c r="AJ121" s="61">
        <f t="shared" si="121"/>
        <v>3.7681400182725547E-2</v>
      </c>
      <c r="AK121" s="217">
        <f t="shared" si="163"/>
        <v>5.7</v>
      </c>
      <c r="AL121" s="213">
        <f t="shared" si="108"/>
        <v>1500</v>
      </c>
      <c r="AM121" s="218">
        <f t="shared" si="171"/>
        <v>3.8E-3</v>
      </c>
      <c r="AN121" s="217">
        <f t="shared" si="172"/>
        <v>2</v>
      </c>
      <c r="AO121" s="213">
        <f t="shared" si="173"/>
        <v>3.8199476436202633E-2</v>
      </c>
      <c r="AP121" s="213">
        <f t="shared" si="174"/>
        <v>9.9477803219277669E-2</v>
      </c>
      <c r="AQ121" s="213">
        <f t="shared" si="175"/>
        <v>0.19895560643855539</v>
      </c>
      <c r="AR121" s="213">
        <f t="shared" si="142"/>
        <v>0.19895560643855537</v>
      </c>
      <c r="AS121" s="218">
        <f t="shared" si="143"/>
        <v>2.2450409119754145E-2</v>
      </c>
      <c r="AT121" s="217"/>
      <c r="AU121" s="213">
        <f t="shared" si="176"/>
        <v>3.8988E-4</v>
      </c>
      <c r="AV121" s="218">
        <f t="shared" si="144"/>
        <v>3.8988E-4</v>
      </c>
      <c r="AW121" s="217">
        <f t="shared" si="177"/>
        <v>0</v>
      </c>
      <c r="AX121" s="213">
        <f t="shared" si="178"/>
        <v>4.3699999999999998E-3</v>
      </c>
      <c r="AY121" s="218">
        <f t="shared" si="145"/>
        <v>4.3699999999999998E-3</v>
      </c>
      <c r="AZ121" s="217">
        <f t="shared" si="164"/>
        <v>0</v>
      </c>
      <c r="BA121" s="213">
        <f t="shared" si="165"/>
        <v>0</v>
      </c>
      <c r="BB121" s="213">
        <f t="shared" si="146"/>
        <v>0</v>
      </c>
      <c r="BC121" s="61">
        <f t="shared" si="179"/>
        <v>0</v>
      </c>
      <c r="BD121" s="58">
        <v>0</v>
      </c>
      <c r="BE121" s="49">
        <f t="shared" si="180"/>
        <v>0</v>
      </c>
      <c r="BF121" s="61">
        <f t="shared" si="147"/>
        <v>0</v>
      </c>
      <c r="BG121" s="58">
        <f t="shared" si="181"/>
        <v>0</v>
      </c>
      <c r="BH121" s="49">
        <f t="shared" si="182"/>
        <v>0</v>
      </c>
      <c r="BI121" s="61">
        <f t="shared" si="183"/>
        <v>0</v>
      </c>
      <c r="BK121" s="217">
        <f t="shared" si="166"/>
        <v>0</v>
      </c>
      <c r="BL121" s="213">
        <f t="shared" si="112"/>
        <v>0</v>
      </c>
      <c r="BM121" s="213">
        <f t="shared" si="167"/>
        <v>0</v>
      </c>
      <c r="BN121" s="61">
        <f t="shared" si="188"/>
        <v>0</v>
      </c>
      <c r="BO121" s="58">
        <v>0</v>
      </c>
      <c r="BP121" s="49">
        <f t="shared" si="184"/>
        <v>0</v>
      </c>
      <c r="BQ121" s="61">
        <f t="shared" si="148"/>
        <v>0</v>
      </c>
      <c r="BR121" s="58">
        <f t="shared" si="185"/>
        <v>0</v>
      </c>
      <c r="BS121" s="49">
        <f t="shared" si="186"/>
        <v>0</v>
      </c>
      <c r="BT121" s="61">
        <f t="shared" si="149"/>
        <v>0</v>
      </c>
      <c r="BU121" s="58">
        <f t="shared" si="168"/>
        <v>1.6128667828618889E-3</v>
      </c>
      <c r="BV121" s="49">
        <f t="shared" si="115"/>
        <v>3.6450000000000007E-3</v>
      </c>
      <c r="BW121" s="61">
        <f t="shared" si="169"/>
        <v>6.7499999999999999E-3</v>
      </c>
      <c r="BX121" s="49">
        <f t="shared" si="139"/>
        <v>0.57769920007279318</v>
      </c>
      <c r="BY121" s="49">
        <f t="shared" si="140"/>
        <v>0.74614834703838062</v>
      </c>
      <c r="BZ121" s="49">
        <f t="shared" si="187"/>
        <v>88.424896436316246</v>
      </c>
    </row>
    <row r="122" spans="17:78" x14ac:dyDescent="0.3">
      <c r="Q122" s="49">
        <v>115</v>
      </c>
      <c r="R122" s="217">
        <f t="shared" si="151"/>
        <v>5.75</v>
      </c>
      <c r="S122" s="213">
        <f t="shared" si="95"/>
        <v>15</v>
      </c>
      <c r="T122" s="218">
        <f t="shared" si="152"/>
        <v>0.38333333333333336</v>
      </c>
      <c r="U122" s="217">
        <f t="shared" si="153"/>
        <v>1</v>
      </c>
      <c r="V122" s="213">
        <f t="shared" si="154"/>
        <v>0.47958315233127191</v>
      </c>
      <c r="W122" s="213">
        <f t="shared" si="155"/>
        <v>3.8366652186501753E-2</v>
      </c>
      <c r="X122" s="213">
        <f t="shared" si="117"/>
        <v>0.48205019548222633</v>
      </c>
      <c r="Y122" s="217">
        <f t="shared" si="170"/>
        <v>0.79930525388545337</v>
      </c>
      <c r="Z122" s="213">
        <f t="shared" si="156"/>
        <v>1.5986105077709063</v>
      </c>
      <c r="AA122" s="213">
        <f t="shared" si="119"/>
        <v>1.5986105077709065</v>
      </c>
      <c r="AB122" s="218">
        <f t="shared" si="157"/>
        <v>0.6391664856908118</v>
      </c>
      <c r="AC122" s="217">
        <v>0</v>
      </c>
      <c r="AD122" s="213">
        <f t="shared" si="158"/>
        <v>0.46981386589489416</v>
      </c>
      <c r="AE122" s="218">
        <f t="shared" si="120"/>
        <v>0.46981386589489416</v>
      </c>
      <c r="AF122" s="58">
        <f t="shared" si="159"/>
        <v>0.115</v>
      </c>
      <c r="AG122" s="61">
        <f t="shared" si="160"/>
        <v>0.115</v>
      </c>
      <c r="AH122" s="58">
        <f t="shared" si="161"/>
        <v>2.8597365750123994E-2</v>
      </c>
      <c r="AI122" s="49">
        <f t="shared" si="162"/>
        <v>9.4976156255836396E-3</v>
      </c>
      <c r="AJ122" s="61">
        <f t="shared" si="121"/>
        <v>3.8094981375707632E-2</v>
      </c>
      <c r="AK122" s="217">
        <f t="shared" si="163"/>
        <v>5.75</v>
      </c>
      <c r="AL122" s="213">
        <f t="shared" si="108"/>
        <v>1500</v>
      </c>
      <c r="AM122" s="218">
        <f t="shared" si="171"/>
        <v>3.8333333333333331E-3</v>
      </c>
      <c r="AN122" s="217">
        <f t="shared" si="172"/>
        <v>2</v>
      </c>
      <c r="AO122" s="213">
        <f t="shared" si="173"/>
        <v>3.8366652186501746E-2</v>
      </c>
      <c r="AP122" s="213">
        <f t="shared" si="174"/>
        <v>9.9913156735681671E-2</v>
      </c>
      <c r="AQ122" s="213">
        <f t="shared" si="175"/>
        <v>0.19982631347136326</v>
      </c>
      <c r="AR122" s="213">
        <f t="shared" si="142"/>
        <v>0.19982631347136331</v>
      </c>
      <c r="AS122" s="218">
        <f t="shared" si="143"/>
        <v>2.2597947816957367E-2</v>
      </c>
      <c r="AT122" s="217"/>
      <c r="AU122" s="213">
        <f t="shared" si="176"/>
        <v>3.9674999999999997E-4</v>
      </c>
      <c r="AV122" s="218">
        <f t="shared" si="144"/>
        <v>3.9674999999999997E-4</v>
      </c>
      <c r="AW122" s="217">
        <f t="shared" si="177"/>
        <v>0</v>
      </c>
      <c r="AX122" s="213">
        <f t="shared" si="178"/>
        <v>4.4083333333333327E-3</v>
      </c>
      <c r="AY122" s="218">
        <f t="shared" si="145"/>
        <v>4.4083333333333327E-3</v>
      </c>
      <c r="AZ122" s="217">
        <f t="shared" si="164"/>
        <v>0</v>
      </c>
      <c r="BA122" s="213">
        <f t="shared" si="165"/>
        <v>0</v>
      </c>
      <c r="BB122" s="213">
        <f t="shared" si="146"/>
        <v>0</v>
      </c>
      <c r="BC122" s="61">
        <f t="shared" si="179"/>
        <v>0</v>
      </c>
      <c r="BD122" s="58">
        <v>0</v>
      </c>
      <c r="BE122" s="49">
        <f t="shared" si="180"/>
        <v>0</v>
      </c>
      <c r="BF122" s="61">
        <f t="shared" si="147"/>
        <v>0</v>
      </c>
      <c r="BG122" s="58">
        <f t="shared" si="181"/>
        <v>0</v>
      </c>
      <c r="BH122" s="49">
        <f t="shared" si="182"/>
        <v>0</v>
      </c>
      <c r="BI122" s="61">
        <f t="shared" si="183"/>
        <v>0</v>
      </c>
      <c r="BK122" s="217">
        <f t="shared" si="166"/>
        <v>0</v>
      </c>
      <c r="BL122" s="213">
        <f t="shared" si="112"/>
        <v>0</v>
      </c>
      <c r="BM122" s="213">
        <f t="shared" si="167"/>
        <v>0</v>
      </c>
      <c r="BN122" s="61">
        <f t="shared" si="188"/>
        <v>0</v>
      </c>
      <c r="BO122" s="58">
        <v>0</v>
      </c>
      <c r="BP122" s="49">
        <f t="shared" si="184"/>
        <v>0</v>
      </c>
      <c r="BQ122" s="61">
        <f t="shared" si="148"/>
        <v>0</v>
      </c>
      <c r="BR122" s="58">
        <f t="shared" si="185"/>
        <v>0</v>
      </c>
      <c r="BS122" s="49">
        <f t="shared" si="186"/>
        <v>0</v>
      </c>
      <c r="BT122" s="61">
        <f t="shared" si="149"/>
        <v>0</v>
      </c>
      <c r="BU122" s="58">
        <f t="shared" si="168"/>
        <v>1.6341351857213709E-3</v>
      </c>
      <c r="BV122" s="49">
        <f t="shared" si="115"/>
        <v>3.6450000000000007E-3</v>
      </c>
      <c r="BW122" s="61">
        <f t="shared" si="169"/>
        <v>6.7499999999999999E-3</v>
      </c>
      <c r="BX122" s="49">
        <f t="shared" si="139"/>
        <v>0.58481386589489415</v>
      </c>
      <c r="BY122" s="49">
        <f t="shared" si="140"/>
        <v>0.75474306578965655</v>
      </c>
      <c r="BZ122" s="49">
        <f t="shared" si="187"/>
        <v>88.397034930417604</v>
      </c>
    </row>
    <row r="123" spans="17:78" x14ac:dyDescent="0.3">
      <c r="Q123" s="49">
        <v>116</v>
      </c>
      <c r="R123" s="217">
        <f t="shared" si="151"/>
        <v>5.8000000000000007</v>
      </c>
      <c r="S123" s="213">
        <f t="shared" si="95"/>
        <v>15</v>
      </c>
      <c r="T123" s="218">
        <f t="shared" si="152"/>
        <v>0.38666666666666671</v>
      </c>
      <c r="U123" s="217">
        <f t="shared" si="153"/>
        <v>1</v>
      </c>
      <c r="V123" s="213">
        <f t="shared" si="154"/>
        <v>0.48166378315169184</v>
      </c>
      <c r="W123" s="213">
        <f t="shared" si="155"/>
        <v>3.8533102652135345E-2</v>
      </c>
      <c r="X123" s="213">
        <f t="shared" si="117"/>
        <v>0.47980311419617278</v>
      </c>
      <c r="Y123" s="217">
        <f t="shared" si="170"/>
        <v>0.80277297191948649</v>
      </c>
      <c r="Z123" s="213">
        <f t="shared" si="156"/>
        <v>1.6055459438389728</v>
      </c>
      <c r="AA123" s="213">
        <f t="shared" si="119"/>
        <v>1.605545943838973</v>
      </c>
      <c r="AB123" s="218">
        <f t="shared" si="157"/>
        <v>0.6433304481547063</v>
      </c>
      <c r="AC123" s="217">
        <v>0</v>
      </c>
      <c r="AD123" s="213">
        <f t="shared" si="158"/>
        <v>0.4759551753513756</v>
      </c>
      <c r="AE123" s="218">
        <f t="shared" si="120"/>
        <v>0.4759551753513756</v>
      </c>
      <c r="AF123" s="58">
        <f t="shared" si="159"/>
        <v>0.11600000000000002</v>
      </c>
      <c r="AG123" s="61">
        <f t="shared" si="160"/>
        <v>0.11600000000000002</v>
      </c>
      <c r="AH123" s="58">
        <f t="shared" si="161"/>
        <v>2.897118458660547E-2</v>
      </c>
      <c r="AI123" s="49">
        <f t="shared" si="162"/>
        <v>9.5388202252344647E-3</v>
      </c>
      <c r="AJ123" s="61">
        <f t="shared" si="121"/>
        <v>3.8510004811839936E-2</v>
      </c>
      <c r="AK123" s="217">
        <f t="shared" si="163"/>
        <v>5.8000000000000007</v>
      </c>
      <c r="AL123" s="213">
        <f t="shared" si="108"/>
        <v>1500</v>
      </c>
      <c r="AM123" s="218">
        <f t="shared" si="171"/>
        <v>3.8666666666666671E-3</v>
      </c>
      <c r="AN123" s="217">
        <f t="shared" si="172"/>
        <v>2</v>
      </c>
      <c r="AO123" s="213">
        <f t="shared" si="173"/>
        <v>3.8533102652135345E-2</v>
      </c>
      <c r="AP123" s="213">
        <f t="shared" si="174"/>
        <v>0.10034662148993581</v>
      </c>
      <c r="AQ123" s="213">
        <f t="shared" si="175"/>
        <v>0.20069324297987159</v>
      </c>
      <c r="AR123" s="213">
        <f t="shared" si="142"/>
        <v>0.20069324297987162</v>
      </c>
      <c r="AS123" s="218">
        <f t="shared" si="143"/>
        <v>2.2745166121698673E-2</v>
      </c>
      <c r="AT123" s="217"/>
      <c r="AU123" s="213">
        <f t="shared" si="176"/>
        <v>4.0368000000000007E-4</v>
      </c>
      <c r="AV123" s="218">
        <f t="shared" si="144"/>
        <v>4.0368000000000007E-4</v>
      </c>
      <c r="AW123" s="217">
        <f t="shared" si="177"/>
        <v>0</v>
      </c>
      <c r="AX123" s="213">
        <f t="shared" si="178"/>
        <v>4.4466666666666665E-3</v>
      </c>
      <c r="AY123" s="218">
        <f t="shared" si="145"/>
        <v>4.4466666666666665E-3</v>
      </c>
      <c r="AZ123" s="217">
        <f t="shared" si="164"/>
        <v>0</v>
      </c>
      <c r="BA123" s="213">
        <f t="shared" si="165"/>
        <v>0</v>
      </c>
      <c r="BB123" s="213">
        <f t="shared" si="146"/>
        <v>0</v>
      </c>
      <c r="BC123" s="61">
        <f t="shared" si="179"/>
        <v>0</v>
      </c>
      <c r="BD123" s="58">
        <v>0</v>
      </c>
      <c r="BE123" s="49">
        <f t="shared" si="180"/>
        <v>0</v>
      </c>
      <c r="BF123" s="61">
        <f t="shared" si="147"/>
        <v>0</v>
      </c>
      <c r="BG123" s="58">
        <f t="shared" si="181"/>
        <v>0</v>
      </c>
      <c r="BH123" s="49">
        <f t="shared" si="182"/>
        <v>0</v>
      </c>
      <c r="BI123" s="61">
        <f t="shared" si="183"/>
        <v>0</v>
      </c>
      <c r="BK123" s="217">
        <f t="shared" si="166"/>
        <v>0</v>
      </c>
      <c r="BL123" s="213">
        <f t="shared" si="112"/>
        <v>0</v>
      </c>
      <c r="BM123" s="213">
        <f t="shared" si="167"/>
        <v>0</v>
      </c>
      <c r="BN123" s="61">
        <f t="shared" si="188"/>
        <v>0</v>
      </c>
      <c r="BO123" s="58">
        <v>0</v>
      </c>
      <c r="BP123" s="49">
        <f t="shared" si="184"/>
        <v>0</v>
      </c>
      <c r="BQ123" s="61">
        <f t="shared" si="148"/>
        <v>0</v>
      </c>
      <c r="BR123" s="58">
        <f t="shared" si="185"/>
        <v>0</v>
      </c>
      <c r="BS123" s="49">
        <f t="shared" si="186"/>
        <v>0</v>
      </c>
      <c r="BT123" s="61">
        <f t="shared" si="149"/>
        <v>0</v>
      </c>
      <c r="BU123" s="58">
        <f t="shared" si="168"/>
        <v>1.6554962620917411E-3</v>
      </c>
      <c r="BV123" s="49">
        <f t="shared" si="115"/>
        <v>3.6450000000000007E-3</v>
      </c>
      <c r="BW123" s="61">
        <f t="shared" si="169"/>
        <v>6.7499999999999999E-3</v>
      </c>
      <c r="BX123" s="49">
        <f t="shared" si="139"/>
        <v>0.59195517535137565</v>
      </c>
      <c r="BY123" s="49">
        <f t="shared" si="140"/>
        <v>0.76336602309197399</v>
      </c>
      <c r="BZ123" s="49">
        <f t="shared" si="187"/>
        <v>88.369290690078628</v>
      </c>
    </row>
    <row r="124" spans="17:78" x14ac:dyDescent="0.3">
      <c r="Q124" s="49">
        <v>117</v>
      </c>
      <c r="R124" s="217">
        <f t="shared" si="151"/>
        <v>5.8500000000000005</v>
      </c>
      <c r="S124" s="213">
        <f t="shared" si="95"/>
        <v>15</v>
      </c>
      <c r="T124" s="218">
        <f t="shared" si="152"/>
        <v>0.39</v>
      </c>
      <c r="U124" s="217">
        <f t="shared" si="153"/>
        <v>1</v>
      </c>
      <c r="V124" s="213">
        <f t="shared" si="154"/>
        <v>0.48373546489791291</v>
      </c>
      <c r="W124" s="213">
        <f t="shared" si="155"/>
        <v>3.8698837191833028E-2</v>
      </c>
      <c r="X124" s="213">
        <f t="shared" si="117"/>
        <v>0.47756569791025411</v>
      </c>
      <c r="Y124" s="217">
        <f t="shared" si="170"/>
        <v>0.80622577482985514</v>
      </c>
      <c r="Z124" s="213">
        <f t="shared" si="156"/>
        <v>1.6124515496597096</v>
      </c>
      <c r="AA124" s="213">
        <f t="shared" si="119"/>
        <v>1.6124515496597098</v>
      </c>
      <c r="AB124" s="218">
        <f t="shared" si="157"/>
        <v>0.64748544610016101</v>
      </c>
      <c r="AC124" s="217">
        <v>0</v>
      </c>
      <c r="AD124" s="213">
        <f t="shared" si="158"/>
        <v>0.48212301334825325</v>
      </c>
      <c r="AE124" s="218">
        <f t="shared" si="120"/>
        <v>0.48212301334825325</v>
      </c>
      <c r="AF124" s="58">
        <f t="shared" si="159"/>
        <v>0.11700000000000001</v>
      </c>
      <c r="AG124" s="61">
        <f t="shared" si="160"/>
        <v>0.11700000000000001</v>
      </c>
      <c r="AH124" s="58">
        <f t="shared" si="161"/>
        <v>2.9346618203806719E-2</v>
      </c>
      <c r="AI124" s="49">
        <f t="shared" si="162"/>
        <v>9.5798475983365026E-3</v>
      </c>
      <c r="AJ124" s="61">
        <f t="shared" si="121"/>
        <v>3.892646580214322E-2</v>
      </c>
      <c r="AK124" s="217">
        <f t="shared" si="163"/>
        <v>5.8500000000000005</v>
      </c>
      <c r="AL124" s="213">
        <f t="shared" si="108"/>
        <v>1500</v>
      </c>
      <c r="AM124" s="218">
        <f t="shared" si="171"/>
        <v>3.9000000000000003E-3</v>
      </c>
      <c r="AN124" s="217">
        <f t="shared" si="172"/>
        <v>2</v>
      </c>
      <c r="AO124" s="213">
        <f t="shared" si="173"/>
        <v>3.8698837191833028E-2</v>
      </c>
      <c r="AP124" s="213">
        <f t="shared" si="174"/>
        <v>0.10077822185373191</v>
      </c>
      <c r="AQ124" s="213">
        <f t="shared" si="175"/>
        <v>0.20155644370746367</v>
      </c>
      <c r="AR124" s="213">
        <f t="shared" si="142"/>
        <v>0.20155644370746373</v>
      </c>
      <c r="AS124" s="218">
        <f t="shared" si="143"/>
        <v>2.2892067482851039E-2</v>
      </c>
      <c r="AT124" s="217"/>
      <c r="AU124" s="213">
        <f t="shared" si="176"/>
        <v>4.1067000000000002E-4</v>
      </c>
      <c r="AV124" s="218">
        <f t="shared" si="144"/>
        <v>4.1067000000000002E-4</v>
      </c>
      <c r="AW124" s="217">
        <f t="shared" si="177"/>
        <v>0</v>
      </c>
      <c r="AX124" s="213">
        <f t="shared" si="178"/>
        <v>4.4850000000000003E-3</v>
      </c>
      <c r="AY124" s="218">
        <f t="shared" si="145"/>
        <v>4.4850000000000003E-3</v>
      </c>
      <c r="AZ124" s="217">
        <f t="shared" si="164"/>
        <v>0</v>
      </c>
      <c r="BA124" s="213">
        <f t="shared" si="165"/>
        <v>0</v>
      </c>
      <c r="BB124" s="213">
        <f t="shared" si="146"/>
        <v>0</v>
      </c>
      <c r="BC124" s="61">
        <f t="shared" si="179"/>
        <v>0</v>
      </c>
      <c r="BD124" s="58">
        <v>0</v>
      </c>
      <c r="BE124" s="49">
        <f t="shared" si="180"/>
        <v>0</v>
      </c>
      <c r="BF124" s="61">
        <f t="shared" si="147"/>
        <v>0</v>
      </c>
      <c r="BG124" s="58">
        <f t="shared" si="181"/>
        <v>0</v>
      </c>
      <c r="BH124" s="49">
        <f t="shared" si="182"/>
        <v>0</v>
      </c>
      <c r="BI124" s="61">
        <f t="shared" si="183"/>
        <v>0</v>
      </c>
      <c r="BK124" s="217">
        <f t="shared" si="166"/>
        <v>0</v>
      </c>
      <c r="BL124" s="213">
        <f t="shared" si="112"/>
        <v>0</v>
      </c>
      <c r="BM124" s="213">
        <f t="shared" si="167"/>
        <v>0</v>
      </c>
      <c r="BN124" s="61">
        <f t="shared" si="188"/>
        <v>0</v>
      </c>
      <c r="BO124" s="58">
        <v>0</v>
      </c>
      <c r="BP124" s="49">
        <f t="shared" si="184"/>
        <v>0</v>
      </c>
      <c r="BQ124" s="61">
        <f t="shared" si="148"/>
        <v>0</v>
      </c>
      <c r="BR124" s="58">
        <f t="shared" si="185"/>
        <v>0</v>
      </c>
      <c r="BS124" s="49">
        <f t="shared" si="186"/>
        <v>0</v>
      </c>
      <c r="BT124" s="61">
        <f t="shared" si="149"/>
        <v>0</v>
      </c>
      <c r="BU124" s="58">
        <f t="shared" si="168"/>
        <v>1.676949611646098E-3</v>
      </c>
      <c r="BV124" s="49">
        <f t="shared" si="115"/>
        <v>3.6450000000000007E-3</v>
      </c>
      <c r="BW124" s="61">
        <f t="shared" si="169"/>
        <v>6.7499999999999999E-3</v>
      </c>
      <c r="BX124" s="49">
        <f t="shared" si="139"/>
        <v>0.59912301334825324</v>
      </c>
      <c r="BY124" s="49">
        <f t="shared" si="140"/>
        <v>0.7720170987620425</v>
      </c>
      <c r="BZ124" s="49">
        <f t="shared" si="187"/>
        <v>88.34166255918656</v>
      </c>
    </row>
    <row r="125" spans="17:78" x14ac:dyDescent="0.3">
      <c r="Q125" s="49">
        <v>118</v>
      </c>
      <c r="R125" s="217">
        <f t="shared" si="151"/>
        <v>5.9</v>
      </c>
      <c r="S125" s="213">
        <f t="shared" si="95"/>
        <v>15</v>
      </c>
      <c r="T125" s="218">
        <f t="shared" si="152"/>
        <v>0.39333333333333337</v>
      </c>
      <c r="U125" s="217">
        <f t="shared" si="153"/>
        <v>1</v>
      </c>
      <c r="V125" s="213">
        <f t="shared" si="154"/>
        <v>0.4857983120596448</v>
      </c>
      <c r="W125" s="213">
        <f t="shared" si="155"/>
        <v>3.8863864964771587E-2</v>
      </c>
      <c r="X125" s="213">
        <f t="shared" si="117"/>
        <v>0.47533782297558369</v>
      </c>
      <c r="Y125" s="217">
        <f t="shared" si="170"/>
        <v>0.80966385343274128</v>
      </c>
      <c r="Z125" s="213">
        <f t="shared" si="156"/>
        <v>1.6193277068654828</v>
      </c>
      <c r="AA125" s="213">
        <f t="shared" si="119"/>
        <v>1.6193277068654828</v>
      </c>
      <c r="AB125" s="218">
        <f t="shared" si="157"/>
        <v>0.65163157520203252</v>
      </c>
      <c r="AC125" s="217">
        <v>0</v>
      </c>
      <c r="AD125" s="213">
        <f t="shared" si="158"/>
        <v>0.48831726627032457</v>
      </c>
      <c r="AE125" s="218">
        <f t="shared" si="120"/>
        <v>0.48831726627032457</v>
      </c>
      <c r="AF125" s="58">
        <f t="shared" si="159"/>
        <v>0.11800000000000001</v>
      </c>
      <c r="AG125" s="61">
        <f t="shared" si="160"/>
        <v>0.11800000000000001</v>
      </c>
      <c r="AH125" s="58">
        <f t="shared" si="161"/>
        <v>2.9723659686019754E-2</v>
      </c>
      <c r="AI125" s="49">
        <f t="shared" si="162"/>
        <v>9.6207000122322285E-3</v>
      </c>
      <c r="AJ125" s="61">
        <f t="shared" si="121"/>
        <v>3.9344359698251979E-2</v>
      </c>
      <c r="AK125" s="217">
        <f t="shared" si="163"/>
        <v>5.9</v>
      </c>
      <c r="AL125" s="213">
        <f t="shared" si="108"/>
        <v>1500</v>
      </c>
      <c r="AM125" s="218">
        <f t="shared" si="171"/>
        <v>3.9333333333333338E-3</v>
      </c>
      <c r="AN125" s="217">
        <f t="shared" si="172"/>
        <v>2</v>
      </c>
      <c r="AO125" s="213">
        <f t="shared" si="173"/>
        <v>3.8863864964771587E-2</v>
      </c>
      <c r="AP125" s="213">
        <f t="shared" si="174"/>
        <v>0.10120798167909266</v>
      </c>
      <c r="AQ125" s="213">
        <f t="shared" si="175"/>
        <v>0.20241596335818535</v>
      </c>
      <c r="AR125" s="213">
        <f t="shared" si="142"/>
        <v>0.20241596335818535</v>
      </c>
      <c r="AS125" s="218">
        <f t="shared" si="143"/>
        <v>2.3038655283031447E-2</v>
      </c>
      <c r="AT125" s="217"/>
      <c r="AU125" s="213">
        <f t="shared" si="176"/>
        <v>4.1772000000000006E-4</v>
      </c>
      <c r="AV125" s="218">
        <f t="shared" si="144"/>
        <v>4.1772000000000006E-4</v>
      </c>
      <c r="AW125" s="217">
        <f t="shared" si="177"/>
        <v>0</v>
      </c>
      <c r="AX125" s="213">
        <f t="shared" si="178"/>
        <v>4.5233333333333332E-3</v>
      </c>
      <c r="AY125" s="218">
        <f t="shared" si="145"/>
        <v>4.5233333333333332E-3</v>
      </c>
      <c r="AZ125" s="217">
        <f t="shared" si="164"/>
        <v>0</v>
      </c>
      <c r="BA125" s="213">
        <f t="shared" si="165"/>
        <v>0</v>
      </c>
      <c r="BB125" s="213">
        <f t="shared" si="146"/>
        <v>0</v>
      </c>
      <c r="BC125" s="61">
        <f t="shared" si="179"/>
        <v>0</v>
      </c>
      <c r="BD125" s="58">
        <v>0</v>
      </c>
      <c r="BE125" s="49">
        <f t="shared" si="180"/>
        <v>0</v>
      </c>
      <c r="BF125" s="61">
        <f t="shared" si="147"/>
        <v>0</v>
      </c>
      <c r="BG125" s="58">
        <f t="shared" si="181"/>
        <v>0</v>
      </c>
      <c r="BH125" s="49">
        <f t="shared" si="182"/>
        <v>0</v>
      </c>
      <c r="BI125" s="61">
        <f t="shared" si="183"/>
        <v>0</v>
      </c>
      <c r="BK125" s="217">
        <f t="shared" si="166"/>
        <v>0</v>
      </c>
      <c r="BL125" s="213">
        <f t="shared" si="112"/>
        <v>0</v>
      </c>
      <c r="BM125" s="213">
        <f t="shared" si="167"/>
        <v>0</v>
      </c>
      <c r="BN125" s="61">
        <f t="shared" si="188"/>
        <v>0</v>
      </c>
      <c r="BO125" s="58">
        <v>0</v>
      </c>
      <c r="BP125" s="49">
        <f t="shared" si="184"/>
        <v>0</v>
      </c>
      <c r="BQ125" s="61">
        <f t="shared" si="148"/>
        <v>0</v>
      </c>
      <c r="BR125" s="58">
        <f t="shared" si="185"/>
        <v>0</v>
      </c>
      <c r="BS125" s="49">
        <f t="shared" si="186"/>
        <v>0</v>
      </c>
      <c r="BT125" s="61">
        <f t="shared" si="149"/>
        <v>0</v>
      </c>
      <c r="BU125" s="58">
        <f t="shared" si="168"/>
        <v>1.6984948392011288E-3</v>
      </c>
      <c r="BV125" s="49">
        <f t="shared" si="115"/>
        <v>3.6450000000000007E-3</v>
      </c>
      <c r="BW125" s="61">
        <f t="shared" si="169"/>
        <v>6.7499999999999999E-3</v>
      </c>
      <c r="BX125" s="49">
        <f t="shared" si="139"/>
        <v>0.60631726627032456</v>
      </c>
      <c r="BY125" s="49">
        <f t="shared" si="140"/>
        <v>0.78069617414111103</v>
      </c>
      <c r="BZ125" s="49">
        <f t="shared" si="187"/>
        <v>88.314149397140042</v>
      </c>
    </row>
    <row r="126" spans="17:78" x14ac:dyDescent="0.3">
      <c r="Q126" s="49">
        <v>119</v>
      </c>
      <c r="R126" s="217">
        <f t="shared" si="151"/>
        <v>5.95</v>
      </c>
      <c r="S126" s="213">
        <f t="shared" si="95"/>
        <v>15</v>
      </c>
      <c r="T126" s="218">
        <f t="shared" si="152"/>
        <v>0.39666666666666667</v>
      </c>
      <c r="U126" s="217">
        <f t="shared" si="153"/>
        <v>1</v>
      </c>
      <c r="V126" s="213">
        <f t="shared" si="154"/>
        <v>0.48785243670601869</v>
      </c>
      <c r="W126" s="213">
        <f t="shared" si="155"/>
        <v>3.9028194936481492E-2</v>
      </c>
      <c r="X126" s="213">
        <f t="shared" si="117"/>
        <v>0.4731193683574999</v>
      </c>
      <c r="Y126" s="217">
        <f t="shared" si="170"/>
        <v>0.81308739451003131</v>
      </c>
      <c r="Z126" s="213">
        <f t="shared" si="156"/>
        <v>1.6261747890200622</v>
      </c>
      <c r="AA126" s="213">
        <f t="shared" si="119"/>
        <v>1.6261747890200624</v>
      </c>
      <c r="AB126" s="218">
        <f t="shared" si="157"/>
        <v>0.65576892931273589</v>
      </c>
      <c r="AC126" s="217">
        <v>0</v>
      </c>
      <c r="AD126" s="213">
        <f t="shared" si="158"/>
        <v>0.49453782194976781</v>
      </c>
      <c r="AE126" s="218">
        <f t="shared" si="120"/>
        <v>0.49453782194976781</v>
      </c>
      <c r="AF126" s="58">
        <f t="shared" si="159"/>
        <v>0.11900000000000001</v>
      </c>
      <c r="AG126" s="61">
        <f t="shared" si="160"/>
        <v>0.11900000000000001</v>
      </c>
      <c r="AH126" s="58">
        <f t="shared" si="161"/>
        <v>3.0102302205638042E-2</v>
      </c>
      <c r="AI126" s="49">
        <f t="shared" si="162"/>
        <v>9.6613796863272462E-3</v>
      </c>
      <c r="AJ126" s="61">
        <f t="shared" si="121"/>
        <v>3.9763681891965288E-2</v>
      </c>
      <c r="AK126" s="217">
        <f t="shared" si="163"/>
        <v>5.95</v>
      </c>
      <c r="AL126" s="213">
        <f t="shared" si="108"/>
        <v>1500</v>
      </c>
      <c r="AM126" s="218">
        <f t="shared" si="171"/>
        <v>3.966666666666667E-3</v>
      </c>
      <c r="AN126" s="217">
        <f t="shared" si="172"/>
        <v>2</v>
      </c>
      <c r="AO126" s="213">
        <f t="shared" si="173"/>
        <v>3.9028194936481492E-2</v>
      </c>
      <c r="AP126" s="213">
        <f t="shared" si="174"/>
        <v>0.10163592431375391</v>
      </c>
      <c r="AQ126" s="213">
        <f t="shared" si="175"/>
        <v>0.20327184862750777</v>
      </c>
      <c r="AR126" s="213">
        <f t="shared" si="142"/>
        <v>0.2032718486275078</v>
      </c>
      <c r="AS126" s="218">
        <f t="shared" si="143"/>
        <v>2.3184932840423868E-2</v>
      </c>
      <c r="AT126" s="217"/>
      <c r="AU126" s="213">
        <f t="shared" si="176"/>
        <v>4.2483000000000001E-4</v>
      </c>
      <c r="AV126" s="218">
        <f t="shared" si="144"/>
        <v>4.2483000000000001E-4</v>
      </c>
      <c r="AW126" s="217">
        <f t="shared" si="177"/>
        <v>0</v>
      </c>
      <c r="AX126" s="213">
        <f t="shared" si="178"/>
        <v>4.561666666666667E-3</v>
      </c>
      <c r="AY126" s="218">
        <f t="shared" si="145"/>
        <v>4.561666666666667E-3</v>
      </c>
      <c r="AZ126" s="217">
        <f t="shared" si="164"/>
        <v>0</v>
      </c>
      <c r="BA126" s="213">
        <f t="shared" si="165"/>
        <v>0</v>
      </c>
      <c r="BB126" s="213">
        <f t="shared" si="146"/>
        <v>0</v>
      </c>
      <c r="BC126" s="61">
        <f t="shared" si="179"/>
        <v>0</v>
      </c>
      <c r="BD126" s="58">
        <v>0</v>
      </c>
      <c r="BE126" s="49">
        <f t="shared" si="180"/>
        <v>0</v>
      </c>
      <c r="BF126" s="61">
        <f t="shared" si="147"/>
        <v>0</v>
      </c>
      <c r="BG126" s="58">
        <f t="shared" si="181"/>
        <v>0</v>
      </c>
      <c r="BH126" s="49">
        <f t="shared" si="182"/>
        <v>0</v>
      </c>
      <c r="BI126" s="61">
        <f t="shared" si="183"/>
        <v>0</v>
      </c>
      <c r="BK126" s="217">
        <f t="shared" si="166"/>
        <v>0</v>
      </c>
      <c r="BL126" s="213">
        <f t="shared" si="112"/>
        <v>0</v>
      </c>
      <c r="BM126" s="213">
        <f t="shared" si="167"/>
        <v>0</v>
      </c>
      <c r="BN126" s="61">
        <f t="shared" si="188"/>
        <v>0</v>
      </c>
      <c r="BO126" s="58">
        <v>0</v>
      </c>
      <c r="BP126" s="49">
        <f t="shared" si="184"/>
        <v>0</v>
      </c>
      <c r="BQ126" s="61">
        <f t="shared" si="148"/>
        <v>0</v>
      </c>
      <c r="BR126" s="58">
        <f t="shared" si="185"/>
        <v>0</v>
      </c>
      <c r="BS126" s="49">
        <f t="shared" si="186"/>
        <v>0</v>
      </c>
      <c r="BT126" s="61">
        <f t="shared" si="149"/>
        <v>0</v>
      </c>
      <c r="BU126" s="58">
        <f t="shared" si="168"/>
        <v>1.720131554607888E-3</v>
      </c>
      <c r="BV126" s="49">
        <f t="shared" si="115"/>
        <v>3.6450000000000007E-3</v>
      </c>
      <c r="BW126" s="61">
        <f t="shared" si="169"/>
        <v>6.7499999999999999E-3</v>
      </c>
      <c r="BX126" s="49">
        <f t="shared" si="139"/>
        <v>0.6135378219497678</v>
      </c>
      <c r="BY126" s="49">
        <f t="shared" si="140"/>
        <v>0.78940313206300772</v>
      </c>
      <c r="BZ126" s="49">
        <f t="shared" si="187"/>
        <v>88.286750078691881</v>
      </c>
    </row>
    <row r="127" spans="17:78" x14ac:dyDescent="0.3">
      <c r="Q127" s="49">
        <v>120</v>
      </c>
      <c r="R127" s="217">
        <f t="shared" si="151"/>
        <v>6</v>
      </c>
      <c r="S127" s="213">
        <f t="shared" si="95"/>
        <v>15</v>
      </c>
      <c r="T127" s="218">
        <f t="shared" si="152"/>
        <v>0.4</v>
      </c>
      <c r="U127" s="217">
        <f t="shared" si="153"/>
        <v>1</v>
      </c>
      <c r="V127" s="213">
        <f t="shared" si="154"/>
        <v>0.4898979485566356</v>
      </c>
      <c r="W127" s="213">
        <f t="shared" si="155"/>
        <v>3.9191835884530846E-2</v>
      </c>
      <c r="X127" s="213">
        <f t="shared" si="117"/>
        <v>0.47091021555883356</v>
      </c>
      <c r="Y127" s="217">
        <f t="shared" si="170"/>
        <v>0.81649658092772615</v>
      </c>
      <c r="Z127" s="213">
        <f t="shared" si="156"/>
        <v>1.6329931618554518</v>
      </c>
      <c r="AA127" s="213">
        <f t="shared" si="119"/>
        <v>1.6329931618554521</v>
      </c>
      <c r="AB127" s="218">
        <f t="shared" si="157"/>
        <v>0.65989760051196866</v>
      </c>
      <c r="AC127" s="217">
        <v>0</v>
      </c>
      <c r="AD127" s="213">
        <f t="shared" si="158"/>
        <v>0.50078456963567186</v>
      </c>
      <c r="AE127" s="218">
        <f t="shared" si="120"/>
        <v>0.50078456963567186</v>
      </c>
      <c r="AF127" s="58">
        <f t="shared" si="159"/>
        <v>0.12</v>
      </c>
      <c r="AG127" s="61">
        <f t="shared" si="160"/>
        <v>0.12</v>
      </c>
      <c r="AH127" s="58">
        <f t="shared" si="161"/>
        <v>3.0482539021301769E-2</v>
      </c>
      <c r="AI127" s="49">
        <f t="shared" si="162"/>
        <v>9.7018887934972927E-3</v>
      </c>
      <c r="AJ127" s="61">
        <f t="shared" si="121"/>
        <v>4.0184427814799063E-2</v>
      </c>
      <c r="AK127" s="217">
        <f t="shared" si="163"/>
        <v>6</v>
      </c>
      <c r="AL127" s="213">
        <f t="shared" si="108"/>
        <v>1500</v>
      </c>
      <c r="AM127" s="218">
        <f t="shared" si="171"/>
        <v>4.0000000000000001E-3</v>
      </c>
      <c r="AN127" s="217">
        <f t="shared" si="172"/>
        <v>2</v>
      </c>
      <c r="AO127" s="213">
        <f t="shared" si="173"/>
        <v>3.9191835884530846E-2</v>
      </c>
      <c r="AP127" s="213">
        <f t="shared" si="174"/>
        <v>0.10206207261596577</v>
      </c>
      <c r="AQ127" s="213">
        <f t="shared" si="175"/>
        <v>0.20412414523193148</v>
      </c>
      <c r="AR127" s="213">
        <f t="shared" si="142"/>
        <v>0.20412414523193151</v>
      </c>
      <c r="AS127" s="218">
        <f t="shared" si="143"/>
        <v>2.3330903410537219E-2</v>
      </c>
      <c r="AT127" s="217"/>
      <c r="AU127" s="213">
        <f t="shared" si="176"/>
        <v>4.3199999999999998E-4</v>
      </c>
      <c r="AV127" s="218">
        <f t="shared" si="144"/>
        <v>4.3199999999999998E-4</v>
      </c>
      <c r="AW127" s="217">
        <f t="shared" si="177"/>
        <v>0</v>
      </c>
      <c r="AX127" s="213">
        <f t="shared" si="178"/>
        <v>4.5999999999999999E-3</v>
      </c>
      <c r="AY127" s="218">
        <f t="shared" si="145"/>
        <v>4.5999999999999999E-3</v>
      </c>
      <c r="AZ127" s="217">
        <f t="shared" si="164"/>
        <v>0</v>
      </c>
      <c r="BA127" s="213">
        <f t="shared" si="165"/>
        <v>0</v>
      </c>
      <c r="BB127" s="213">
        <f t="shared" si="146"/>
        <v>0</v>
      </c>
      <c r="BC127" s="61">
        <f t="shared" si="179"/>
        <v>0</v>
      </c>
      <c r="BD127" s="58">
        <v>0</v>
      </c>
      <c r="BE127" s="49">
        <f t="shared" si="180"/>
        <v>0</v>
      </c>
      <c r="BF127" s="61">
        <f t="shared" si="147"/>
        <v>0</v>
      </c>
      <c r="BG127" s="58">
        <f t="shared" si="181"/>
        <v>0</v>
      </c>
      <c r="BH127" s="49">
        <f t="shared" si="182"/>
        <v>0</v>
      </c>
      <c r="BI127" s="61">
        <f t="shared" si="183"/>
        <v>0</v>
      </c>
      <c r="BK127" s="217">
        <f t="shared" si="166"/>
        <v>0</v>
      </c>
      <c r="BL127" s="213">
        <f t="shared" si="112"/>
        <v>0</v>
      </c>
      <c r="BM127" s="213">
        <f t="shared" si="167"/>
        <v>0</v>
      </c>
      <c r="BN127" s="61">
        <f t="shared" si="188"/>
        <v>0</v>
      </c>
      <c r="BO127" s="58">
        <v>0</v>
      </c>
      <c r="BP127" s="49">
        <f t="shared" si="184"/>
        <v>0</v>
      </c>
      <c r="BQ127" s="61">
        <f t="shared" si="148"/>
        <v>0</v>
      </c>
      <c r="BR127" s="58">
        <f t="shared" si="185"/>
        <v>0</v>
      </c>
      <c r="BS127" s="49">
        <f t="shared" si="186"/>
        <v>0</v>
      </c>
      <c r="BT127" s="61">
        <f t="shared" si="149"/>
        <v>0</v>
      </c>
      <c r="BU127" s="58">
        <f t="shared" si="168"/>
        <v>1.7418593726458151E-3</v>
      </c>
      <c r="BV127" s="49">
        <f t="shared" si="115"/>
        <v>3.6450000000000007E-3</v>
      </c>
      <c r="BW127" s="61">
        <f t="shared" si="169"/>
        <v>6.7499999999999999E-3</v>
      </c>
      <c r="BX127" s="49">
        <f t="shared" si="139"/>
        <v>0.62078456963567186</v>
      </c>
      <c r="BY127" s="49">
        <f t="shared" si="140"/>
        <v>0.79813785682311666</v>
      </c>
      <c r="BZ127" s="49">
        <f t="shared" si="187"/>
        <v>88.259463493785333</v>
      </c>
    </row>
    <row r="128" spans="17:78" x14ac:dyDescent="0.3">
      <c r="Q128" s="49">
        <v>121</v>
      </c>
      <c r="R128" s="217">
        <f t="shared" si="151"/>
        <v>6.0500000000000007</v>
      </c>
      <c r="S128" s="213">
        <f t="shared" si="95"/>
        <v>15</v>
      </c>
      <c r="T128" s="218">
        <f t="shared" si="152"/>
        <v>0.40333333333333338</v>
      </c>
      <c r="U128" s="217">
        <f t="shared" si="153"/>
        <v>1</v>
      </c>
      <c r="V128" s="213">
        <f t="shared" si="154"/>
        <v>0.49193495504995377</v>
      </c>
      <c r="W128" s="213">
        <f t="shared" si="155"/>
        <v>3.9354796403996306E-2</v>
      </c>
      <c r="X128" s="213">
        <f t="shared" si="117"/>
        <v>0.46871024854604992</v>
      </c>
      <c r="Y128" s="217">
        <f t="shared" si="170"/>
        <v>0.81989159174992288</v>
      </c>
      <c r="Z128" s="213">
        <f t="shared" si="156"/>
        <v>1.639783183499846</v>
      </c>
      <c r="AA128" s="213">
        <f t="shared" si="119"/>
        <v>1.639783183499846</v>
      </c>
      <c r="AB128" s="218">
        <f t="shared" si="157"/>
        <v>0.66401767915467325</v>
      </c>
      <c r="AC128" s="217">
        <v>0</v>
      </c>
      <c r="AD128" s="213">
        <f t="shared" si="158"/>
        <v>0.50705739996445243</v>
      </c>
      <c r="AE128" s="218">
        <f t="shared" si="120"/>
        <v>0.50705739996445243</v>
      </c>
      <c r="AF128" s="58">
        <f t="shared" si="159"/>
        <v>0.12100000000000001</v>
      </c>
      <c r="AG128" s="61">
        <f t="shared" si="160"/>
        <v>0.12100000000000001</v>
      </c>
      <c r="AH128" s="58">
        <f t="shared" si="161"/>
        <v>3.0864363476097105E-2</v>
      </c>
      <c r="AI128" s="49">
        <f t="shared" si="162"/>
        <v>9.7422294614425854E-3</v>
      </c>
      <c r="AJ128" s="61">
        <f t="shared" si="121"/>
        <v>4.0606592937539689E-2</v>
      </c>
      <c r="AK128" s="217">
        <f t="shared" si="163"/>
        <v>6.0500000000000007</v>
      </c>
      <c r="AL128" s="213">
        <f t="shared" si="108"/>
        <v>1500</v>
      </c>
      <c r="AM128" s="218">
        <f t="shared" si="171"/>
        <v>4.0333333333333341E-3</v>
      </c>
      <c r="AN128" s="217">
        <f t="shared" si="172"/>
        <v>2</v>
      </c>
      <c r="AO128" s="213">
        <f t="shared" si="173"/>
        <v>3.9354796403996306E-2</v>
      </c>
      <c r="AP128" s="213">
        <f t="shared" si="174"/>
        <v>0.10248644896874036</v>
      </c>
      <c r="AQ128" s="213">
        <f t="shared" si="175"/>
        <v>0.20497289793748077</v>
      </c>
      <c r="AR128" s="213">
        <f t="shared" si="142"/>
        <v>0.20497289793748075</v>
      </c>
      <c r="AS128" s="218">
        <f t="shared" si="143"/>
        <v>2.3476570187901134E-2</v>
      </c>
      <c r="AT128" s="217"/>
      <c r="AU128" s="213">
        <f t="shared" si="176"/>
        <v>4.3923000000000014E-4</v>
      </c>
      <c r="AV128" s="218">
        <f t="shared" si="144"/>
        <v>4.3923000000000014E-4</v>
      </c>
      <c r="AW128" s="217">
        <f t="shared" si="177"/>
        <v>0</v>
      </c>
      <c r="AX128" s="213">
        <f t="shared" si="178"/>
        <v>4.6383333333333337E-3</v>
      </c>
      <c r="AY128" s="218">
        <f t="shared" si="145"/>
        <v>4.6383333333333337E-3</v>
      </c>
      <c r="AZ128" s="217">
        <f t="shared" si="164"/>
        <v>0</v>
      </c>
      <c r="BA128" s="213">
        <f t="shared" si="165"/>
        <v>0</v>
      </c>
      <c r="BB128" s="213">
        <f t="shared" si="146"/>
        <v>0</v>
      </c>
      <c r="BC128" s="61">
        <f t="shared" si="179"/>
        <v>0</v>
      </c>
      <c r="BD128" s="58">
        <v>0</v>
      </c>
      <c r="BE128" s="49">
        <f t="shared" si="180"/>
        <v>0</v>
      </c>
      <c r="BF128" s="61">
        <f t="shared" si="147"/>
        <v>0</v>
      </c>
      <c r="BG128" s="58">
        <f t="shared" si="181"/>
        <v>0</v>
      </c>
      <c r="BH128" s="49">
        <f t="shared" si="182"/>
        <v>0</v>
      </c>
      <c r="BI128" s="61">
        <f t="shared" si="183"/>
        <v>0</v>
      </c>
      <c r="BK128" s="217">
        <f t="shared" si="166"/>
        <v>0</v>
      </c>
      <c r="BL128" s="213">
        <f t="shared" si="112"/>
        <v>0</v>
      </c>
      <c r="BM128" s="213">
        <f t="shared" si="167"/>
        <v>0</v>
      </c>
      <c r="BN128" s="61">
        <f t="shared" si="188"/>
        <v>0</v>
      </c>
      <c r="BO128" s="58">
        <v>0</v>
      </c>
      <c r="BP128" s="49">
        <f t="shared" si="184"/>
        <v>0</v>
      </c>
      <c r="BQ128" s="61">
        <f t="shared" si="148"/>
        <v>0</v>
      </c>
      <c r="BR128" s="58">
        <f t="shared" si="185"/>
        <v>0</v>
      </c>
      <c r="BS128" s="49">
        <f t="shared" si="186"/>
        <v>0</v>
      </c>
      <c r="BT128" s="61">
        <f t="shared" si="149"/>
        <v>0</v>
      </c>
      <c r="BU128" s="58">
        <f t="shared" si="168"/>
        <v>1.7636779129198343E-3</v>
      </c>
      <c r="BV128" s="49">
        <f t="shared" si="115"/>
        <v>3.6450000000000007E-3</v>
      </c>
      <c r="BW128" s="61">
        <f t="shared" si="169"/>
        <v>6.7499999999999999E-3</v>
      </c>
      <c r="BX128" s="49">
        <f t="shared" si="139"/>
        <v>0.62805739996445242</v>
      </c>
      <c r="BY128" s="49">
        <f t="shared" si="140"/>
        <v>0.8069002341482453</v>
      </c>
      <c r="BZ128" s="49">
        <f t="shared" si="187"/>
        <v>88.232288547385039</v>
      </c>
    </row>
    <row r="129" spans="17:78" x14ac:dyDescent="0.3">
      <c r="Q129" s="49">
        <v>122</v>
      </c>
      <c r="R129" s="217">
        <f t="shared" si="151"/>
        <v>6.1000000000000005</v>
      </c>
      <c r="S129" s="213">
        <f t="shared" si="95"/>
        <v>15</v>
      </c>
      <c r="T129" s="218">
        <f t="shared" si="152"/>
        <v>0.40666666666666668</v>
      </c>
      <c r="U129" s="217">
        <f t="shared" si="153"/>
        <v>1</v>
      </c>
      <c r="V129" s="213">
        <f t="shared" si="154"/>
        <v>0.49396356140913877</v>
      </c>
      <c r="W129" s="213">
        <f t="shared" si="155"/>
        <v>3.95170849127311E-2</v>
      </c>
      <c r="X129" s="213">
        <f t="shared" si="117"/>
        <v>0.46651935367813013</v>
      </c>
      <c r="Y129" s="217">
        <f t="shared" si="170"/>
        <v>0.82327260234856459</v>
      </c>
      <c r="Z129" s="213">
        <f t="shared" si="156"/>
        <v>1.6465452046971292</v>
      </c>
      <c r="AA129" s="213">
        <f t="shared" si="119"/>
        <v>1.6465452046971292</v>
      </c>
      <c r="AB129" s="218">
        <f t="shared" si="157"/>
        <v>0.66812925391731692</v>
      </c>
      <c r="AC129" s="217">
        <v>0</v>
      </c>
      <c r="AD129" s="213">
        <f t="shared" si="158"/>
        <v>0.51335620493112721</v>
      </c>
      <c r="AE129" s="218">
        <f t="shared" si="120"/>
        <v>0.51335620493112721</v>
      </c>
      <c r="AF129" s="58">
        <f t="shared" si="159"/>
        <v>0.12200000000000001</v>
      </c>
      <c r="AG129" s="61">
        <f t="shared" si="160"/>
        <v>0.12200000000000001</v>
      </c>
      <c r="AH129" s="58">
        <f t="shared" si="161"/>
        <v>3.1247768995807741E-2</v>
      </c>
      <c r="AI129" s="49">
        <f t="shared" si="162"/>
        <v>9.7824037739919264E-3</v>
      </c>
      <c r="AJ129" s="61">
        <f t="shared" si="121"/>
        <v>4.1030172769799665E-2</v>
      </c>
      <c r="AK129" s="217">
        <f t="shared" si="163"/>
        <v>6.1000000000000005</v>
      </c>
      <c r="AL129" s="213">
        <f t="shared" si="108"/>
        <v>1500</v>
      </c>
      <c r="AM129" s="218">
        <f t="shared" si="171"/>
        <v>4.0666666666666672E-3</v>
      </c>
      <c r="AN129" s="217">
        <f t="shared" si="172"/>
        <v>2</v>
      </c>
      <c r="AO129" s="213">
        <f t="shared" si="173"/>
        <v>3.9517084912731107E-2</v>
      </c>
      <c r="AP129" s="213">
        <f t="shared" si="174"/>
        <v>0.10290907529357057</v>
      </c>
      <c r="AQ129" s="213">
        <f t="shared" si="175"/>
        <v>0.20581815058714117</v>
      </c>
      <c r="AR129" s="213">
        <f t="shared" si="142"/>
        <v>0.20581815058714115</v>
      </c>
      <c r="AS129" s="218">
        <f t="shared" si="143"/>
        <v>2.3621936307702172E-2</v>
      </c>
      <c r="AT129" s="217"/>
      <c r="AU129" s="213">
        <f t="shared" si="176"/>
        <v>4.4652000000000011E-4</v>
      </c>
      <c r="AV129" s="218">
        <f t="shared" si="144"/>
        <v>4.4652000000000011E-4</v>
      </c>
      <c r="AW129" s="217">
        <f t="shared" si="177"/>
        <v>0</v>
      </c>
      <c r="AX129" s="213">
        <f t="shared" si="178"/>
        <v>4.6766666666666666E-3</v>
      </c>
      <c r="AY129" s="218">
        <f t="shared" si="145"/>
        <v>4.6766666666666666E-3</v>
      </c>
      <c r="AZ129" s="217">
        <f t="shared" si="164"/>
        <v>0</v>
      </c>
      <c r="BA129" s="213">
        <f t="shared" si="165"/>
        <v>0</v>
      </c>
      <c r="BB129" s="213">
        <f t="shared" si="146"/>
        <v>0</v>
      </c>
      <c r="BC129" s="61">
        <f t="shared" si="179"/>
        <v>0</v>
      </c>
      <c r="BD129" s="58">
        <v>0</v>
      </c>
      <c r="BE129" s="49">
        <f t="shared" si="180"/>
        <v>0</v>
      </c>
      <c r="BF129" s="61">
        <f t="shared" si="147"/>
        <v>0</v>
      </c>
      <c r="BG129" s="58">
        <f t="shared" si="181"/>
        <v>0</v>
      </c>
      <c r="BH129" s="49">
        <f t="shared" si="182"/>
        <v>0</v>
      </c>
      <c r="BI129" s="61">
        <f t="shared" si="183"/>
        <v>0</v>
      </c>
      <c r="BK129" s="217">
        <f t="shared" si="166"/>
        <v>0</v>
      </c>
      <c r="BL129" s="213">
        <f t="shared" si="112"/>
        <v>0</v>
      </c>
      <c r="BM129" s="213">
        <f t="shared" si="167"/>
        <v>0</v>
      </c>
      <c r="BN129" s="61">
        <f t="shared" si="188"/>
        <v>0</v>
      </c>
      <c r="BO129" s="58">
        <v>0</v>
      </c>
      <c r="BP129" s="49">
        <f t="shared" si="184"/>
        <v>0</v>
      </c>
      <c r="BQ129" s="61">
        <f t="shared" si="148"/>
        <v>0</v>
      </c>
      <c r="BR129" s="58">
        <f t="shared" si="185"/>
        <v>0</v>
      </c>
      <c r="BS129" s="49">
        <f t="shared" si="186"/>
        <v>0</v>
      </c>
      <c r="BT129" s="61">
        <f t="shared" si="149"/>
        <v>0</v>
      </c>
      <c r="BU129" s="58">
        <f t="shared" si="168"/>
        <v>1.7855867997604421E-3</v>
      </c>
      <c r="BV129" s="49">
        <f t="shared" si="115"/>
        <v>3.6450000000000007E-3</v>
      </c>
      <c r="BW129" s="61">
        <f t="shared" si="169"/>
        <v>6.7499999999999999E-3</v>
      </c>
      <c r="BX129" s="49">
        <f t="shared" si="139"/>
        <v>0.63535620493112721</v>
      </c>
      <c r="BY129" s="49">
        <f t="shared" si="140"/>
        <v>0.81569015116735399</v>
      </c>
      <c r="BZ129" s="49">
        <f t="shared" si="187"/>
        <v>88.205224159302915</v>
      </c>
    </row>
    <row r="130" spans="17:78" x14ac:dyDescent="0.3">
      <c r="Q130" s="49">
        <v>123</v>
      </c>
      <c r="R130" s="217">
        <f t="shared" si="151"/>
        <v>6.15</v>
      </c>
      <c r="S130" s="213">
        <f t="shared" si="95"/>
        <v>15</v>
      </c>
      <c r="T130" s="218">
        <f t="shared" si="152"/>
        <v>0.41000000000000003</v>
      </c>
      <c r="U130" s="217">
        <f t="shared" si="153"/>
        <v>1</v>
      </c>
      <c r="V130" s="213">
        <f t="shared" si="154"/>
        <v>0.49598387070548977</v>
      </c>
      <c r="W130" s="213">
        <f t="shared" si="155"/>
        <v>3.967870965643918E-2</v>
      </c>
      <c r="X130" s="213">
        <f t="shared" si="117"/>
        <v>0.46433741963807107</v>
      </c>
      <c r="Y130" s="217">
        <f t="shared" si="170"/>
        <v>0.82663978450914966</v>
      </c>
      <c r="Z130" s="213">
        <f t="shared" si="156"/>
        <v>1.6532795690182993</v>
      </c>
      <c r="AA130" s="213">
        <f t="shared" si="119"/>
        <v>1.6532795690182993</v>
      </c>
      <c r="AB130" s="218">
        <f t="shared" si="157"/>
        <v>0.67223241184256244</v>
      </c>
      <c r="AC130" s="217">
        <v>0</v>
      </c>
      <c r="AD130" s="213">
        <f t="shared" si="158"/>
        <v>0.51968087786141881</v>
      </c>
      <c r="AE130" s="218">
        <f t="shared" si="120"/>
        <v>0.51968087786141881</v>
      </c>
      <c r="AF130" s="58">
        <f t="shared" si="159"/>
        <v>0.12300000000000001</v>
      </c>
      <c r="AG130" s="61">
        <f t="shared" si="160"/>
        <v>0.12300000000000001</v>
      </c>
      <c r="AH130" s="58">
        <f t="shared" si="161"/>
        <v>3.1632749087216798E-2</v>
      </c>
      <c r="AI130" s="49">
        <f t="shared" si="162"/>
        <v>9.8224137723587589E-3</v>
      </c>
      <c r="AJ130" s="61">
        <f t="shared" si="121"/>
        <v>4.1455162859575553E-2</v>
      </c>
      <c r="AK130" s="217">
        <f t="shared" si="163"/>
        <v>6.15</v>
      </c>
      <c r="AL130" s="213">
        <f t="shared" si="108"/>
        <v>1500</v>
      </c>
      <c r="AM130" s="218">
        <f t="shared" si="171"/>
        <v>4.1000000000000003E-3</v>
      </c>
      <c r="AN130" s="217">
        <f t="shared" si="172"/>
        <v>2</v>
      </c>
      <c r="AO130" s="213">
        <f t="shared" si="173"/>
        <v>3.9678709656439187E-2</v>
      </c>
      <c r="AP130" s="213">
        <f t="shared" si="174"/>
        <v>0.10332997306364371</v>
      </c>
      <c r="AQ130" s="213">
        <f t="shared" si="175"/>
        <v>0.20665994612728744</v>
      </c>
      <c r="AR130" s="213">
        <f t="shared" si="142"/>
        <v>0.20665994612728744</v>
      </c>
      <c r="AS130" s="218">
        <f t="shared" si="143"/>
        <v>2.3767004847363202E-2</v>
      </c>
      <c r="AT130" s="217"/>
      <c r="AU130" s="213">
        <f t="shared" si="176"/>
        <v>4.538700000000001E-4</v>
      </c>
      <c r="AV130" s="218">
        <f t="shared" si="144"/>
        <v>4.538700000000001E-4</v>
      </c>
      <c r="AW130" s="217">
        <f t="shared" si="177"/>
        <v>0</v>
      </c>
      <c r="AX130" s="213">
        <f t="shared" si="178"/>
        <v>4.7150000000000004E-3</v>
      </c>
      <c r="AY130" s="218">
        <f t="shared" si="145"/>
        <v>4.7150000000000004E-3</v>
      </c>
      <c r="AZ130" s="217">
        <f t="shared" si="164"/>
        <v>0</v>
      </c>
      <c r="BA130" s="213">
        <f t="shared" si="165"/>
        <v>0</v>
      </c>
      <c r="BB130" s="213">
        <f t="shared" si="146"/>
        <v>0</v>
      </c>
      <c r="BC130" s="61">
        <f t="shared" si="179"/>
        <v>0</v>
      </c>
      <c r="BD130" s="58">
        <v>0</v>
      </c>
      <c r="BE130" s="49">
        <f t="shared" si="180"/>
        <v>0</v>
      </c>
      <c r="BF130" s="61">
        <f t="shared" si="147"/>
        <v>0</v>
      </c>
      <c r="BG130" s="58">
        <f t="shared" si="181"/>
        <v>0</v>
      </c>
      <c r="BH130" s="49">
        <f t="shared" si="182"/>
        <v>0</v>
      </c>
      <c r="BI130" s="61">
        <f t="shared" si="183"/>
        <v>0</v>
      </c>
      <c r="BK130" s="217">
        <f t="shared" si="166"/>
        <v>0</v>
      </c>
      <c r="BL130" s="213">
        <f t="shared" si="112"/>
        <v>0</v>
      </c>
      <c r="BM130" s="213">
        <f t="shared" si="167"/>
        <v>0</v>
      </c>
      <c r="BN130" s="61">
        <f t="shared" si="188"/>
        <v>0</v>
      </c>
      <c r="BO130" s="58">
        <v>0</v>
      </c>
      <c r="BP130" s="49">
        <f t="shared" si="184"/>
        <v>0</v>
      </c>
      <c r="BQ130" s="61">
        <f t="shared" si="148"/>
        <v>0</v>
      </c>
      <c r="BR130" s="58">
        <f t="shared" si="185"/>
        <v>0</v>
      </c>
      <c r="BS130" s="49">
        <f t="shared" si="186"/>
        <v>0</v>
      </c>
      <c r="BT130" s="61">
        <f t="shared" si="149"/>
        <v>0</v>
      </c>
      <c r="BU130" s="58">
        <f t="shared" si="168"/>
        <v>1.807585662126674E-3</v>
      </c>
      <c r="BV130" s="49">
        <f t="shared" si="115"/>
        <v>3.6450000000000007E-3</v>
      </c>
      <c r="BW130" s="61">
        <f t="shared" si="169"/>
        <v>6.7499999999999999E-3</v>
      </c>
      <c r="BX130" s="49">
        <f t="shared" si="139"/>
        <v>0.64268087786141881</v>
      </c>
      <c r="BY130" s="49">
        <f t="shared" si="140"/>
        <v>0.82450749638312104</v>
      </c>
      <c r="BZ130" s="49">
        <f t="shared" si="187"/>
        <v>88.178269264020457</v>
      </c>
    </row>
    <row r="131" spans="17:78" x14ac:dyDescent="0.3">
      <c r="Q131" s="49">
        <v>124</v>
      </c>
      <c r="R131" s="217">
        <f t="shared" si="151"/>
        <v>6.2</v>
      </c>
      <c r="S131" s="213">
        <f t="shared" si="95"/>
        <v>15</v>
      </c>
      <c r="T131" s="218">
        <f t="shared" si="152"/>
        <v>0.41333333333333333</v>
      </c>
      <c r="U131" s="217">
        <f t="shared" si="153"/>
        <v>1</v>
      </c>
      <c r="V131" s="213">
        <f t="shared" si="154"/>
        <v>0.4979959839195493</v>
      </c>
      <c r="W131" s="213">
        <f t="shared" si="155"/>
        <v>3.9839678713563947E-2</v>
      </c>
      <c r="X131" s="213">
        <f t="shared" si="117"/>
        <v>0.46216433736688667</v>
      </c>
      <c r="Y131" s="217">
        <f t="shared" si="170"/>
        <v>0.82999330653258208</v>
      </c>
      <c r="Z131" s="213">
        <f t="shared" si="156"/>
        <v>1.6599866130651644</v>
      </c>
      <c r="AA131" s="213">
        <f t="shared" si="119"/>
        <v>1.6599866130651644</v>
      </c>
      <c r="AB131" s="218">
        <f t="shared" si="157"/>
        <v>0.67632723838239461</v>
      </c>
      <c r="AC131" s="217">
        <v>0</v>
      </c>
      <c r="AD131" s="213">
        <f t="shared" si="158"/>
        <v>0.52603131338464992</v>
      </c>
      <c r="AE131" s="218">
        <f t="shared" si="120"/>
        <v>0.52603131338464992</v>
      </c>
      <c r="AF131" s="58">
        <f t="shared" si="159"/>
        <v>0.12400000000000001</v>
      </c>
      <c r="AG131" s="61">
        <f t="shared" si="160"/>
        <v>0.12400000000000001</v>
      </c>
      <c r="AH131" s="58">
        <f t="shared" si="161"/>
        <v>3.2019297336456955E-2</v>
      </c>
      <c r="AI131" s="49">
        <f t="shared" si="162"/>
        <v>9.8622614563514087E-3</v>
      </c>
      <c r="AJ131" s="61">
        <f t="shared" si="121"/>
        <v>4.188155879280836E-2</v>
      </c>
      <c r="AK131" s="217">
        <f t="shared" si="163"/>
        <v>6.2</v>
      </c>
      <c r="AL131" s="213">
        <f t="shared" si="108"/>
        <v>1500</v>
      </c>
      <c r="AM131" s="218">
        <f t="shared" si="171"/>
        <v>4.1333333333333335E-3</v>
      </c>
      <c r="AN131" s="217">
        <f t="shared" si="172"/>
        <v>2</v>
      </c>
      <c r="AO131" s="213">
        <f t="shared" si="173"/>
        <v>3.9839678713563947E-2</v>
      </c>
      <c r="AP131" s="213">
        <f t="shared" si="174"/>
        <v>0.10374916331657276</v>
      </c>
      <c r="AQ131" s="213">
        <f t="shared" si="175"/>
        <v>0.20749832663314555</v>
      </c>
      <c r="AR131" s="213">
        <f t="shared" si="142"/>
        <v>0.20749832663314555</v>
      </c>
      <c r="AS131" s="218">
        <f t="shared" si="143"/>
        <v>2.3911778828068095E-2</v>
      </c>
      <c r="AT131" s="217"/>
      <c r="AU131" s="213">
        <f t="shared" si="176"/>
        <v>4.6128E-4</v>
      </c>
      <c r="AV131" s="218">
        <f t="shared" si="144"/>
        <v>4.6128E-4</v>
      </c>
      <c r="AW131" s="217">
        <f t="shared" si="177"/>
        <v>0</v>
      </c>
      <c r="AX131" s="213">
        <f t="shared" si="178"/>
        <v>4.7533333333333334E-3</v>
      </c>
      <c r="AY131" s="218">
        <f t="shared" si="145"/>
        <v>4.7533333333333334E-3</v>
      </c>
      <c r="AZ131" s="217">
        <f t="shared" si="164"/>
        <v>0</v>
      </c>
      <c r="BA131" s="213">
        <f t="shared" si="165"/>
        <v>0</v>
      </c>
      <c r="BB131" s="213">
        <f t="shared" si="146"/>
        <v>0</v>
      </c>
      <c r="BC131" s="61">
        <f t="shared" si="179"/>
        <v>0</v>
      </c>
      <c r="BD131" s="58">
        <v>0</v>
      </c>
      <c r="BE131" s="49">
        <f t="shared" si="180"/>
        <v>0</v>
      </c>
      <c r="BF131" s="61">
        <f t="shared" si="147"/>
        <v>0</v>
      </c>
      <c r="BG131" s="58">
        <f t="shared" si="181"/>
        <v>0</v>
      </c>
      <c r="BH131" s="49">
        <f t="shared" si="182"/>
        <v>0</v>
      </c>
      <c r="BI131" s="61">
        <f t="shared" si="183"/>
        <v>0</v>
      </c>
      <c r="BK131" s="217">
        <f t="shared" si="166"/>
        <v>0</v>
      </c>
      <c r="BL131" s="213">
        <f t="shared" si="112"/>
        <v>0</v>
      </c>
      <c r="BM131" s="213">
        <f t="shared" si="167"/>
        <v>0</v>
      </c>
      <c r="BN131" s="61">
        <f t="shared" si="188"/>
        <v>0</v>
      </c>
      <c r="BO131" s="58">
        <v>0</v>
      </c>
      <c r="BP131" s="49">
        <f t="shared" si="184"/>
        <v>0</v>
      </c>
      <c r="BQ131" s="61">
        <f t="shared" si="148"/>
        <v>0</v>
      </c>
      <c r="BR131" s="58">
        <f t="shared" si="185"/>
        <v>0</v>
      </c>
      <c r="BS131" s="49">
        <f t="shared" si="186"/>
        <v>0</v>
      </c>
      <c r="BT131" s="61">
        <f t="shared" si="149"/>
        <v>0</v>
      </c>
      <c r="BU131" s="58">
        <f t="shared" si="168"/>
        <v>1.8296741335118256E-3</v>
      </c>
      <c r="BV131" s="49">
        <f t="shared" si="115"/>
        <v>3.6450000000000007E-3</v>
      </c>
      <c r="BW131" s="61">
        <f t="shared" si="169"/>
        <v>6.7499999999999999E-3</v>
      </c>
      <c r="BX131" s="49">
        <f t="shared" si="139"/>
        <v>0.65003131338464992</v>
      </c>
      <c r="BY131" s="49">
        <f t="shared" si="140"/>
        <v>0.83335215964430343</v>
      </c>
      <c r="BZ131" s="49">
        <f t="shared" si="187"/>
        <v>88.151422810507356</v>
      </c>
    </row>
    <row r="132" spans="17:78" x14ac:dyDescent="0.3">
      <c r="Q132" s="49">
        <v>125</v>
      </c>
      <c r="R132" s="217">
        <f t="shared" si="151"/>
        <v>6.25</v>
      </c>
      <c r="S132" s="213">
        <f t="shared" si="95"/>
        <v>15</v>
      </c>
      <c r="T132" s="218">
        <f t="shared" si="152"/>
        <v>0.41666666666666669</v>
      </c>
      <c r="U132" s="217">
        <f t="shared" si="153"/>
        <v>1</v>
      </c>
      <c r="V132" s="213">
        <f t="shared" si="154"/>
        <v>0.5</v>
      </c>
      <c r="W132" s="213">
        <f t="shared" si="155"/>
        <v>0.04</v>
      </c>
      <c r="X132" s="213">
        <f t="shared" si="117"/>
        <v>0.46</v>
      </c>
      <c r="Y132" s="217">
        <f t="shared" si="170"/>
        <v>0.83333333333333337</v>
      </c>
      <c r="Z132" s="213">
        <f t="shared" si="156"/>
        <v>1.6666666666666667</v>
      </c>
      <c r="AA132" s="213">
        <f t="shared" si="119"/>
        <v>1.6666666666666667</v>
      </c>
      <c r="AB132" s="218">
        <f t="shared" si="157"/>
        <v>0.6804138174397717</v>
      </c>
      <c r="AC132" s="217">
        <v>0</v>
      </c>
      <c r="AD132" s="213">
        <f t="shared" si="158"/>
        <v>0.53240740740740744</v>
      </c>
      <c r="AE132" s="218">
        <f t="shared" si="120"/>
        <v>0.53240740740740744</v>
      </c>
      <c r="AF132" s="58">
        <f t="shared" si="159"/>
        <v>0.125</v>
      </c>
      <c r="AG132" s="61">
        <f t="shared" si="160"/>
        <v>0.125</v>
      </c>
      <c r="AH132" s="58">
        <f t="shared" si="161"/>
        <v>3.2407407407407413E-2</v>
      </c>
      <c r="AI132" s="49">
        <f t="shared" si="162"/>
        <v>9.9019487855394484E-3</v>
      </c>
      <c r="AJ132" s="61">
        <f t="shared" si="121"/>
        <v>4.2309356192946859E-2</v>
      </c>
      <c r="AK132" s="217">
        <f t="shared" si="163"/>
        <v>6.25</v>
      </c>
      <c r="AL132" s="213">
        <f t="shared" si="108"/>
        <v>1500</v>
      </c>
      <c r="AM132" s="218">
        <f t="shared" si="171"/>
        <v>4.1666666666666666E-3</v>
      </c>
      <c r="AN132" s="217">
        <f t="shared" si="172"/>
        <v>2</v>
      </c>
      <c r="AO132" s="213">
        <f t="shared" si="173"/>
        <v>3.9999999999999994E-2</v>
      </c>
      <c r="AP132" s="213">
        <f t="shared" si="174"/>
        <v>0.10416666666666669</v>
      </c>
      <c r="AQ132" s="213">
        <f t="shared" si="175"/>
        <v>0.20833333333333331</v>
      </c>
      <c r="AR132" s="213">
        <f t="shared" si="142"/>
        <v>0.20833333333333334</v>
      </c>
      <c r="AS132" s="218">
        <f t="shared" si="143"/>
        <v>2.4056261216234408E-2</v>
      </c>
      <c r="AT132" s="217"/>
      <c r="AU132" s="213">
        <f t="shared" si="176"/>
        <v>4.6874999999999998E-4</v>
      </c>
      <c r="AV132" s="218">
        <f t="shared" si="144"/>
        <v>4.6874999999999998E-4</v>
      </c>
      <c r="AW132" s="217">
        <f t="shared" si="177"/>
        <v>0</v>
      </c>
      <c r="AX132" s="213">
        <f t="shared" si="178"/>
        <v>4.7916666666666663E-3</v>
      </c>
      <c r="AY132" s="218">
        <f t="shared" si="145"/>
        <v>4.7916666666666663E-3</v>
      </c>
      <c r="AZ132" s="217">
        <f t="shared" si="164"/>
        <v>0</v>
      </c>
      <c r="BA132" s="213">
        <f t="shared" si="165"/>
        <v>0</v>
      </c>
      <c r="BB132" s="213">
        <f t="shared" si="146"/>
        <v>0</v>
      </c>
      <c r="BC132" s="61">
        <f t="shared" si="179"/>
        <v>0</v>
      </c>
      <c r="BD132" s="58">
        <v>0</v>
      </c>
      <c r="BE132" s="49">
        <f t="shared" si="180"/>
        <v>0</v>
      </c>
      <c r="BF132" s="61">
        <f t="shared" si="147"/>
        <v>0</v>
      </c>
      <c r="BG132" s="58">
        <f t="shared" si="181"/>
        <v>0</v>
      </c>
      <c r="BH132" s="49">
        <f t="shared" si="182"/>
        <v>0</v>
      </c>
      <c r="BI132" s="61">
        <f t="shared" si="183"/>
        <v>0</v>
      </c>
      <c r="BK132" s="217">
        <f t="shared" si="166"/>
        <v>0</v>
      </c>
      <c r="BL132" s="213">
        <f t="shared" si="112"/>
        <v>0</v>
      </c>
      <c r="BM132" s="213">
        <f t="shared" si="167"/>
        <v>0</v>
      </c>
      <c r="BN132" s="61">
        <f t="shared" si="188"/>
        <v>0</v>
      </c>
      <c r="BO132" s="58">
        <v>0</v>
      </c>
      <c r="BP132" s="49">
        <f t="shared" si="184"/>
        <v>0</v>
      </c>
      <c r="BQ132" s="61">
        <f t="shared" si="148"/>
        <v>0</v>
      </c>
      <c r="BR132" s="58">
        <f t="shared" si="185"/>
        <v>0</v>
      </c>
      <c r="BS132" s="49">
        <f t="shared" si="186"/>
        <v>0</v>
      </c>
      <c r="BT132" s="61">
        <f t="shared" si="149"/>
        <v>0</v>
      </c>
      <c r="BU132" s="58">
        <f t="shared" si="168"/>
        <v>1.8518518518518519E-3</v>
      </c>
      <c r="BV132" s="49">
        <f t="shared" si="115"/>
        <v>3.6450000000000007E-3</v>
      </c>
      <c r="BW132" s="61">
        <f t="shared" si="169"/>
        <v>6.7499999999999999E-3</v>
      </c>
      <c r="BX132" s="49">
        <f t="shared" si="139"/>
        <v>0.65740740740740744</v>
      </c>
      <c r="BY132" s="49">
        <f t="shared" si="140"/>
        <v>0.84222403211887276</v>
      </c>
      <c r="BZ132" s="49">
        <f t="shared" si="187"/>
        <v>88.124683762037762</v>
      </c>
    </row>
    <row r="133" spans="17:78" x14ac:dyDescent="0.3">
      <c r="Q133" s="49">
        <v>126</v>
      </c>
      <c r="R133" s="217">
        <f t="shared" si="151"/>
        <v>6.3000000000000007</v>
      </c>
      <c r="S133" s="213">
        <f t="shared" si="95"/>
        <v>15</v>
      </c>
      <c r="T133" s="218">
        <f t="shared" si="152"/>
        <v>0.42000000000000004</v>
      </c>
      <c r="U133" s="217">
        <f t="shared" si="153"/>
        <v>1</v>
      </c>
      <c r="V133" s="213">
        <f t="shared" si="154"/>
        <v>0.50199601592044529</v>
      </c>
      <c r="W133" s="213">
        <f t="shared" si="155"/>
        <v>4.0159681273635624E-2</v>
      </c>
      <c r="X133" s="213">
        <f t="shared" si="117"/>
        <v>0.45784430280591909</v>
      </c>
      <c r="Y133" s="217">
        <f t="shared" si="170"/>
        <v>0.83666002653407567</v>
      </c>
      <c r="Z133" s="213">
        <f t="shared" si="156"/>
        <v>1.6733200530681509</v>
      </c>
      <c r="AA133" s="213">
        <f t="shared" si="119"/>
        <v>1.6733200530681511</v>
      </c>
      <c r="AB133" s="218">
        <f t="shared" si="157"/>
        <v>0.6844922314088614</v>
      </c>
      <c r="AC133" s="217">
        <v>0</v>
      </c>
      <c r="AD133" s="213">
        <f t="shared" si="158"/>
        <v>0.53880905708794458</v>
      </c>
      <c r="AE133" s="218">
        <f t="shared" si="120"/>
        <v>0.53880905708794458</v>
      </c>
      <c r="AF133" s="58">
        <f t="shared" si="159"/>
        <v>0.12600000000000003</v>
      </c>
      <c r="AG133" s="61">
        <f t="shared" si="160"/>
        <v>0.12600000000000003</v>
      </c>
      <c r="AH133" s="58">
        <f t="shared" si="161"/>
        <v>3.2797073040135759E-2</v>
      </c>
      <c r="AI133" s="49">
        <f t="shared" si="162"/>
        <v>9.9414776803781937E-3</v>
      </c>
      <c r="AJ133" s="61">
        <f t="shared" si="121"/>
        <v>4.2738550720513954E-2</v>
      </c>
      <c r="AK133" s="217">
        <f t="shared" si="163"/>
        <v>6.3000000000000007</v>
      </c>
      <c r="AL133" s="213">
        <f t="shared" si="108"/>
        <v>1500</v>
      </c>
      <c r="AM133" s="218">
        <f t="shared" si="171"/>
        <v>4.2000000000000006E-3</v>
      </c>
      <c r="AN133" s="217">
        <f t="shared" si="172"/>
        <v>2</v>
      </c>
      <c r="AO133" s="213">
        <f t="shared" si="173"/>
        <v>4.0159681273635624E-2</v>
      </c>
      <c r="AP133" s="213">
        <f t="shared" si="174"/>
        <v>0.10458250331675946</v>
      </c>
      <c r="AQ133" s="213">
        <f t="shared" si="175"/>
        <v>0.20916500663351886</v>
      </c>
      <c r="AR133" s="213">
        <f t="shared" si="142"/>
        <v>0.20916500663351889</v>
      </c>
      <c r="AS133" s="218">
        <f t="shared" si="143"/>
        <v>2.4200454924935874E-2</v>
      </c>
      <c r="AT133" s="217"/>
      <c r="AU133" s="213">
        <f t="shared" si="176"/>
        <v>4.762800000000001E-4</v>
      </c>
      <c r="AV133" s="218">
        <f t="shared" si="144"/>
        <v>4.762800000000001E-4</v>
      </c>
      <c r="AW133" s="217">
        <f t="shared" si="177"/>
        <v>0</v>
      </c>
      <c r="AX133" s="213">
        <f t="shared" si="178"/>
        <v>4.8300000000000001E-3</v>
      </c>
      <c r="AY133" s="218">
        <f t="shared" si="145"/>
        <v>4.8300000000000001E-3</v>
      </c>
      <c r="AZ133" s="217">
        <f t="shared" si="164"/>
        <v>0</v>
      </c>
      <c r="BA133" s="213">
        <f t="shared" si="165"/>
        <v>0</v>
      </c>
      <c r="BB133" s="213">
        <f t="shared" si="146"/>
        <v>0</v>
      </c>
      <c r="BC133" s="61">
        <f t="shared" si="179"/>
        <v>0</v>
      </c>
      <c r="BD133" s="58">
        <v>0</v>
      </c>
      <c r="BE133" s="49">
        <f t="shared" si="180"/>
        <v>0</v>
      </c>
      <c r="BF133" s="61">
        <f t="shared" si="147"/>
        <v>0</v>
      </c>
      <c r="BG133" s="58">
        <f t="shared" si="181"/>
        <v>0</v>
      </c>
      <c r="BH133" s="49">
        <f t="shared" si="182"/>
        <v>0</v>
      </c>
      <c r="BI133" s="61">
        <f t="shared" si="183"/>
        <v>0</v>
      </c>
      <c r="BK133" s="217">
        <f t="shared" si="166"/>
        <v>0</v>
      </c>
      <c r="BL133" s="213">
        <f t="shared" si="112"/>
        <v>0</v>
      </c>
      <c r="BM133" s="213">
        <f t="shared" si="167"/>
        <v>0</v>
      </c>
      <c r="BN133" s="61">
        <f t="shared" si="188"/>
        <v>0</v>
      </c>
      <c r="BO133" s="58">
        <v>0</v>
      </c>
      <c r="BP133" s="49">
        <f t="shared" si="184"/>
        <v>0</v>
      </c>
      <c r="BQ133" s="61">
        <f t="shared" si="148"/>
        <v>0</v>
      </c>
      <c r="BR133" s="58">
        <f t="shared" si="185"/>
        <v>0</v>
      </c>
      <c r="BS133" s="49">
        <f t="shared" si="186"/>
        <v>0</v>
      </c>
      <c r="BT133" s="61">
        <f t="shared" si="149"/>
        <v>0</v>
      </c>
      <c r="BU133" s="58">
        <f t="shared" si="168"/>
        <v>1.874118459436329E-3</v>
      </c>
      <c r="BV133" s="49">
        <f t="shared" si="115"/>
        <v>3.6450000000000007E-3</v>
      </c>
      <c r="BW133" s="61">
        <f t="shared" si="169"/>
        <v>6.7499999999999999E-3</v>
      </c>
      <c r="BX133" s="49">
        <f t="shared" si="139"/>
        <v>0.66480905708794458</v>
      </c>
      <c r="BY133" s="49">
        <f t="shared" si="140"/>
        <v>0.85112300626789483</v>
      </c>
      <c r="BZ133" s="49">
        <f t="shared" si="187"/>
        <v>88.098051096004184</v>
      </c>
    </row>
    <row r="134" spans="17:78" x14ac:dyDescent="0.3">
      <c r="Q134" s="49">
        <v>127</v>
      </c>
      <c r="R134" s="217">
        <f t="shared" si="151"/>
        <v>6.3500000000000005</v>
      </c>
      <c r="S134" s="213">
        <f t="shared" si="95"/>
        <v>15</v>
      </c>
      <c r="T134" s="218">
        <f t="shared" si="152"/>
        <v>0.42333333333333339</v>
      </c>
      <c r="U134" s="217">
        <f t="shared" si="153"/>
        <v>1</v>
      </c>
      <c r="V134" s="213">
        <f t="shared" si="154"/>
        <v>0.50398412673416615</v>
      </c>
      <c r="W134" s="213">
        <f t="shared" si="155"/>
        <v>4.0318730138733293E-2</v>
      </c>
      <c r="X134" s="213">
        <f t="shared" si="117"/>
        <v>0.45569714312710058</v>
      </c>
      <c r="Y134" s="217">
        <f t="shared" si="170"/>
        <v>0.83997354455694351</v>
      </c>
      <c r="Z134" s="213">
        <f t="shared" si="156"/>
        <v>1.6799470891138872</v>
      </c>
      <c r="AA134" s="213">
        <f t="shared" si="119"/>
        <v>1.6799470891138872</v>
      </c>
      <c r="AB134" s="218">
        <f t="shared" si="157"/>
        <v>0.68856256121392112</v>
      </c>
      <c r="AC134" s="217">
        <v>0</v>
      </c>
      <c r="AD134" s="213">
        <f t="shared" si="158"/>
        <v>0.54523616081129622</v>
      </c>
      <c r="AE134" s="218">
        <f t="shared" si="120"/>
        <v>0.54523616081129622</v>
      </c>
      <c r="AF134" s="58">
        <f t="shared" si="159"/>
        <v>0.127</v>
      </c>
      <c r="AG134" s="61">
        <f t="shared" si="160"/>
        <v>0.127</v>
      </c>
      <c r="AH134" s="58">
        <f t="shared" si="161"/>
        <v>3.3188288049383244E-2</v>
      </c>
      <c r="AI134" s="49">
        <f t="shared" si="162"/>
        <v>9.9808500232930718E-3</v>
      </c>
      <c r="AJ134" s="61">
        <f t="shared" si="121"/>
        <v>4.3169138072676319E-2</v>
      </c>
      <c r="AK134" s="217">
        <f t="shared" si="163"/>
        <v>6.3500000000000005</v>
      </c>
      <c r="AL134" s="213">
        <f t="shared" si="108"/>
        <v>1500</v>
      </c>
      <c r="AM134" s="218">
        <f t="shared" si="171"/>
        <v>4.2333333333333337E-3</v>
      </c>
      <c r="AN134" s="217">
        <f t="shared" si="172"/>
        <v>2</v>
      </c>
      <c r="AO134" s="213">
        <f t="shared" si="173"/>
        <v>4.0318730138733293E-2</v>
      </c>
      <c r="AP134" s="213">
        <f t="shared" si="174"/>
        <v>0.10499669306961794</v>
      </c>
      <c r="AQ134" s="213">
        <f t="shared" si="175"/>
        <v>0.2099933861392359</v>
      </c>
      <c r="AR134" s="213">
        <f t="shared" si="142"/>
        <v>0.2099933861392359</v>
      </c>
      <c r="AS134" s="218">
        <f t="shared" si="143"/>
        <v>2.4344362815277045E-2</v>
      </c>
      <c r="AT134" s="217"/>
      <c r="AU134" s="213">
        <f t="shared" si="176"/>
        <v>4.8387000000000012E-4</v>
      </c>
      <c r="AV134" s="218">
        <f t="shared" si="144"/>
        <v>4.8387000000000012E-4</v>
      </c>
      <c r="AW134" s="217">
        <f t="shared" si="177"/>
        <v>0</v>
      </c>
      <c r="AX134" s="213">
        <f t="shared" si="178"/>
        <v>4.868333333333333E-3</v>
      </c>
      <c r="AY134" s="218">
        <f t="shared" si="145"/>
        <v>4.868333333333333E-3</v>
      </c>
      <c r="AZ134" s="217">
        <f t="shared" si="164"/>
        <v>0</v>
      </c>
      <c r="BA134" s="213">
        <f t="shared" si="165"/>
        <v>0</v>
      </c>
      <c r="BB134" s="213">
        <f t="shared" si="146"/>
        <v>0</v>
      </c>
      <c r="BC134" s="61">
        <f t="shared" si="179"/>
        <v>0</v>
      </c>
      <c r="BD134" s="58">
        <v>0</v>
      </c>
      <c r="BE134" s="49">
        <f t="shared" si="180"/>
        <v>0</v>
      </c>
      <c r="BF134" s="61">
        <f t="shared" si="147"/>
        <v>0</v>
      </c>
      <c r="BG134" s="58">
        <f t="shared" si="181"/>
        <v>0</v>
      </c>
      <c r="BH134" s="49">
        <f t="shared" si="182"/>
        <v>0</v>
      </c>
      <c r="BI134" s="61">
        <f t="shared" si="183"/>
        <v>0</v>
      </c>
      <c r="BK134" s="217">
        <f t="shared" si="166"/>
        <v>0</v>
      </c>
      <c r="BL134" s="213">
        <f t="shared" si="112"/>
        <v>0</v>
      </c>
      <c r="BM134" s="213">
        <f t="shared" si="167"/>
        <v>0</v>
      </c>
      <c r="BN134" s="61">
        <f t="shared" si="188"/>
        <v>0</v>
      </c>
      <c r="BO134" s="58">
        <v>0</v>
      </c>
      <c r="BP134" s="49">
        <f t="shared" si="184"/>
        <v>0</v>
      </c>
      <c r="BQ134" s="61">
        <f t="shared" si="148"/>
        <v>0</v>
      </c>
      <c r="BR134" s="58">
        <f t="shared" si="185"/>
        <v>0</v>
      </c>
      <c r="BS134" s="49">
        <f t="shared" si="186"/>
        <v>0</v>
      </c>
      <c r="BT134" s="61">
        <f t="shared" si="149"/>
        <v>0</v>
      </c>
      <c r="BU134" s="58">
        <f t="shared" si="168"/>
        <v>1.8964736028218997E-3</v>
      </c>
      <c r="BV134" s="49">
        <f t="shared" si="115"/>
        <v>3.6450000000000007E-3</v>
      </c>
      <c r="BW134" s="61">
        <f t="shared" si="169"/>
        <v>6.7499999999999999E-3</v>
      </c>
      <c r="BX134" s="49">
        <f t="shared" si="139"/>
        <v>0.67223616081129622</v>
      </c>
      <c r="BY134" s="49">
        <f t="shared" si="140"/>
        <v>0.86004897582012774</v>
      </c>
      <c r="BZ134" s="49">
        <f t="shared" si="187"/>
        <v>88.071523803729789</v>
      </c>
    </row>
    <row r="135" spans="17:78" x14ac:dyDescent="0.3">
      <c r="Q135" s="49">
        <v>128</v>
      </c>
      <c r="R135" s="217">
        <f t="shared" ref="R135:R157" si="189">AK135+AZ135+BK135</f>
        <v>6.4</v>
      </c>
      <c r="S135" s="213">
        <f t="shared" ref="S135:S157" si="190">VIN_var</f>
        <v>15</v>
      </c>
      <c r="T135" s="218">
        <f t="shared" ref="T135:T157" si="191">(R135)/(S135*EFF_est)</f>
        <v>0.42666666666666669</v>
      </c>
      <c r="U135" s="217">
        <f t="shared" ref="U135:U157" si="192">IF(R135&lt;((((Np/NS1_)*(AL135)/((S135+((Np/NS1_)*(AL135)))))^2)*(S135^2))/(2*Lm*Fsw),1,2)</f>
        <v>1</v>
      </c>
      <c r="V135" s="213">
        <f t="shared" ref="V135:V157" si="193">CHOOSE(U135,SQRT((2*Lm*R135*Fsw)/((S135^2)*EFF_est)),(((Np/NS1_)*(AL135))/(S135+((Np/NS1_)*(AL135)))))</f>
        <v>0.50596442562694066</v>
      </c>
      <c r="W135" s="213">
        <f t="shared" ref="W135:W157" si="194">CHOOSE(U135,(NS1_*S135*V135)/(Np*AL135),1-V135)</f>
        <v>4.0477154050155256E-2</v>
      </c>
      <c r="X135" s="213">
        <f t="shared" si="117"/>
        <v>0.45355842032290405</v>
      </c>
      <c r="Y135" s="217">
        <f t="shared" si="170"/>
        <v>0.84327404271156792</v>
      </c>
      <c r="Z135" s="213">
        <f t="shared" ref="Z135:Z157" si="195">(S135*V135)/(Lm*Fsw)</f>
        <v>1.6865480854231356</v>
      </c>
      <c r="AA135" s="213">
        <f t="shared" si="119"/>
        <v>1.6865480854231358</v>
      </c>
      <c r="AB135" s="218">
        <f t="shared" ref="AB135:AB157" si="196">CHOOSE(U135,AA135*SQRT(V135/3),SQRT(V135*((AA135^2)+((Z135^2)/(3))-(AA135*Z135))))</f>
        <v>0.69262488634687769</v>
      </c>
      <c r="AC135" s="217">
        <v>0</v>
      </c>
      <c r="AD135" s="213">
        <f t="shared" ref="AD135:AD157" si="197">(AB135^2)*Rdcr</f>
        <v>0.55168861816507908</v>
      </c>
      <c r="AE135" s="218">
        <f t="shared" si="120"/>
        <v>0.55168861816507908</v>
      </c>
      <c r="AF135" s="58">
        <f t="shared" ref="AF135:AF157" si="198">R135*0.02</f>
        <v>0.128</v>
      </c>
      <c r="AG135" s="61">
        <f t="shared" ref="AG135:AG157" si="199">R135*0.02</f>
        <v>0.128</v>
      </c>
      <c r="AH135" s="58">
        <f t="shared" ref="AH135:AH157" si="200">(AB135^2)*RDS_on</f>
        <v>3.3581046323091772E-2</v>
      </c>
      <c r="AI135" s="49">
        <f t="shared" ref="AI135:AI157" si="201">((Y135*(S135+((Np/NS1_)*VOUT1)))/2)*Fsw*(tr_sw+tf_sw)</f>
        <v>1.0020067659725702E-2</v>
      </c>
      <c r="AJ135" s="61">
        <f t="shared" si="121"/>
        <v>4.3601113982817477E-2</v>
      </c>
      <c r="AK135" s="217">
        <f t="shared" ref="AK135:AK157" si="202">Q135*$B$11</f>
        <v>6.4</v>
      </c>
      <c r="AL135" s="213">
        <f t="shared" ref="AL135:AL157" si="203">VOUT1</f>
        <v>1500</v>
      </c>
      <c r="AM135" s="218">
        <f t="shared" si="171"/>
        <v>4.2666666666666669E-3</v>
      </c>
      <c r="AN135" s="217">
        <f t="shared" si="172"/>
        <v>2</v>
      </c>
      <c r="AO135" s="213">
        <f t="shared" si="173"/>
        <v>4.0477154050155256E-2</v>
      </c>
      <c r="AP135" s="213">
        <f t="shared" si="174"/>
        <v>0.10540925533894599</v>
      </c>
      <c r="AQ135" s="213">
        <f t="shared" si="175"/>
        <v>0.21081851067789195</v>
      </c>
      <c r="AR135" s="213">
        <f t="shared" si="142"/>
        <v>0.21081851067789198</v>
      </c>
      <c r="AS135" s="218">
        <f t="shared" si="143"/>
        <v>2.4487987697721956E-2</v>
      </c>
      <c r="AT135" s="217"/>
      <c r="AU135" s="213">
        <f t="shared" si="176"/>
        <v>4.9152000000000006E-4</v>
      </c>
      <c r="AV135" s="218">
        <f t="shared" si="144"/>
        <v>4.9152000000000006E-4</v>
      </c>
      <c r="AW135" s="217">
        <f t="shared" si="177"/>
        <v>0</v>
      </c>
      <c r="AX135" s="213">
        <f t="shared" si="178"/>
        <v>4.9066666666666668E-3</v>
      </c>
      <c r="AY135" s="218">
        <f t="shared" si="145"/>
        <v>4.9066666666666668E-3</v>
      </c>
      <c r="AZ135" s="217">
        <f t="shared" ref="AZ135:AZ157" si="204">IF(EN_OUT_2=1,Q135*$B$15,0)</f>
        <v>0</v>
      </c>
      <c r="BA135" s="213">
        <f t="shared" ref="BA135:BA157" si="205">IF(EN_OUT_2=1,VOUT2,0)</f>
        <v>0</v>
      </c>
      <c r="BB135" s="213">
        <f t="shared" si="146"/>
        <v>0</v>
      </c>
      <c r="BC135" s="61">
        <f t="shared" si="179"/>
        <v>0</v>
      </c>
      <c r="BD135" s="58">
        <v>0</v>
      </c>
      <c r="BE135" s="49">
        <f t="shared" si="180"/>
        <v>0</v>
      </c>
      <c r="BF135" s="61">
        <f t="shared" si="147"/>
        <v>0</v>
      </c>
      <c r="BG135" s="58">
        <f t="shared" si="181"/>
        <v>0</v>
      </c>
      <c r="BH135" s="49">
        <f t="shared" si="182"/>
        <v>0</v>
      </c>
      <c r="BI135" s="61">
        <f t="shared" si="183"/>
        <v>0</v>
      </c>
      <c r="BK135" s="217">
        <f t="shared" ref="BK135:BK157" si="206">IF(EN_OUT_3=1,Q135*$B$19,0)</f>
        <v>0</v>
      </c>
      <c r="BL135" s="213">
        <f t="shared" ref="BL135:BL157" si="207">IF(EN_OUT_3=1,VOUT3,0)</f>
        <v>0</v>
      </c>
      <c r="BM135" s="213">
        <f t="shared" ref="BM135:BM157" si="208">IF(EN_OUT_3=1,BK135/BL135,0)</f>
        <v>0</v>
      </c>
      <c r="BN135" s="61">
        <f t="shared" si="188"/>
        <v>0</v>
      </c>
      <c r="BO135" s="58">
        <v>0</v>
      </c>
      <c r="BP135" s="49">
        <f t="shared" si="184"/>
        <v>0</v>
      </c>
      <c r="BQ135" s="61">
        <f t="shared" si="148"/>
        <v>0</v>
      </c>
      <c r="BR135" s="58">
        <f t="shared" si="185"/>
        <v>0</v>
      </c>
      <c r="BS135" s="49">
        <f t="shared" si="186"/>
        <v>0</v>
      </c>
      <c r="BT135" s="61">
        <f t="shared" si="149"/>
        <v>0</v>
      </c>
      <c r="BU135" s="58">
        <f t="shared" ref="BU135:BU157" si="209">(AB135^2)*R_cs</f>
        <v>1.9189169327481011E-3</v>
      </c>
      <c r="BV135" s="49">
        <f t="shared" ref="BV135:BV157" si="210">Qg_tot*Vcc*Fsw</f>
        <v>3.6450000000000007E-3</v>
      </c>
      <c r="BW135" s="61">
        <f t="shared" ref="BW135:BW157" si="211">IQ*S135</f>
        <v>6.7499999999999999E-3</v>
      </c>
      <c r="BX135" s="49">
        <f t="shared" si="139"/>
        <v>0.67968861816507908</v>
      </c>
      <c r="BY135" s="49">
        <f t="shared" si="140"/>
        <v>0.86900183574731138</v>
      </c>
      <c r="BZ135" s="49">
        <f t="shared" si="187"/>
        <v>88.045100890279642</v>
      </c>
    </row>
    <row r="136" spans="17:78" x14ac:dyDescent="0.3">
      <c r="Q136" s="49">
        <v>129</v>
      </c>
      <c r="R136" s="217">
        <f t="shared" si="189"/>
        <v>6.45</v>
      </c>
      <c r="S136" s="213">
        <f t="shared" si="190"/>
        <v>15</v>
      </c>
      <c r="T136" s="218">
        <f t="shared" si="191"/>
        <v>0.43</v>
      </c>
      <c r="U136" s="217">
        <f t="shared" si="192"/>
        <v>1</v>
      </c>
      <c r="V136" s="213">
        <f t="shared" si="193"/>
        <v>0.50793700396801178</v>
      </c>
      <c r="W136" s="213">
        <f t="shared" si="194"/>
        <v>4.0634960317440939E-2</v>
      </c>
      <c r="X136" s="213">
        <f t="shared" ref="X136:X157" si="212">CHOOSE(U136,1-V136-W136,0)</f>
        <v>0.45142803571454726</v>
      </c>
      <c r="Y136" s="217">
        <f t="shared" ref="Y136:Y157" si="213">R136/(S136*EFF_est*V136)</f>
        <v>0.84656167328001963</v>
      </c>
      <c r="Z136" s="213">
        <f t="shared" si="195"/>
        <v>1.6931233465600393</v>
      </c>
      <c r="AA136" s="213">
        <f t="shared" ref="AA136:AA156" si="214">Y136+(Z136/2)</f>
        <v>1.6931233465600393</v>
      </c>
      <c r="AB136" s="218">
        <f t="shared" si="196"/>
        <v>0.69667928490366215</v>
      </c>
      <c r="AC136" s="217">
        <v>0</v>
      </c>
      <c r="AD136" s="213">
        <f t="shared" si="197"/>
        <v>0.55816632991595982</v>
      </c>
      <c r="AE136" s="218">
        <f t="shared" ref="AE136:AE157" si="215">AC136+AD136</f>
        <v>0.55816632991595982</v>
      </c>
      <c r="AF136" s="58">
        <f t="shared" si="198"/>
        <v>0.129</v>
      </c>
      <c r="AG136" s="61">
        <f t="shared" si="199"/>
        <v>0.129</v>
      </c>
      <c r="AH136" s="58">
        <f t="shared" si="200"/>
        <v>3.3975341820971471E-2</v>
      </c>
      <c r="AI136" s="49">
        <f t="shared" si="201"/>
        <v>1.0059132399143201E-2</v>
      </c>
      <c r="AJ136" s="61">
        <f t="shared" ref="AJ136:AJ157" si="216">AH136+AI136</f>
        <v>4.4034474220114674E-2</v>
      </c>
      <c r="AK136" s="217">
        <f t="shared" si="202"/>
        <v>6.45</v>
      </c>
      <c r="AL136" s="213">
        <f t="shared" si="203"/>
        <v>1500</v>
      </c>
      <c r="AM136" s="218">
        <f t="shared" ref="AM136:AM157" si="217">AK136/AL136</f>
        <v>4.3E-3</v>
      </c>
      <c r="AN136" s="217">
        <f t="shared" ref="AN136:AN157" si="218">IF(((AL136*AO136)/(Fsw*$AO$2))/2&gt;AP136,1,2)</f>
        <v>2</v>
      </c>
      <c r="AO136" s="213">
        <f t="shared" ref="AO136:AO157" si="219">AM136/AP136</f>
        <v>4.0634960317440939E-2</v>
      </c>
      <c r="AP136" s="213">
        <f t="shared" ref="AP136:AP157" si="220">Np*$Y136*AK136/(R136*NS1_)</f>
        <v>0.10582020916000245</v>
      </c>
      <c r="AQ136" s="213">
        <f t="shared" ref="AQ136:AQ157" si="221">(AL136*AO136)/(Fsw*$AO$2)</f>
        <v>0.21164041832000488</v>
      </c>
      <c r="AR136" s="213">
        <f t="shared" si="142"/>
        <v>0.21164041832000491</v>
      </c>
      <c r="AS136" s="218">
        <f t="shared" si="143"/>
        <v>2.4631332333378709E-2</v>
      </c>
      <c r="AT136" s="217"/>
      <c r="AU136" s="213">
        <f t="shared" ref="AU136:AU157" si="222">(AM136^2)*Rdcr1</f>
        <v>4.9923000000000003E-4</v>
      </c>
      <c r="AV136" s="218">
        <f t="shared" si="144"/>
        <v>4.9923000000000003E-4</v>
      </c>
      <c r="AW136" s="217">
        <f t="shared" ref="AW136:AW157" si="223">(VOUT1+((NS1_/Np)*S136))*QRR1_*Fsw</f>
        <v>0</v>
      </c>
      <c r="AX136" s="213">
        <f t="shared" ref="AX136:AX157" si="224">AM136*VD1_</f>
        <v>4.9449999999999997E-3</v>
      </c>
      <c r="AY136" s="218">
        <f t="shared" si="145"/>
        <v>4.9449999999999997E-3</v>
      </c>
      <c r="AZ136" s="217">
        <f t="shared" si="204"/>
        <v>0</v>
      </c>
      <c r="BA136" s="213">
        <f t="shared" si="205"/>
        <v>0</v>
      </c>
      <c r="BB136" s="213">
        <f t="shared" si="146"/>
        <v>0</v>
      </c>
      <c r="BC136" s="61">
        <f t="shared" ref="BC136:BC157" si="225">IF(EN_OUT_2=1,AZ136/BA136,0)</f>
        <v>0</v>
      </c>
      <c r="BD136" s="58">
        <v>0</v>
      </c>
      <c r="BE136" s="49">
        <f t="shared" ref="BE136:BE157" si="226">(BB136^2)*Rdcr2</f>
        <v>0</v>
      </c>
      <c r="BF136" s="61">
        <f t="shared" si="147"/>
        <v>0</v>
      </c>
      <c r="BG136" s="58">
        <f t="shared" ref="BG136:BG157" si="227">(VOUT2+((NS2_/Np)*S136))*QRR2_*Fsw</f>
        <v>0</v>
      </c>
      <c r="BH136" s="49">
        <f t="shared" ref="BH136:BH157" si="228">BB136*VD2_</f>
        <v>0</v>
      </c>
      <c r="BI136" s="61">
        <f t="shared" ref="BI136:BI157" si="229">BH136+BG136</f>
        <v>0</v>
      </c>
      <c r="BK136" s="217">
        <f t="shared" si="206"/>
        <v>0</v>
      </c>
      <c r="BL136" s="213">
        <f t="shared" si="207"/>
        <v>0</v>
      </c>
      <c r="BM136" s="213">
        <f t="shared" si="208"/>
        <v>0</v>
      </c>
      <c r="BN136" s="61">
        <f t="shared" si="188"/>
        <v>0</v>
      </c>
      <c r="BO136" s="58">
        <v>0</v>
      </c>
      <c r="BP136" s="49">
        <f t="shared" ref="BP136:BP157" si="230">(BM136^2)*Rdcr3</f>
        <v>0</v>
      </c>
      <c r="BQ136" s="61">
        <f t="shared" si="148"/>
        <v>0</v>
      </c>
      <c r="BR136" s="58">
        <f t="shared" ref="BR136:BR157" si="231">(VOUT3+((NS3_/Np)*S136))*QRR3_*Fsw</f>
        <v>0</v>
      </c>
      <c r="BS136" s="49">
        <f t="shared" ref="BS136:BS157" si="232">BM136*VD3_</f>
        <v>0</v>
      </c>
      <c r="BT136" s="61">
        <f t="shared" si="149"/>
        <v>0</v>
      </c>
      <c r="BU136" s="58">
        <f t="shared" si="209"/>
        <v>1.9414481040555124E-3</v>
      </c>
      <c r="BV136" s="49">
        <f t="shared" si="210"/>
        <v>3.6450000000000007E-3</v>
      </c>
      <c r="BW136" s="61">
        <f t="shared" si="211"/>
        <v>6.7499999999999999E-3</v>
      </c>
      <c r="BX136" s="49">
        <f t="shared" ref="BX136:BX157" si="233">BF136+BQ136+AE136+AG136</f>
        <v>0.68716632991595983</v>
      </c>
      <c r="BY136" s="49">
        <f t="shared" ref="BY136:BY157" si="234">BW136+BV136+BU136+BT136+BQ136+BI136+BF136++AY136+AV136+AJ136+AF136+AE136+AG136</f>
        <v>0.87798148224012995</v>
      </c>
      <c r="BZ136" s="49">
        <f t="shared" ref="BZ136:BZ157" si="235">(R136/(R136+BY136))*100</f>
        <v>88.018781374270958</v>
      </c>
    </row>
    <row r="137" spans="17:78" x14ac:dyDescent="0.3">
      <c r="Q137" s="49">
        <v>130</v>
      </c>
      <c r="R137" s="217">
        <f t="shared" si="189"/>
        <v>6.5</v>
      </c>
      <c r="S137" s="213">
        <f t="shared" si="190"/>
        <v>15</v>
      </c>
      <c r="T137" s="218">
        <f t="shared" si="191"/>
        <v>0.43333333333333335</v>
      </c>
      <c r="U137" s="217">
        <f t="shared" si="192"/>
        <v>1</v>
      </c>
      <c r="V137" s="213">
        <f t="shared" si="193"/>
        <v>0.5099019513592784</v>
      </c>
      <c r="W137" s="213">
        <f t="shared" si="194"/>
        <v>4.0792156108742268E-2</v>
      </c>
      <c r="X137" s="213">
        <f t="shared" si="212"/>
        <v>0.44930589253197933</v>
      </c>
      <c r="Y137" s="217">
        <f t="shared" si="213"/>
        <v>0.8498365855987976</v>
      </c>
      <c r="Z137" s="213">
        <f t="shared" si="195"/>
        <v>1.6996731711975945</v>
      </c>
      <c r="AA137" s="213">
        <f t="shared" si="214"/>
        <v>1.699673171197595</v>
      </c>
      <c r="AB137" s="218">
        <f t="shared" si="196"/>
        <v>0.70072583361934593</v>
      </c>
      <c r="AC137" s="217">
        <v>0</v>
      </c>
      <c r="AD137" s="213">
        <f t="shared" si="197"/>
        <v>0.56466919798675641</v>
      </c>
      <c r="AE137" s="218">
        <f t="shared" si="215"/>
        <v>0.56466919798675641</v>
      </c>
      <c r="AF137" s="58">
        <f t="shared" si="198"/>
        <v>0.13</v>
      </c>
      <c r="AG137" s="61">
        <f t="shared" si="199"/>
        <v>0.13</v>
      </c>
      <c r="AH137" s="58">
        <f t="shared" si="200"/>
        <v>3.437116857310691E-2</v>
      </c>
      <c r="AI137" s="49">
        <f t="shared" si="201"/>
        <v>1.0098046016012408E-2</v>
      </c>
      <c r="AJ137" s="61">
        <f t="shared" si="216"/>
        <v>4.4469214589119316E-2</v>
      </c>
      <c r="AK137" s="217">
        <f t="shared" si="202"/>
        <v>6.5</v>
      </c>
      <c r="AL137" s="213">
        <f t="shared" si="203"/>
        <v>1500</v>
      </c>
      <c r="AM137" s="218">
        <f t="shared" si="217"/>
        <v>4.3333333333333331E-3</v>
      </c>
      <c r="AN137" s="217">
        <f t="shared" si="218"/>
        <v>2</v>
      </c>
      <c r="AO137" s="213">
        <f t="shared" si="219"/>
        <v>4.0792156108742268E-2</v>
      </c>
      <c r="AP137" s="213">
        <f t="shared" si="220"/>
        <v>0.1062295731998497</v>
      </c>
      <c r="AQ137" s="213">
        <f t="shared" si="221"/>
        <v>0.21245914639969932</v>
      </c>
      <c r="AR137" s="213">
        <f t="shared" ref="AR137:AR157" si="236">AP137+(AQ137/2)</f>
        <v>0.21245914639969937</v>
      </c>
      <c r="AS137" s="218">
        <f t="shared" ref="AS137:AS157" si="237">CHOOSE(AN137,AR137*SQRT(AO137/3),SQRT(AO137*((AR137^2)+((AQ137^2)/(3))-(AQ137*AR137))))</f>
        <v>2.4774399435241796E-2</v>
      </c>
      <c r="AT137" s="217"/>
      <c r="AU137" s="213">
        <f t="shared" si="222"/>
        <v>5.0699999999999996E-4</v>
      </c>
      <c r="AV137" s="218">
        <f t="shared" ref="AV137:AV157" si="238">AT137+AU137</f>
        <v>5.0699999999999996E-4</v>
      </c>
      <c r="AW137" s="217">
        <f t="shared" si="223"/>
        <v>0</v>
      </c>
      <c r="AX137" s="213">
        <f t="shared" si="224"/>
        <v>4.9833333333333327E-3</v>
      </c>
      <c r="AY137" s="218">
        <f t="shared" ref="AY137:AY157" si="239">AW137+AX137</f>
        <v>4.9833333333333327E-3</v>
      </c>
      <c r="AZ137" s="217">
        <f t="shared" si="204"/>
        <v>0</v>
      </c>
      <c r="BA137" s="213">
        <f t="shared" si="205"/>
        <v>0</v>
      </c>
      <c r="BB137" s="213">
        <f t="shared" ref="BB137:BB157" si="240">IF(EN_OUT_2=1,AZ137/BA137,0)</f>
        <v>0</v>
      </c>
      <c r="BC137" s="61">
        <f t="shared" si="225"/>
        <v>0</v>
      </c>
      <c r="BD137" s="58">
        <v>0</v>
      </c>
      <c r="BE137" s="49">
        <f t="shared" si="226"/>
        <v>0</v>
      </c>
      <c r="BF137" s="61">
        <f t="shared" ref="BF137:BF157" si="241">BD137+BE137</f>
        <v>0</v>
      </c>
      <c r="BG137" s="58">
        <f t="shared" si="227"/>
        <v>0</v>
      </c>
      <c r="BH137" s="49">
        <f t="shared" si="228"/>
        <v>0</v>
      </c>
      <c r="BI137" s="61">
        <f t="shared" si="229"/>
        <v>0</v>
      </c>
      <c r="BK137" s="217">
        <f t="shared" si="206"/>
        <v>0</v>
      </c>
      <c r="BL137" s="213">
        <f t="shared" si="207"/>
        <v>0</v>
      </c>
      <c r="BM137" s="213">
        <f t="shared" si="208"/>
        <v>0</v>
      </c>
      <c r="BN137" s="61">
        <f t="shared" si="188"/>
        <v>0</v>
      </c>
      <c r="BO137" s="58">
        <v>0</v>
      </c>
      <c r="BP137" s="49">
        <f t="shared" si="230"/>
        <v>0</v>
      </c>
      <c r="BQ137" s="61">
        <f t="shared" ref="BQ137:BQ157" si="242">BO137+BP137</f>
        <v>0</v>
      </c>
      <c r="BR137" s="58">
        <f t="shared" si="231"/>
        <v>0</v>
      </c>
      <c r="BS137" s="49">
        <f t="shared" si="232"/>
        <v>0</v>
      </c>
      <c r="BT137" s="61">
        <f t="shared" ref="BT137:BT157" si="243">BS137+BR137</f>
        <v>0</v>
      </c>
      <c r="BU137" s="58">
        <f t="shared" si="209"/>
        <v>1.9640667756061088E-3</v>
      </c>
      <c r="BV137" s="49">
        <f t="shared" si="210"/>
        <v>3.6450000000000007E-3</v>
      </c>
      <c r="BW137" s="61">
        <f t="shared" si="211"/>
        <v>6.7499999999999999E-3</v>
      </c>
      <c r="BX137" s="49">
        <f t="shared" si="233"/>
        <v>0.69466919798675641</v>
      </c>
      <c r="BY137" s="49">
        <f t="shared" si="234"/>
        <v>0.88698781268481519</v>
      </c>
      <c r="BZ137" s="49">
        <f t="shared" si="235"/>
        <v>87.992564287683081</v>
      </c>
    </row>
    <row r="138" spans="17:78" x14ac:dyDescent="0.3">
      <c r="Q138" s="49">
        <v>131</v>
      </c>
      <c r="R138" s="217">
        <f t="shared" si="189"/>
        <v>6.5500000000000007</v>
      </c>
      <c r="S138" s="213">
        <f t="shared" si="190"/>
        <v>15</v>
      </c>
      <c r="T138" s="218">
        <f t="shared" si="191"/>
        <v>0.4366666666666667</v>
      </c>
      <c r="U138" s="217">
        <f t="shared" si="192"/>
        <v>1</v>
      </c>
      <c r="V138" s="213">
        <f t="shared" si="193"/>
        <v>0.51185935568278906</v>
      </c>
      <c r="W138" s="213">
        <f t="shared" si="194"/>
        <v>4.0948748454623124E-2</v>
      </c>
      <c r="X138" s="213">
        <f t="shared" si="212"/>
        <v>0.44719189586258778</v>
      </c>
      <c r="Y138" s="217">
        <f t="shared" si="213"/>
        <v>0.85309892613798199</v>
      </c>
      <c r="Z138" s="213">
        <f t="shared" si="195"/>
        <v>1.7061978522759635</v>
      </c>
      <c r="AA138" s="213">
        <f t="shared" si="214"/>
        <v>1.7061978522759638</v>
      </c>
      <c r="AB138" s="218">
        <f t="shared" si="196"/>
        <v>0.70476460790213291</v>
      </c>
      <c r="AC138" s="217">
        <v>0</v>
      </c>
      <c r="AD138" s="213">
        <f t="shared" si="197"/>
        <v>0.57119712543416423</v>
      </c>
      <c r="AE138" s="218">
        <f t="shared" si="215"/>
        <v>0.57119712543416423</v>
      </c>
      <c r="AF138" s="58">
        <f t="shared" si="198"/>
        <v>0.13100000000000001</v>
      </c>
      <c r="AG138" s="61">
        <f t="shared" si="199"/>
        <v>0.13100000000000001</v>
      </c>
      <c r="AH138" s="58">
        <f t="shared" si="200"/>
        <v>3.4768520678601304E-2</v>
      </c>
      <c r="AI138" s="49">
        <f t="shared" si="201"/>
        <v>1.01368102507404E-2</v>
      </c>
      <c r="AJ138" s="61">
        <f t="shared" si="216"/>
        <v>4.4905330929341708E-2</v>
      </c>
      <c r="AK138" s="217">
        <f t="shared" si="202"/>
        <v>6.5500000000000007</v>
      </c>
      <c r="AL138" s="213">
        <f t="shared" si="203"/>
        <v>1500</v>
      </c>
      <c r="AM138" s="218">
        <f t="shared" si="217"/>
        <v>4.3666666666666671E-3</v>
      </c>
      <c r="AN138" s="217">
        <f t="shared" si="218"/>
        <v>2</v>
      </c>
      <c r="AO138" s="213">
        <f t="shared" si="219"/>
        <v>4.0948748454623124E-2</v>
      </c>
      <c r="AP138" s="213">
        <f t="shared" si="220"/>
        <v>0.10663736576724775</v>
      </c>
      <c r="AQ138" s="213">
        <f t="shared" si="221"/>
        <v>0.21327473153449544</v>
      </c>
      <c r="AR138" s="213">
        <f t="shared" si="236"/>
        <v>0.21327473153449547</v>
      </c>
      <c r="AS138" s="218">
        <f t="shared" si="237"/>
        <v>2.491719166939383E-2</v>
      </c>
      <c r="AT138" s="217"/>
      <c r="AU138" s="213">
        <f t="shared" si="222"/>
        <v>5.1483000000000019E-4</v>
      </c>
      <c r="AV138" s="218">
        <f t="shared" si="238"/>
        <v>5.1483000000000019E-4</v>
      </c>
      <c r="AW138" s="217">
        <f t="shared" si="223"/>
        <v>0</v>
      </c>
      <c r="AX138" s="213">
        <f t="shared" si="224"/>
        <v>5.0216666666666665E-3</v>
      </c>
      <c r="AY138" s="218">
        <f t="shared" si="239"/>
        <v>5.0216666666666665E-3</v>
      </c>
      <c r="AZ138" s="217">
        <f t="shared" si="204"/>
        <v>0</v>
      </c>
      <c r="BA138" s="213">
        <f t="shared" si="205"/>
        <v>0</v>
      </c>
      <c r="BB138" s="213">
        <f t="shared" si="240"/>
        <v>0</v>
      </c>
      <c r="BC138" s="61">
        <f t="shared" si="225"/>
        <v>0</v>
      </c>
      <c r="BD138" s="58">
        <v>0</v>
      </c>
      <c r="BE138" s="49">
        <f t="shared" si="226"/>
        <v>0</v>
      </c>
      <c r="BF138" s="61">
        <f t="shared" si="241"/>
        <v>0</v>
      </c>
      <c r="BG138" s="58">
        <f t="shared" si="227"/>
        <v>0</v>
      </c>
      <c r="BH138" s="49">
        <f t="shared" si="228"/>
        <v>0</v>
      </c>
      <c r="BI138" s="61">
        <f t="shared" si="229"/>
        <v>0</v>
      </c>
      <c r="BK138" s="217">
        <f t="shared" si="206"/>
        <v>0</v>
      </c>
      <c r="BL138" s="213">
        <f t="shared" si="207"/>
        <v>0</v>
      </c>
      <c r="BM138" s="213">
        <f t="shared" si="208"/>
        <v>0</v>
      </c>
      <c r="BN138" s="61">
        <f t="shared" si="188"/>
        <v>0</v>
      </c>
      <c r="BO138" s="58">
        <v>0</v>
      </c>
      <c r="BP138" s="49">
        <f t="shared" si="230"/>
        <v>0</v>
      </c>
      <c r="BQ138" s="61">
        <f t="shared" si="242"/>
        <v>0</v>
      </c>
      <c r="BR138" s="58">
        <f t="shared" si="231"/>
        <v>0</v>
      </c>
      <c r="BS138" s="49">
        <f t="shared" si="232"/>
        <v>0</v>
      </c>
      <c r="BT138" s="61">
        <f t="shared" si="243"/>
        <v>0</v>
      </c>
      <c r="BU138" s="58">
        <f t="shared" si="209"/>
        <v>1.9867726102057886E-3</v>
      </c>
      <c r="BV138" s="49">
        <f t="shared" si="210"/>
        <v>3.6450000000000007E-3</v>
      </c>
      <c r="BW138" s="61">
        <f t="shared" si="211"/>
        <v>6.7499999999999999E-3</v>
      </c>
      <c r="BX138" s="49">
        <f t="shared" si="233"/>
        <v>0.70219712543416424</v>
      </c>
      <c r="BY138" s="49">
        <f t="shared" si="234"/>
        <v>0.89602072564037838</v>
      </c>
      <c r="BZ138" s="49">
        <f t="shared" si="235"/>
        <v>87.966448675667394</v>
      </c>
    </row>
    <row r="139" spans="17:78" x14ac:dyDescent="0.3">
      <c r="Q139" s="49">
        <v>132</v>
      </c>
      <c r="R139" s="217">
        <f t="shared" si="189"/>
        <v>6.6000000000000005</v>
      </c>
      <c r="S139" s="213">
        <f t="shared" si="190"/>
        <v>15</v>
      </c>
      <c r="T139" s="218">
        <f t="shared" si="191"/>
        <v>0.44000000000000006</v>
      </c>
      <c r="U139" s="217">
        <f t="shared" si="192"/>
        <v>1</v>
      </c>
      <c r="V139" s="213">
        <f t="shared" si="193"/>
        <v>0.51380930314660522</v>
      </c>
      <c r="W139" s="213">
        <f t="shared" si="194"/>
        <v>4.1104744251728421E-2</v>
      </c>
      <c r="X139" s="213">
        <f t="shared" si="212"/>
        <v>0.44508595260166633</v>
      </c>
      <c r="Y139" s="217">
        <f t="shared" si="213"/>
        <v>0.85634883857767519</v>
      </c>
      <c r="Z139" s="213">
        <f t="shared" si="195"/>
        <v>1.7126976771553508</v>
      </c>
      <c r="AA139" s="213">
        <f t="shared" si="214"/>
        <v>1.7126976771553506</v>
      </c>
      <c r="AB139" s="218">
        <f t="shared" si="196"/>
        <v>0.70879568186624575</v>
      </c>
      <c r="AC139" s="217">
        <v>0</v>
      </c>
      <c r="AD139" s="213">
        <f t="shared" si="197"/>
        <v>0.5777500164270718</v>
      </c>
      <c r="AE139" s="218">
        <f t="shared" si="215"/>
        <v>0.5777500164270718</v>
      </c>
      <c r="AF139" s="58">
        <f t="shared" si="198"/>
        <v>0.13200000000000001</v>
      </c>
      <c r="AG139" s="61">
        <f t="shared" si="199"/>
        <v>0.13200000000000001</v>
      </c>
      <c r="AH139" s="58">
        <f t="shared" si="200"/>
        <v>3.5167392304256542E-2</v>
      </c>
      <c r="AI139" s="49">
        <f t="shared" si="201"/>
        <v>1.0175426810582795E-2</v>
      </c>
      <c r="AJ139" s="61">
        <f t="shared" si="216"/>
        <v>4.5342819114839339E-2</v>
      </c>
      <c r="AK139" s="217">
        <f t="shared" si="202"/>
        <v>6.6000000000000005</v>
      </c>
      <c r="AL139" s="213">
        <f t="shared" si="203"/>
        <v>1500</v>
      </c>
      <c r="AM139" s="218">
        <f t="shared" si="217"/>
        <v>4.4000000000000003E-3</v>
      </c>
      <c r="AN139" s="217">
        <f t="shared" si="218"/>
        <v>2</v>
      </c>
      <c r="AO139" s="213">
        <f t="shared" si="219"/>
        <v>4.1104744251728421E-2</v>
      </c>
      <c r="AP139" s="213">
        <f t="shared" si="220"/>
        <v>0.1070436048222094</v>
      </c>
      <c r="AQ139" s="213">
        <f t="shared" si="221"/>
        <v>0.21408720964441885</v>
      </c>
      <c r="AR139" s="213">
        <f t="shared" si="236"/>
        <v>0.21408720964441882</v>
      </c>
      <c r="AS139" s="218">
        <f t="shared" si="237"/>
        <v>2.505971165616826E-2</v>
      </c>
      <c r="AT139" s="217"/>
      <c r="AU139" s="213">
        <f t="shared" si="222"/>
        <v>5.2272000000000006E-4</v>
      </c>
      <c r="AV139" s="218">
        <f t="shared" si="238"/>
        <v>5.2272000000000006E-4</v>
      </c>
      <c r="AW139" s="217">
        <f t="shared" si="223"/>
        <v>0</v>
      </c>
      <c r="AX139" s="213">
        <f t="shared" si="224"/>
        <v>5.0600000000000003E-3</v>
      </c>
      <c r="AY139" s="218">
        <f t="shared" si="239"/>
        <v>5.0600000000000003E-3</v>
      </c>
      <c r="AZ139" s="217">
        <f t="shared" si="204"/>
        <v>0</v>
      </c>
      <c r="BA139" s="213">
        <f t="shared" si="205"/>
        <v>0</v>
      </c>
      <c r="BB139" s="213">
        <f t="shared" si="240"/>
        <v>0</v>
      </c>
      <c r="BC139" s="61">
        <f t="shared" si="225"/>
        <v>0</v>
      </c>
      <c r="BD139" s="58">
        <v>0</v>
      </c>
      <c r="BE139" s="49">
        <f t="shared" si="226"/>
        <v>0</v>
      </c>
      <c r="BF139" s="61">
        <f t="shared" si="241"/>
        <v>0</v>
      </c>
      <c r="BG139" s="58">
        <f t="shared" si="227"/>
        <v>0</v>
      </c>
      <c r="BH139" s="49">
        <f t="shared" si="228"/>
        <v>0</v>
      </c>
      <c r="BI139" s="61">
        <f t="shared" si="229"/>
        <v>0</v>
      </c>
      <c r="BK139" s="217">
        <f t="shared" si="206"/>
        <v>0</v>
      </c>
      <c r="BL139" s="213">
        <f t="shared" si="207"/>
        <v>0</v>
      </c>
      <c r="BM139" s="213">
        <f t="shared" si="208"/>
        <v>0</v>
      </c>
      <c r="BN139" s="61">
        <f t="shared" si="188"/>
        <v>0</v>
      </c>
      <c r="BO139" s="58">
        <v>0</v>
      </c>
      <c r="BP139" s="49">
        <f t="shared" si="230"/>
        <v>0</v>
      </c>
      <c r="BQ139" s="61">
        <f t="shared" si="242"/>
        <v>0</v>
      </c>
      <c r="BR139" s="58">
        <f t="shared" si="231"/>
        <v>0</v>
      </c>
      <c r="BS139" s="49">
        <f t="shared" si="232"/>
        <v>0</v>
      </c>
      <c r="BT139" s="61">
        <f t="shared" si="243"/>
        <v>0</v>
      </c>
      <c r="BU139" s="58">
        <f t="shared" si="209"/>
        <v>2.0095652745289452E-3</v>
      </c>
      <c r="BV139" s="49">
        <f t="shared" si="210"/>
        <v>3.6450000000000007E-3</v>
      </c>
      <c r="BW139" s="61">
        <f t="shared" si="211"/>
        <v>6.7499999999999999E-3</v>
      </c>
      <c r="BX139" s="49">
        <f t="shared" si="233"/>
        <v>0.70975001642707181</v>
      </c>
      <c r="BY139" s="49">
        <f t="shared" si="234"/>
        <v>0.90508012081644007</v>
      </c>
      <c r="BZ139" s="49">
        <f t="shared" si="235"/>
        <v>87.94043359635738</v>
      </c>
    </row>
    <row r="140" spans="17:78" x14ac:dyDescent="0.3">
      <c r="Q140" s="49">
        <v>133</v>
      </c>
      <c r="R140" s="217">
        <f t="shared" si="189"/>
        <v>6.65</v>
      </c>
      <c r="S140" s="213">
        <f t="shared" si="190"/>
        <v>15</v>
      </c>
      <c r="T140" s="218">
        <f t="shared" si="191"/>
        <v>0.44333333333333336</v>
      </c>
      <c r="U140" s="217">
        <f t="shared" si="192"/>
        <v>1</v>
      </c>
      <c r="V140" s="213">
        <f t="shared" si="193"/>
        <v>0.51575187832910507</v>
      </c>
      <c r="W140" s="213">
        <f t="shared" si="194"/>
        <v>4.1260150266328406E-2</v>
      </c>
      <c r="X140" s="213">
        <f t="shared" si="212"/>
        <v>0.44298797140456653</v>
      </c>
      <c r="Y140" s="217">
        <f t="shared" si="213"/>
        <v>0.8595864638818419</v>
      </c>
      <c r="Z140" s="213">
        <f t="shared" si="195"/>
        <v>1.7191729277636836</v>
      </c>
      <c r="AA140" s="213">
        <f t="shared" si="214"/>
        <v>1.7191729277636836</v>
      </c>
      <c r="AB140" s="218">
        <f t="shared" si="196"/>
        <v>0.71281912836375716</v>
      </c>
      <c r="AC140" s="217">
        <v>0</v>
      </c>
      <c r="AD140" s="213">
        <f t="shared" si="197"/>
        <v>0.58432777622545651</v>
      </c>
      <c r="AE140" s="218">
        <f t="shared" si="215"/>
        <v>0.58432777622545651</v>
      </c>
      <c r="AF140" s="58">
        <f t="shared" si="198"/>
        <v>0.13300000000000001</v>
      </c>
      <c r="AG140" s="61">
        <f t="shared" si="199"/>
        <v>0.13300000000000001</v>
      </c>
      <c r="AH140" s="58">
        <f t="shared" si="200"/>
        <v>3.5567777683288657E-2</v>
      </c>
      <c r="AI140" s="49">
        <f t="shared" si="201"/>
        <v>1.0213897370521146E-2</v>
      </c>
      <c r="AJ140" s="61">
        <f t="shared" si="216"/>
        <v>4.5781675053809805E-2</v>
      </c>
      <c r="AK140" s="217">
        <f t="shared" si="202"/>
        <v>6.65</v>
      </c>
      <c r="AL140" s="213">
        <f t="shared" si="203"/>
        <v>1500</v>
      </c>
      <c r="AM140" s="218">
        <f t="shared" si="217"/>
        <v>4.4333333333333334E-3</v>
      </c>
      <c r="AN140" s="217">
        <f t="shared" si="218"/>
        <v>2</v>
      </c>
      <c r="AO140" s="213">
        <f t="shared" si="219"/>
        <v>4.1260150266328399E-2</v>
      </c>
      <c r="AP140" s="213">
        <f t="shared" si="220"/>
        <v>0.10744830798523024</v>
      </c>
      <c r="AQ140" s="213">
        <f t="shared" si="221"/>
        <v>0.21489661597046042</v>
      </c>
      <c r="AR140" s="213">
        <f t="shared" si="236"/>
        <v>0.21489661597046045</v>
      </c>
      <c r="AS140" s="218">
        <f t="shared" si="237"/>
        <v>2.5201961971274837E-2</v>
      </c>
      <c r="AT140" s="217"/>
      <c r="AU140" s="213">
        <f t="shared" si="222"/>
        <v>5.3067000000000001E-4</v>
      </c>
      <c r="AV140" s="218">
        <f t="shared" si="238"/>
        <v>5.3067000000000001E-4</v>
      </c>
      <c r="AW140" s="217">
        <f t="shared" si="223"/>
        <v>0</v>
      </c>
      <c r="AX140" s="213">
        <f t="shared" si="224"/>
        <v>5.0983333333333332E-3</v>
      </c>
      <c r="AY140" s="218">
        <f t="shared" si="239"/>
        <v>5.0983333333333332E-3</v>
      </c>
      <c r="AZ140" s="217">
        <f t="shared" si="204"/>
        <v>0</v>
      </c>
      <c r="BA140" s="213">
        <f t="shared" si="205"/>
        <v>0</v>
      </c>
      <c r="BB140" s="213">
        <f t="shared" si="240"/>
        <v>0</v>
      </c>
      <c r="BC140" s="61">
        <f t="shared" si="225"/>
        <v>0</v>
      </c>
      <c r="BD140" s="58">
        <v>0</v>
      </c>
      <c r="BE140" s="49">
        <f t="shared" si="226"/>
        <v>0</v>
      </c>
      <c r="BF140" s="61">
        <f t="shared" si="241"/>
        <v>0</v>
      </c>
      <c r="BG140" s="58">
        <f t="shared" si="227"/>
        <v>0</v>
      </c>
      <c r="BH140" s="49">
        <f t="shared" si="228"/>
        <v>0</v>
      </c>
      <c r="BI140" s="61">
        <f t="shared" si="229"/>
        <v>0</v>
      </c>
      <c r="BK140" s="217">
        <f t="shared" si="206"/>
        <v>0</v>
      </c>
      <c r="BL140" s="213">
        <f t="shared" si="207"/>
        <v>0</v>
      </c>
      <c r="BM140" s="213">
        <f t="shared" si="208"/>
        <v>0</v>
      </c>
      <c r="BN140" s="61">
        <f t="shared" si="188"/>
        <v>0</v>
      </c>
      <c r="BO140" s="58">
        <v>0</v>
      </c>
      <c r="BP140" s="49">
        <f t="shared" si="230"/>
        <v>0</v>
      </c>
      <c r="BQ140" s="61">
        <f t="shared" si="242"/>
        <v>0</v>
      </c>
      <c r="BR140" s="58">
        <f t="shared" si="231"/>
        <v>0</v>
      </c>
      <c r="BS140" s="49">
        <f t="shared" si="232"/>
        <v>0</v>
      </c>
      <c r="BT140" s="61">
        <f t="shared" si="243"/>
        <v>0</v>
      </c>
      <c r="BU140" s="58">
        <f t="shared" si="209"/>
        <v>2.0324444390450659E-3</v>
      </c>
      <c r="BV140" s="49">
        <f t="shared" si="210"/>
        <v>3.6450000000000007E-3</v>
      </c>
      <c r="BW140" s="61">
        <f t="shared" si="211"/>
        <v>6.7499999999999999E-3</v>
      </c>
      <c r="BX140" s="49">
        <f t="shared" si="233"/>
        <v>0.71732777622545651</v>
      </c>
      <c r="BY140" s="49">
        <f t="shared" si="234"/>
        <v>0.91416589905164469</v>
      </c>
      <c r="BZ140" s="49">
        <f t="shared" si="235"/>
        <v>87.914518120679276</v>
      </c>
    </row>
    <row r="141" spans="17:78" x14ac:dyDescent="0.3">
      <c r="Q141" s="49">
        <v>134</v>
      </c>
      <c r="R141" s="217">
        <f t="shared" si="189"/>
        <v>6.7</v>
      </c>
      <c r="S141" s="213">
        <f t="shared" si="190"/>
        <v>15</v>
      </c>
      <c r="T141" s="218">
        <f t="shared" si="191"/>
        <v>0.44666666666666666</v>
      </c>
      <c r="U141" s="217">
        <f t="shared" si="192"/>
        <v>1</v>
      </c>
      <c r="V141" s="213">
        <f t="shared" si="193"/>
        <v>0.5176871642217914</v>
      </c>
      <c r="W141" s="213">
        <f t="shared" si="194"/>
        <v>4.1414973137743311E-2</v>
      </c>
      <c r="X141" s="213">
        <f t="shared" si="212"/>
        <v>0.44089786264046527</v>
      </c>
      <c r="Y141" s="217">
        <f t="shared" si="213"/>
        <v>0.86281194036965225</v>
      </c>
      <c r="Z141" s="213">
        <f t="shared" si="195"/>
        <v>1.7256238807393047</v>
      </c>
      <c r="AA141" s="213">
        <f t="shared" si="214"/>
        <v>1.7256238807393047</v>
      </c>
      <c r="AB141" s="218">
        <f t="shared" si="196"/>
        <v>0.71683501901540447</v>
      </c>
      <c r="AC141" s="217">
        <v>0</v>
      </c>
      <c r="AD141" s="213">
        <f t="shared" si="197"/>
        <v>0.59093031115983774</v>
      </c>
      <c r="AE141" s="218">
        <f t="shared" si="215"/>
        <v>0.59093031115983774</v>
      </c>
      <c r="AF141" s="58">
        <f t="shared" si="198"/>
        <v>0.13400000000000001</v>
      </c>
      <c r="AG141" s="61">
        <f t="shared" si="199"/>
        <v>0.13400000000000001</v>
      </c>
      <c r="AH141" s="58">
        <f t="shared" si="200"/>
        <v>3.5969671114077076E-2</v>
      </c>
      <c r="AI141" s="49">
        <f t="shared" si="201"/>
        <v>1.0252223574110656E-2</v>
      </c>
      <c r="AJ141" s="61">
        <f t="shared" si="216"/>
        <v>4.6221894688187729E-2</v>
      </c>
      <c r="AK141" s="217">
        <f t="shared" si="202"/>
        <v>6.7</v>
      </c>
      <c r="AL141" s="213">
        <f t="shared" si="203"/>
        <v>1500</v>
      </c>
      <c r="AM141" s="218">
        <f t="shared" si="217"/>
        <v>4.4666666666666665E-3</v>
      </c>
      <c r="AN141" s="217">
        <f t="shared" si="218"/>
        <v>2</v>
      </c>
      <c r="AO141" s="213">
        <f t="shared" si="219"/>
        <v>4.1414973137743304E-2</v>
      </c>
      <c r="AP141" s="213">
        <f t="shared" si="220"/>
        <v>0.10785149254620655</v>
      </c>
      <c r="AQ141" s="213">
        <f t="shared" si="221"/>
        <v>0.21570298509241304</v>
      </c>
      <c r="AR141" s="213">
        <f t="shared" si="236"/>
        <v>0.21570298509241306</v>
      </c>
      <c r="AS141" s="218">
        <f t="shared" si="237"/>
        <v>2.5343945146889008E-2</v>
      </c>
      <c r="AT141" s="217"/>
      <c r="AU141" s="213">
        <f t="shared" si="222"/>
        <v>5.3867999999999993E-4</v>
      </c>
      <c r="AV141" s="218">
        <f t="shared" si="238"/>
        <v>5.3867999999999993E-4</v>
      </c>
      <c r="AW141" s="217">
        <f t="shared" si="223"/>
        <v>0</v>
      </c>
      <c r="AX141" s="213">
        <f t="shared" si="224"/>
        <v>5.1366666666666661E-3</v>
      </c>
      <c r="AY141" s="218">
        <f t="shared" si="239"/>
        <v>5.1366666666666661E-3</v>
      </c>
      <c r="AZ141" s="217">
        <f t="shared" si="204"/>
        <v>0</v>
      </c>
      <c r="BA141" s="213">
        <f t="shared" si="205"/>
        <v>0</v>
      </c>
      <c r="BB141" s="213">
        <f t="shared" si="240"/>
        <v>0</v>
      </c>
      <c r="BC141" s="61">
        <f t="shared" si="225"/>
        <v>0</v>
      </c>
      <c r="BD141" s="58">
        <v>0</v>
      </c>
      <c r="BE141" s="49">
        <f t="shared" si="226"/>
        <v>0</v>
      </c>
      <c r="BF141" s="61">
        <f t="shared" si="241"/>
        <v>0</v>
      </c>
      <c r="BG141" s="58">
        <f t="shared" si="227"/>
        <v>0</v>
      </c>
      <c r="BH141" s="49">
        <f t="shared" si="228"/>
        <v>0</v>
      </c>
      <c r="BI141" s="61">
        <f t="shared" si="229"/>
        <v>0</v>
      </c>
      <c r="BK141" s="217">
        <f t="shared" si="206"/>
        <v>0</v>
      </c>
      <c r="BL141" s="213">
        <f t="shared" si="207"/>
        <v>0</v>
      </c>
      <c r="BM141" s="213">
        <f t="shared" si="208"/>
        <v>0</v>
      </c>
      <c r="BN141" s="61">
        <f t="shared" si="188"/>
        <v>0</v>
      </c>
      <c r="BO141" s="58">
        <v>0</v>
      </c>
      <c r="BP141" s="49">
        <f t="shared" si="230"/>
        <v>0</v>
      </c>
      <c r="BQ141" s="61">
        <f t="shared" si="242"/>
        <v>0</v>
      </c>
      <c r="BR141" s="58">
        <f t="shared" si="231"/>
        <v>0</v>
      </c>
      <c r="BS141" s="49">
        <f t="shared" si="232"/>
        <v>0</v>
      </c>
      <c r="BT141" s="61">
        <f t="shared" si="243"/>
        <v>0</v>
      </c>
      <c r="BU141" s="58">
        <f t="shared" si="209"/>
        <v>2.0554097779472615E-3</v>
      </c>
      <c r="BV141" s="49">
        <f t="shared" si="210"/>
        <v>3.6450000000000007E-3</v>
      </c>
      <c r="BW141" s="61">
        <f t="shared" si="211"/>
        <v>6.7499999999999999E-3</v>
      </c>
      <c r="BX141" s="49">
        <f t="shared" si="233"/>
        <v>0.72493031115983775</v>
      </c>
      <c r="BY141" s="49">
        <f t="shared" si="234"/>
        <v>0.92327796229263936</v>
      </c>
      <c r="BZ141" s="49">
        <f t="shared" si="235"/>
        <v>87.888701332163279</v>
      </c>
    </row>
    <row r="142" spans="17:78" x14ac:dyDescent="0.3">
      <c r="Q142" s="49">
        <v>135</v>
      </c>
      <c r="R142" s="217">
        <f t="shared" si="189"/>
        <v>6.75</v>
      </c>
      <c r="S142" s="213">
        <f t="shared" si="190"/>
        <v>15</v>
      </c>
      <c r="T142" s="218">
        <f t="shared" si="191"/>
        <v>0.45</v>
      </c>
      <c r="U142" s="217">
        <f t="shared" si="192"/>
        <v>1</v>
      </c>
      <c r="V142" s="213">
        <f t="shared" si="193"/>
        <v>0.51961524227066325</v>
      </c>
      <c r="W142" s="213">
        <f t="shared" si="194"/>
        <v>4.1569219381653061E-2</v>
      </c>
      <c r="X142" s="213">
        <f t="shared" si="212"/>
        <v>0.43881553834768372</v>
      </c>
      <c r="Y142" s="217">
        <f t="shared" si="213"/>
        <v>0.86602540378443849</v>
      </c>
      <c r="Z142" s="213">
        <f t="shared" si="195"/>
        <v>1.7320508075688776</v>
      </c>
      <c r="AA142" s="213">
        <f t="shared" si="214"/>
        <v>1.7320508075688772</v>
      </c>
      <c r="AB142" s="218">
        <f t="shared" si="196"/>
        <v>0.72084342424042636</v>
      </c>
      <c r="AC142" s="217">
        <v>0</v>
      </c>
      <c r="AD142" s="213">
        <f t="shared" si="197"/>
        <v>0.59755752861126277</v>
      </c>
      <c r="AE142" s="218">
        <f t="shared" si="215"/>
        <v>0.59755752861126277</v>
      </c>
      <c r="AF142" s="58">
        <f t="shared" si="198"/>
        <v>0.13500000000000001</v>
      </c>
      <c r="AG142" s="61">
        <f t="shared" si="199"/>
        <v>0.13500000000000001</v>
      </c>
      <c r="AH142" s="58">
        <f t="shared" si="200"/>
        <v>3.6373066958946432E-2</v>
      </c>
      <c r="AI142" s="49">
        <f t="shared" si="201"/>
        <v>1.0290407034299559E-2</v>
      </c>
      <c r="AJ142" s="61">
        <f t="shared" si="216"/>
        <v>4.6663473993245989E-2</v>
      </c>
      <c r="AK142" s="217">
        <f t="shared" si="202"/>
        <v>6.75</v>
      </c>
      <c r="AL142" s="213">
        <f t="shared" si="203"/>
        <v>1500</v>
      </c>
      <c r="AM142" s="218">
        <f t="shared" si="217"/>
        <v>4.4999999999999997E-3</v>
      </c>
      <c r="AN142" s="217">
        <f t="shared" si="218"/>
        <v>2</v>
      </c>
      <c r="AO142" s="213">
        <f t="shared" si="219"/>
        <v>4.1569219381653061E-2</v>
      </c>
      <c r="AP142" s="213">
        <f t="shared" si="220"/>
        <v>0.10825317547305481</v>
      </c>
      <c r="AQ142" s="213">
        <f t="shared" si="221"/>
        <v>0.2165063509461097</v>
      </c>
      <c r="AR142" s="213">
        <f t="shared" si="236"/>
        <v>0.21650635094610965</v>
      </c>
      <c r="AS142" s="218">
        <f t="shared" si="237"/>
        <v>2.5485663672706833E-2</v>
      </c>
      <c r="AT142" s="217"/>
      <c r="AU142" s="213">
        <f t="shared" si="222"/>
        <v>5.4674999999999993E-4</v>
      </c>
      <c r="AV142" s="218">
        <f t="shared" si="238"/>
        <v>5.4674999999999993E-4</v>
      </c>
      <c r="AW142" s="217">
        <f t="shared" si="223"/>
        <v>0</v>
      </c>
      <c r="AX142" s="213">
        <f t="shared" si="224"/>
        <v>5.174999999999999E-3</v>
      </c>
      <c r="AY142" s="218">
        <f t="shared" si="239"/>
        <v>5.174999999999999E-3</v>
      </c>
      <c r="AZ142" s="217">
        <f t="shared" si="204"/>
        <v>0</v>
      </c>
      <c r="BA142" s="213">
        <f t="shared" si="205"/>
        <v>0</v>
      </c>
      <c r="BB142" s="213">
        <f t="shared" si="240"/>
        <v>0</v>
      </c>
      <c r="BC142" s="61">
        <f t="shared" si="225"/>
        <v>0</v>
      </c>
      <c r="BD142" s="58">
        <v>0</v>
      </c>
      <c r="BE142" s="49">
        <f t="shared" si="226"/>
        <v>0</v>
      </c>
      <c r="BF142" s="61">
        <f t="shared" si="241"/>
        <v>0</v>
      </c>
      <c r="BG142" s="58">
        <f t="shared" si="227"/>
        <v>0</v>
      </c>
      <c r="BH142" s="49">
        <f t="shared" si="228"/>
        <v>0</v>
      </c>
      <c r="BI142" s="61">
        <f t="shared" si="229"/>
        <v>0</v>
      </c>
      <c r="BK142" s="217">
        <f t="shared" si="206"/>
        <v>0</v>
      </c>
      <c r="BL142" s="213">
        <f t="shared" si="207"/>
        <v>0</v>
      </c>
      <c r="BM142" s="213">
        <f t="shared" si="208"/>
        <v>0</v>
      </c>
      <c r="BN142" s="61">
        <f t="shared" si="188"/>
        <v>0</v>
      </c>
      <c r="BO142" s="58">
        <v>0</v>
      </c>
      <c r="BP142" s="49">
        <f t="shared" si="230"/>
        <v>0</v>
      </c>
      <c r="BQ142" s="61">
        <f t="shared" si="242"/>
        <v>0</v>
      </c>
      <c r="BR142" s="58">
        <f t="shared" si="231"/>
        <v>0</v>
      </c>
      <c r="BS142" s="49">
        <f t="shared" si="232"/>
        <v>0</v>
      </c>
      <c r="BT142" s="61">
        <f t="shared" si="243"/>
        <v>0</v>
      </c>
      <c r="BU142" s="58">
        <f t="shared" si="209"/>
        <v>2.078460969082653E-3</v>
      </c>
      <c r="BV142" s="49">
        <f t="shared" si="210"/>
        <v>3.6450000000000007E-3</v>
      </c>
      <c r="BW142" s="61">
        <f t="shared" si="211"/>
        <v>6.7499999999999999E-3</v>
      </c>
      <c r="BX142" s="49">
        <f t="shared" si="233"/>
        <v>0.73255752861126278</v>
      </c>
      <c r="BY142" s="49">
        <f t="shared" si="234"/>
        <v>0.93241621357359139</v>
      </c>
      <c r="BZ142" s="49">
        <f t="shared" si="235"/>
        <v>87.862982326755969</v>
      </c>
    </row>
    <row r="143" spans="17:78" x14ac:dyDescent="0.3">
      <c r="Q143" s="49">
        <v>136</v>
      </c>
      <c r="R143" s="217">
        <f t="shared" si="189"/>
        <v>6.8000000000000007</v>
      </c>
      <c r="S143" s="213">
        <f t="shared" si="190"/>
        <v>15</v>
      </c>
      <c r="T143" s="218">
        <f t="shared" si="191"/>
        <v>0.45333333333333337</v>
      </c>
      <c r="U143" s="217">
        <f t="shared" si="192"/>
        <v>1</v>
      </c>
      <c r="V143" s="213">
        <f t="shared" si="193"/>
        <v>0.52153619241621196</v>
      </c>
      <c r="W143" s="213">
        <f t="shared" si="194"/>
        <v>4.1722895393296953E-2</v>
      </c>
      <c r="X143" s="213">
        <f t="shared" si="212"/>
        <v>0.4367409121904911</v>
      </c>
      <c r="Y143" s="217">
        <f t="shared" si="213"/>
        <v>0.8692269873603532</v>
      </c>
      <c r="Z143" s="213">
        <f t="shared" si="195"/>
        <v>1.7384539747207066</v>
      </c>
      <c r="AA143" s="213">
        <f t="shared" si="214"/>
        <v>1.7384539747207066</v>
      </c>
      <c r="AB143" s="218">
        <f t="shared" si="196"/>
        <v>0.7248444132854629</v>
      </c>
      <c r="AC143" s="217">
        <v>0</v>
      </c>
      <c r="AD143" s="213">
        <f t="shared" si="197"/>
        <v>0.60420933699181911</v>
      </c>
      <c r="AE143" s="218">
        <f t="shared" si="215"/>
        <v>0.60420933699181911</v>
      </c>
      <c r="AF143" s="58">
        <f t="shared" si="198"/>
        <v>0.13600000000000001</v>
      </c>
      <c r="AG143" s="61">
        <f t="shared" si="199"/>
        <v>0.13600000000000001</v>
      </c>
      <c r="AH143" s="58">
        <f t="shared" si="200"/>
        <v>3.6777959642980293E-2</v>
      </c>
      <c r="AI143" s="49">
        <f t="shared" si="201"/>
        <v>1.0328449334221154E-2</v>
      </c>
      <c r="AJ143" s="61">
        <f t="shared" si="216"/>
        <v>4.7106408977201447E-2</v>
      </c>
      <c r="AK143" s="217">
        <f t="shared" si="202"/>
        <v>6.8000000000000007</v>
      </c>
      <c r="AL143" s="213">
        <f t="shared" si="203"/>
        <v>1500</v>
      </c>
      <c r="AM143" s="218">
        <f t="shared" si="217"/>
        <v>4.5333333333333337E-3</v>
      </c>
      <c r="AN143" s="217">
        <f t="shared" si="218"/>
        <v>2</v>
      </c>
      <c r="AO143" s="213">
        <f t="shared" si="219"/>
        <v>4.1722895393296953E-2</v>
      </c>
      <c r="AP143" s="213">
        <f t="shared" si="220"/>
        <v>0.10865337342004415</v>
      </c>
      <c r="AQ143" s="213">
        <f t="shared" si="221"/>
        <v>0.2173067468400883</v>
      </c>
      <c r="AR143" s="213">
        <f t="shared" si="236"/>
        <v>0.2173067468400883</v>
      </c>
      <c r="AS143" s="218">
        <f t="shared" si="237"/>
        <v>2.5627119996966759E-2</v>
      </c>
      <c r="AT143" s="217"/>
      <c r="AU143" s="213">
        <f t="shared" si="222"/>
        <v>5.5488E-4</v>
      </c>
      <c r="AV143" s="218">
        <f t="shared" si="238"/>
        <v>5.5488E-4</v>
      </c>
      <c r="AW143" s="217">
        <f t="shared" si="223"/>
        <v>0</v>
      </c>
      <c r="AX143" s="213">
        <f t="shared" si="224"/>
        <v>5.2133333333333337E-3</v>
      </c>
      <c r="AY143" s="218">
        <f t="shared" si="239"/>
        <v>5.2133333333333337E-3</v>
      </c>
      <c r="AZ143" s="217">
        <f t="shared" si="204"/>
        <v>0</v>
      </c>
      <c r="BA143" s="213">
        <f t="shared" si="205"/>
        <v>0</v>
      </c>
      <c r="BB143" s="213">
        <f t="shared" si="240"/>
        <v>0</v>
      </c>
      <c r="BC143" s="61">
        <f t="shared" si="225"/>
        <v>0</v>
      </c>
      <c r="BD143" s="58">
        <v>0</v>
      </c>
      <c r="BE143" s="49">
        <f t="shared" si="226"/>
        <v>0</v>
      </c>
      <c r="BF143" s="61">
        <f t="shared" si="241"/>
        <v>0</v>
      </c>
      <c r="BG143" s="58">
        <f t="shared" si="227"/>
        <v>0</v>
      </c>
      <c r="BH143" s="49">
        <f t="shared" si="228"/>
        <v>0</v>
      </c>
      <c r="BI143" s="61">
        <f t="shared" si="229"/>
        <v>0</v>
      </c>
      <c r="BK143" s="217">
        <f t="shared" si="206"/>
        <v>0</v>
      </c>
      <c r="BL143" s="213">
        <f t="shared" si="207"/>
        <v>0</v>
      </c>
      <c r="BM143" s="213">
        <f t="shared" si="208"/>
        <v>0</v>
      </c>
      <c r="BN143" s="61">
        <f t="shared" si="188"/>
        <v>0</v>
      </c>
      <c r="BO143" s="58">
        <v>0</v>
      </c>
      <c r="BP143" s="49">
        <f t="shared" si="230"/>
        <v>0</v>
      </c>
      <c r="BQ143" s="61">
        <f t="shared" si="242"/>
        <v>0</v>
      </c>
      <c r="BR143" s="58">
        <f t="shared" si="231"/>
        <v>0</v>
      </c>
      <c r="BS143" s="49">
        <f t="shared" si="232"/>
        <v>0</v>
      </c>
      <c r="BT143" s="61">
        <f t="shared" si="243"/>
        <v>0</v>
      </c>
      <c r="BU143" s="58">
        <f t="shared" si="209"/>
        <v>2.101597693884588E-3</v>
      </c>
      <c r="BV143" s="49">
        <f t="shared" si="210"/>
        <v>3.6450000000000007E-3</v>
      </c>
      <c r="BW143" s="61">
        <f t="shared" si="211"/>
        <v>6.7499999999999999E-3</v>
      </c>
      <c r="BX143" s="49">
        <f t="shared" si="233"/>
        <v>0.74020933699181912</v>
      </c>
      <c r="BY143" s="49">
        <f t="shared" si="234"/>
        <v>0.94158055699623844</v>
      </c>
      <c r="BZ143" s="49">
        <f t="shared" si="235"/>
        <v>87.837360212633698</v>
      </c>
    </row>
    <row r="144" spans="17:78" x14ac:dyDescent="0.3">
      <c r="Q144" s="49">
        <v>137</v>
      </c>
      <c r="R144" s="217">
        <f t="shared" si="189"/>
        <v>6.8500000000000005</v>
      </c>
      <c r="S144" s="213">
        <f t="shared" si="190"/>
        <v>15</v>
      </c>
      <c r="T144" s="218">
        <f t="shared" si="191"/>
        <v>0.45666666666666672</v>
      </c>
      <c r="U144" s="217">
        <f t="shared" si="192"/>
        <v>1</v>
      </c>
      <c r="V144" s="213">
        <f t="shared" si="193"/>
        <v>0.52345009313209601</v>
      </c>
      <c r="W144" s="213">
        <f t="shared" si="194"/>
        <v>4.187600745056768E-2</v>
      </c>
      <c r="X144" s="213">
        <f t="shared" si="212"/>
        <v>0.43467389941733631</v>
      </c>
      <c r="Y144" s="217">
        <f t="shared" si="213"/>
        <v>0.87241682188682679</v>
      </c>
      <c r="Z144" s="213">
        <f t="shared" si="195"/>
        <v>1.7448336437736534</v>
      </c>
      <c r="AA144" s="213">
        <f t="shared" si="214"/>
        <v>1.7448336437736534</v>
      </c>
      <c r="AB144" s="218">
        <f t="shared" si="196"/>
        <v>0.72883805425255177</v>
      </c>
      <c r="AC144" s="217">
        <v>0</v>
      </c>
      <c r="AD144" s="213">
        <f t="shared" si="197"/>
        <v>0.61088564572564241</v>
      </c>
      <c r="AE144" s="218">
        <f t="shared" si="215"/>
        <v>0.61088564572564241</v>
      </c>
      <c r="AF144" s="58">
        <f t="shared" si="198"/>
        <v>0.13700000000000001</v>
      </c>
      <c r="AG144" s="61">
        <f t="shared" si="199"/>
        <v>0.13700000000000001</v>
      </c>
      <c r="AH144" s="58">
        <f t="shared" si="200"/>
        <v>3.7184343652865194E-2</v>
      </c>
      <c r="AI144" s="49">
        <f t="shared" si="201"/>
        <v>1.0366352027959741E-2</v>
      </c>
      <c r="AJ144" s="61">
        <f t="shared" si="216"/>
        <v>4.7550695680824935E-2</v>
      </c>
      <c r="AK144" s="217">
        <f t="shared" si="202"/>
        <v>6.8500000000000005</v>
      </c>
      <c r="AL144" s="213">
        <f t="shared" si="203"/>
        <v>1500</v>
      </c>
      <c r="AM144" s="218">
        <f t="shared" si="217"/>
        <v>4.5666666666666668E-3</v>
      </c>
      <c r="AN144" s="217">
        <f t="shared" si="218"/>
        <v>2</v>
      </c>
      <c r="AO144" s="213">
        <f t="shared" si="219"/>
        <v>4.187600745056768E-2</v>
      </c>
      <c r="AP144" s="213">
        <f t="shared" si="220"/>
        <v>0.10905210273585335</v>
      </c>
      <c r="AQ144" s="213">
        <f t="shared" si="221"/>
        <v>0.21810420547170667</v>
      </c>
      <c r="AR144" s="213">
        <f t="shared" si="236"/>
        <v>0.21810420547170667</v>
      </c>
      <c r="AS144" s="218">
        <f t="shared" si="237"/>
        <v>2.5768316527439411E-2</v>
      </c>
      <c r="AT144" s="217"/>
      <c r="AU144" s="213">
        <f t="shared" si="222"/>
        <v>5.6307000000000004E-4</v>
      </c>
      <c r="AV144" s="218">
        <f t="shared" si="238"/>
        <v>5.6307000000000004E-4</v>
      </c>
      <c r="AW144" s="217">
        <f t="shared" si="223"/>
        <v>0</v>
      </c>
      <c r="AX144" s="213">
        <f t="shared" si="224"/>
        <v>5.2516666666666666E-3</v>
      </c>
      <c r="AY144" s="218">
        <f t="shared" si="239"/>
        <v>5.2516666666666666E-3</v>
      </c>
      <c r="AZ144" s="217">
        <f t="shared" si="204"/>
        <v>0</v>
      </c>
      <c r="BA144" s="213">
        <f t="shared" si="205"/>
        <v>0</v>
      </c>
      <c r="BB144" s="213">
        <f t="shared" si="240"/>
        <v>0</v>
      </c>
      <c r="BC144" s="61">
        <f t="shared" si="225"/>
        <v>0</v>
      </c>
      <c r="BD144" s="58">
        <v>0</v>
      </c>
      <c r="BE144" s="49">
        <f t="shared" si="226"/>
        <v>0</v>
      </c>
      <c r="BF144" s="61">
        <f t="shared" si="241"/>
        <v>0</v>
      </c>
      <c r="BG144" s="58">
        <f t="shared" si="227"/>
        <v>0</v>
      </c>
      <c r="BH144" s="49">
        <f t="shared" si="228"/>
        <v>0</v>
      </c>
      <c r="BI144" s="61">
        <f t="shared" si="229"/>
        <v>0</v>
      </c>
      <c r="BK144" s="217">
        <f t="shared" si="206"/>
        <v>0</v>
      </c>
      <c r="BL144" s="213">
        <f t="shared" si="207"/>
        <v>0</v>
      </c>
      <c r="BM144" s="213">
        <f t="shared" si="208"/>
        <v>0</v>
      </c>
      <c r="BN144" s="61">
        <f t="shared" ref="BN144:BN157" si="244">IF(EN_OUT_3=1,BK144/BL144,0)</f>
        <v>0</v>
      </c>
      <c r="BO144" s="58">
        <v>0</v>
      </c>
      <c r="BP144" s="49">
        <f t="shared" si="230"/>
        <v>0</v>
      </c>
      <c r="BQ144" s="61">
        <f t="shared" si="242"/>
        <v>0</v>
      </c>
      <c r="BR144" s="58">
        <f t="shared" si="231"/>
        <v>0</v>
      </c>
      <c r="BS144" s="49">
        <f t="shared" si="232"/>
        <v>0</v>
      </c>
      <c r="BT144" s="61">
        <f t="shared" si="243"/>
        <v>0</v>
      </c>
      <c r="BU144" s="58">
        <f t="shared" si="209"/>
        <v>2.1248196373065821E-3</v>
      </c>
      <c r="BV144" s="49">
        <f t="shared" si="210"/>
        <v>3.6450000000000007E-3</v>
      </c>
      <c r="BW144" s="61">
        <f t="shared" si="211"/>
        <v>6.7499999999999999E-3</v>
      </c>
      <c r="BX144" s="49">
        <f t="shared" si="233"/>
        <v>0.74788564572564242</v>
      </c>
      <c r="BY144" s="49">
        <f t="shared" si="234"/>
        <v>0.95077089771044065</v>
      </c>
      <c r="BZ144" s="49">
        <f t="shared" si="235"/>
        <v>87.811834110017301</v>
      </c>
    </row>
    <row r="145" spans="17:78" x14ac:dyDescent="0.3">
      <c r="Q145" s="49">
        <v>138</v>
      </c>
      <c r="R145" s="217">
        <f t="shared" si="189"/>
        <v>6.9</v>
      </c>
      <c r="S145" s="213">
        <f t="shared" si="190"/>
        <v>15</v>
      </c>
      <c r="T145" s="218">
        <f t="shared" si="191"/>
        <v>0.46</v>
      </c>
      <c r="U145" s="217">
        <f t="shared" si="192"/>
        <v>1</v>
      </c>
      <c r="V145" s="213">
        <f t="shared" si="193"/>
        <v>0.52535702146254792</v>
      </c>
      <c r="W145" s="213">
        <f t="shared" si="194"/>
        <v>4.2028561717003837E-2</v>
      </c>
      <c r="X145" s="213">
        <f t="shared" si="212"/>
        <v>0.43261441682044821</v>
      </c>
      <c r="Y145" s="217">
        <f t="shared" si="213"/>
        <v>0.87559503577091313</v>
      </c>
      <c r="Z145" s="213">
        <f t="shared" si="195"/>
        <v>1.7511900715418265</v>
      </c>
      <c r="AA145" s="213">
        <f t="shared" si="214"/>
        <v>1.7511900715418265</v>
      </c>
      <c r="AB145" s="218">
        <f t="shared" si="196"/>
        <v>0.73282441412625821</v>
      </c>
      <c r="AC145" s="217">
        <v>0</v>
      </c>
      <c r="AD145" s="213">
        <f t="shared" si="197"/>
        <v>0.61758636523041777</v>
      </c>
      <c r="AE145" s="218">
        <f t="shared" si="215"/>
        <v>0.61758636523041777</v>
      </c>
      <c r="AF145" s="58">
        <f t="shared" si="198"/>
        <v>0.13800000000000001</v>
      </c>
      <c r="AG145" s="61">
        <f t="shared" si="199"/>
        <v>0.13800000000000001</v>
      </c>
      <c r="AH145" s="58">
        <f t="shared" si="200"/>
        <v>3.7592213535764557E-2</v>
      </c>
      <c r="AI145" s="49">
        <f t="shared" si="201"/>
        <v>1.0404116641291396E-2</v>
      </c>
      <c r="AJ145" s="61">
        <f t="shared" si="216"/>
        <v>4.7996330177055957E-2</v>
      </c>
      <c r="AK145" s="217">
        <f t="shared" si="202"/>
        <v>6.9</v>
      </c>
      <c r="AL145" s="213">
        <f t="shared" si="203"/>
        <v>1500</v>
      </c>
      <c r="AM145" s="218">
        <f t="shared" si="217"/>
        <v>4.5999999999999999E-3</v>
      </c>
      <c r="AN145" s="217">
        <f t="shared" si="218"/>
        <v>2</v>
      </c>
      <c r="AO145" s="213">
        <f t="shared" si="219"/>
        <v>4.202856171700383E-2</v>
      </c>
      <c r="AP145" s="213">
        <f t="shared" si="220"/>
        <v>0.10944937947136414</v>
      </c>
      <c r="AQ145" s="213">
        <f t="shared" si="221"/>
        <v>0.21889875894272828</v>
      </c>
      <c r="AR145" s="213">
        <f t="shared" si="236"/>
        <v>0.21889875894272828</v>
      </c>
      <c r="AS145" s="218">
        <f t="shared" si="237"/>
        <v>2.5909255632386791E-2</v>
      </c>
      <c r="AT145" s="217"/>
      <c r="AU145" s="213">
        <f t="shared" si="222"/>
        <v>5.7132000000000005E-4</v>
      </c>
      <c r="AV145" s="218">
        <f t="shared" si="238"/>
        <v>5.7132000000000005E-4</v>
      </c>
      <c r="AW145" s="217">
        <f t="shared" si="223"/>
        <v>0</v>
      </c>
      <c r="AX145" s="213">
        <f t="shared" si="224"/>
        <v>5.2899999999999996E-3</v>
      </c>
      <c r="AY145" s="218">
        <f t="shared" si="239"/>
        <v>5.2899999999999996E-3</v>
      </c>
      <c r="AZ145" s="217">
        <f t="shared" si="204"/>
        <v>0</v>
      </c>
      <c r="BA145" s="213">
        <f t="shared" si="205"/>
        <v>0</v>
      </c>
      <c r="BB145" s="213">
        <f t="shared" si="240"/>
        <v>0</v>
      </c>
      <c r="BC145" s="61">
        <f t="shared" si="225"/>
        <v>0</v>
      </c>
      <c r="BD145" s="58">
        <v>0</v>
      </c>
      <c r="BE145" s="49">
        <f t="shared" si="226"/>
        <v>0</v>
      </c>
      <c r="BF145" s="61">
        <f t="shared" si="241"/>
        <v>0</v>
      </c>
      <c r="BG145" s="58">
        <f t="shared" si="227"/>
        <v>0</v>
      </c>
      <c r="BH145" s="49">
        <f t="shared" si="228"/>
        <v>0</v>
      </c>
      <c r="BI145" s="61">
        <f t="shared" si="229"/>
        <v>0</v>
      </c>
      <c r="BK145" s="217">
        <f t="shared" si="206"/>
        <v>0</v>
      </c>
      <c r="BL145" s="213">
        <f t="shared" si="207"/>
        <v>0</v>
      </c>
      <c r="BM145" s="213">
        <f t="shared" si="208"/>
        <v>0</v>
      </c>
      <c r="BN145" s="61">
        <f t="shared" si="244"/>
        <v>0</v>
      </c>
      <c r="BO145" s="58">
        <v>0</v>
      </c>
      <c r="BP145" s="49">
        <f t="shared" si="230"/>
        <v>0</v>
      </c>
      <c r="BQ145" s="61">
        <f t="shared" si="242"/>
        <v>0</v>
      </c>
      <c r="BR145" s="58">
        <f t="shared" si="231"/>
        <v>0</v>
      </c>
      <c r="BS145" s="49">
        <f t="shared" si="232"/>
        <v>0</v>
      </c>
      <c r="BT145" s="61">
        <f t="shared" si="243"/>
        <v>0</v>
      </c>
      <c r="BU145" s="58">
        <f t="shared" si="209"/>
        <v>2.1481264877579744E-3</v>
      </c>
      <c r="BV145" s="49">
        <f t="shared" si="210"/>
        <v>3.6450000000000007E-3</v>
      </c>
      <c r="BW145" s="61">
        <f t="shared" si="211"/>
        <v>6.7499999999999999E-3</v>
      </c>
      <c r="BX145" s="49">
        <f t="shared" si="233"/>
        <v>0.75558636523041778</v>
      </c>
      <c r="BY145" s="49">
        <f t="shared" si="234"/>
        <v>0.95998714189523171</v>
      </c>
      <c r="BZ145" s="49">
        <f t="shared" si="235"/>
        <v>87.78640315098842</v>
      </c>
    </row>
    <row r="146" spans="17:78" x14ac:dyDescent="0.3">
      <c r="Q146" s="49">
        <v>139</v>
      </c>
      <c r="R146" s="217">
        <f t="shared" si="189"/>
        <v>6.95</v>
      </c>
      <c r="S146" s="213">
        <f t="shared" si="190"/>
        <v>15</v>
      </c>
      <c r="T146" s="218">
        <f t="shared" si="191"/>
        <v>0.46333333333333332</v>
      </c>
      <c r="U146" s="217">
        <f t="shared" si="192"/>
        <v>1</v>
      </c>
      <c r="V146" s="213">
        <f t="shared" si="193"/>
        <v>0.52725705305856263</v>
      </c>
      <c r="W146" s="213">
        <f t="shared" si="194"/>
        <v>4.2180564244685012E-2</v>
      </c>
      <c r="X146" s="213">
        <f t="shared" si="212"/>
        <v>0.43056238269675234</v>
      </c>
      <c r="Y146" s="217">
        <f t="shared" si="213"/>
        <v>0.87876175509760457</v>
      </c>
      <c r="Z146" s="213">
        <f t="shared" si="195"/>
        <v>1.7575235101952087</v>
      </c>
      <c r="AA146" s="213">
        <f t="shared" si="214"/>
        <v>1.7575235101952089</v>
      </c>
      <c r="AB146" s="218">
        <f t="shared" si="196"/>
        <v>0.73680355879996795</v>
      </c>
      <c r="AC146" s="217">
        <v>0</v>
      </c>
      <c r="AD146" s="213">
        <f t="shared" si="197"/>
        <v>0.62431140689934261</v>
      </c>
      <c r="AE146" s="218">
        <f t="shared" si="215"/>
        <v>0.62431140689934261</v>
      </c>
      <c r="AF146" s="58">
        <f t="shared" si="198"/>
        <v>0.13900000000000001</v>
      </c>
      <c r="AG146" s="61">
        <f t="shared" si="199"/>
        <v>0.13900000000000001</v>
      </c>
      <c r="AH146" s="58">
        <f t="shared" si="200"/>
        <v>3.8001563898220854E-2</v>
      </c>
      <c r="AI146" s="49">
        <f t="shared" si="201"/>
        <v>1.044174467240069E-2</v>
      </c>
      <c r="AJ146" s="61">
        <f t="shared" si="216"/>
        <v>4.844330857062154E-2</v>
      </c>
      <c r="AK146" s="217">
        <f t="shared" si="202"/>
        <v>6.95</v>
      </c>
      <c r="AL146" s="213">
        <f t="shared" si="203"/>
        <v>1500</v>
      </c>
      <c r="AM146" s="218">
        <f t="shared" si="217"/>
        <v>4.6333333333333331E-3</v>
      </c>
      <c r="AN146" s="217">
        <f t="shared" si="218"/>
        <v>2</v>
      </c>
      <c r="AO146" s="213">
        <f t="shared" si="219"/>
        <v>4.2180564244685012E-2</v>
      </c>
      <c r="AP146" s="213">
        <f t="shared" si="220"/>
        <v>0.10984521938720057</v>
      </c>
      <c r="AQ146" s="213">
        <f t="shared" si="221"/>
        <v>0.21969043877440109</v>
      </c>
      <c r="AR146" s="213">
        <f t="shared" si="236"/>
        <v>0.21969043877440111</v>
      </c>
      <c r="AS146" s="218">
        <f t="shared" si="237"/>
        <v>2.6049939641491923E-2</v>
      </c>
      <c r="AT146" s="217"/>
      <c r="AU146" s="213">
        <f t="shared" si="222"/>
        <v>5.7962999999999992E-4</v>
      </c>
      <c r="AV146" s="218">
        <f t="shared" si="238"/>
        <v>5.7962999999999992E-4</v>
      </c>
      <c r="AW146" s="217">
        <f t="shared" si="223"/>
        <v>0</v>
      </c>
      <c r="AX146" s="213">
        <f t="shared" si="224"/>
        <v>5.3283333333333325E-3</v>
      </c>
      <c r="AY146" s="218">
        <f t="shared" si="239"/>
        <v>5.3283333333333325E-3</v>
      </c>
      <c r="AZ146" s="217">
        <f t="shared" si="204"/>
        <v>0</v>
      </c>
      <c r="BA146" s="213">
        <f t="shared" si="205"/>
        <v>0</v>
      </c>
      <c r="BB146" s="213">
        <f t="shared" si="240"/>
        <v>0</v>
      </c>
      <c r="BC146" s="61">
        <f t="shared" si="225"/>
        <v>0</v>
      </c>
      <c r="BD146" s="58">
        <v>0</v>
      </c>
      <c r="BE146" s="49">
        <f t="shared" si="226"/>
        <v>0</v>
      </c>
      <c r="BF146" s="61">
        <f t="shared" si="241"/>
        <v>0</v>
      </c>
      <c r="BG146" s="58">
        <f t="shared" si="227"/>
        <v>0</v>
      </c>
      <c r="BH146" s="49">
        <f t="shared" si="228"/>
        <v>0</v>
      </c>
      <c r="BI146" s="61">
        <f t="shared" si="229"/>
        <v>0</v>
      </c>
      <c r="BK146" s="217">
        <f t="shared" si="206"/>
        <v>0</v>
      </c>
      <c r="BL146" s="213">
        <f t="shared" si="207"/>
        <v>0</v>
      </c>
      <c r="BM146" s="213">
        <f t="shared" si="208"/>
        <v>0</v>
      </c>
      <c r="BN146" s="61">
        <f t="shared" si="244"/>
        <v>0</v>
      </c>
      <c r="BO146" s="58">
        <v>0</v>
      </c>
      <c r="BP146" s="49">
        <f t="shared" si="230"/>
        <v>0</v>
      </c>
      <c r="BQ146" s="61">
        <f t="shared" si="242"/>
        <v>0</v>
      </c>
      <c r="BR146" s="58">
        <f t="shared" si="231"/>
        <v>0</v>
      </c>
      <c r="BS146" s="49">
        <f t="shared" si="232"/>
        <v>0</v>
      </c>
      <c r="BT146" s="61">
        <f t="shared" si="243"/>
        <v>0</v>
      </c>
      <c r="BU146" s="58">
        <f t="shared" si="209"/>
        <v>2.1715179370411916E-3</v>
      </c>
      <c r="BV146" s="49">
        <f t="shared" si="210"/>
        <v>3.6450000000000007E-3</v>
      </c>
      <c r="BW146" s="61">
        <f t="shared" si="211"/>
        <v>6.7499999999999999E-3</v>
      </c>
      <c r="BX146" s="49">
        <f t="shared" si="233"/>
        <v>0.76331140689934263</v>
      </c>
      <c r="BY146" s="49">
        <f t="shared" si="234"/>
        <v>0.96922919674033869</v>
      </c>
      <c r="BZ146" s="49">
        <f t="shared" si="235"/>
        <v>87.761066479307274</v>
      </c>
    </row>
    <row r="147" spans="17:78" x14ac:dyDescent="0.3">
      <c r="Q147" s="49">
        <v>140</v>
      </c>
      <c r="R147" s="217">
        <f t="shared" si="189"/>
        <v>7</v>
      </c>
      <c r="S147" s="213">
        <f t="shared" si="190"/>
        <v>15</v>
      </c>
      <c r="T147" s="218">
        <f t="shared" si="191"/>
        <v>0.46666666666666667</v>
      </c>
      <c r="U147" s="217">
        <f t="shared" si="192"/>
        <v>1</v>
      </c>
      <c r="V147" s="213">
        <f t="shared" si="193"/>
        <v>0.52915026221291805</v>
      </c>
      <c r="W147" s="213">
        <f t="shared" si="194"/>
        <v>4.2332020977033445E-2</v>
      </c>
      <c r="X147" s="213">
        <f t="shared" si="212"/>
        <v>0.42851771681004852</v>
      </c>
      <c r="Y147" s="217">
        <f t="shared" si="213"/>
        <v>0.88191710368819687</v>
      </c>
      <c r="Z147" s="213">
        <f t="shared" si="195"/>
        <v>1.7638342073763935</v>
      </c>
      <c r="AA147" s="213">
        <f t="shared" si="214"/>
        <v>1.7638342073763935</v>
      </c>
      <c r="AB147" s="218">
        <f t="shared" si="196"/>
        <v>0.7407755531013801</v>
      </c>
      <c r="AC147" s="217">
        <v>0</v>
      </c>
      <c r="AD147" s="213">
        <f t="shared" si="197"/>
        <v>0.63106068308355401</v>
      </c>
      <c r="AE147" s="218">
        <f t="shared" si="215"/>
        <v>0.63106068308355401</v>
      </c>
      <c r="AF147" s="58">
        <f t="shared" si="198"/>
        <v>0.14000000000000001</v>
      </c>
      <c r="AG147" s="61">
        <f t="shared" si="199"/>
        <v>0.14000000000000001</v>
      </c>
      <c r="AH147" s="58">
        <f t="shared" si="200"/>
        <v>3.8412389405085894E-2</v>
      </c>
      <c r="AI147" s="49">
        <f t="shared" si="201"/>
        <v>1.0479237592574173E-2</v>
      </c>
      <c r="AJ147" s="61">
        <f t="shared" si="216"/>
        <v>4.8891626997660066E-2</v>
      </c>
      <c r="AK147" s="217">
        <f t="shared" si="202"/>
        <v>7</v>
      </c>
      <c r="AL147" s="213">
        <f t="shared" si="203"/>
        <v>1500</v>
      </c>
      <c r="AM147" s="218">
        <f t="shared" si="217"/>
        <v>4.6666666666666671E-3</v>
      </c>
      <c r="AN147" s="217">
        <f t="shared" si="218"/>
        <v>2</v>
      </c>
      <c r="AO147" s="213">
        <f t="shared" si="219"/>
        <v>4.2332020977033452E-2</v>
      </c>
      <c r="AP147" s="213">
        <f t="shared" si="220"/>
        <v>0.11023963796102461</v>
      </c>
      <c r="AQ147" s="213">
        <f t="shared" si="221"/>
        <v>0.22047927592204922</v>
      </c>
      <c r="AR147" s="213">
        <f t="shared" si="236"/>
        <v>0.22047927592204922</v>
      </c>
      <c r="AS147" s="218">
        <f t="shared" si="237"/>
        <v>2.6190370846760066E-2</v>
      </c>
      <c r="AT147" s="217"/>
      <c r="AU147" s="213">
        <f t="shared" si="222"/>
        <v>5.8800000000000009E-4</v>
      </c>
      <c r="AV147" s="218">
        <f t="shared" si="238"/>
        <v>5.8800000000000009E-4</v>
      </c>
      <c r="AW147" s="217">
        <f t="shared" si="223"/>
        <v>0</v>
      </c>
      <c r="AX147" s="213">
        <f t="shared" si="224"/>
        <v>5.3666666666666663E-3</v>
      </c>
      <c r="AY147" s="218">
        <f t="shared" si="239"/>
        <v>5.3666666666666663E-3</v>
      </c>
      <c r="AZ147" s="217">
        <f t="shared" si="204"/>
        <v>0</v>
      </c>
      <c r="BA147" s="213">
        <f t="shared" si="205"/>
        <v>0</v>
      </c>
      <c r="BB147" s="213">
        <f t="shared" si="240"/>
        <v>0</v>
      </c>
      <c r="BC147" s="61">
        <f t="shared" si="225"/>
        <v>0</v>
      </c>
      <c r="BD147" s="58">
        <v>0</v>
      </c>
      <c r="BE147" s="49">
        <f t="shared" si="226"/>
        <v>0</v>
      </c>
      <c r="BF147" s="61">
        <f t="shared" si="241"/>
        <v>0</v>
      </c>
      <c r="BG147" s="58">
        <f t="shared" si="227"/>
        <v>0</v>
      </c>
      <c r="BH147" s="49">
        <f t="shared" si="228"/>
        <v>0</v>
      </c>
      <c r="BI147" s="61">
        <f t="shared" si="229"/>
        <v>0</v>
      </c>
      <c r="BK147" s="217">
        <f t="shared" si="206"/>
        <v>0</v>
      </c>
      <c r="BL147" s="213">
        <f t="shared" si="207"/>
        <v>0</v>
      </c>
      <c r="BM147" s="213">
        <f t="shared" si="208"/>
        <v>0</v>
      </c>
      <c r="BN147" s="61">
        <f t="shared" si="244"/>
        <v>0</v>
      </c>
      <c r="BO147" s="58">
        <v>0</v>
      </c>
      <c r="BP147" s="49">
        <f t="shared" si="230"/>
        <v>0</v>
      </c>
      <c r="BQ147" s="61">
        <f t="shared" si="242"/>
        <v>0</v>
      </c>
      <c r="BR147" s="58">
        <f t="shared" si="231"/>
        <v>0</v>
      </c>
      <c r="BS147" s="49">
        <f t="shared" si="232"/>
        <v>0</v>
      </c>
      <c r="BT147" s="61">
        <f t="shared" si="243"/>
        <v>0</v>
      </c>
      <c r="BU147" s="58">
        <f t="shared" si="209"/>
        <v>2.1949936802906221E-3</v>
      </c>
      <c r="BV147" s="49">
        <f t="shared" si="210"/>
        <v>3.6450000000000007E-3</v>
      </c>
      <c r="BW147" s="61">
        <f t="shared" si="211"/>
        <v>6.7499999999999999E-3</v>
      </c>
      <c r="BX147" s="49">
        <f t="shared" si="233"/>
        <v>0.77106068308355402</v>
      </c>
      <c r="BY147" s="49">
        <f t="shared" si="234"/>
        <v>0.97849697042817141</v>
      </c>
      <c r="BZ147" s="49">
        <f t="shared" si="235"/>
        <v>87.735823250232315</v>
      </c>
    </row>
    <row r="148" spans="17:78" x14ac:dyDescent="0.3">
      <c r="Q148" s="49">
        <v>141</v>
      </c>
      <c r="R148" s="217">
        <f t="shared" si="189"/>
        <v>7.0500000000000007</v>
      </c>
      <c r="S148" s="213">
        <f t="shared" si="190"/>
        <v>15</v>
      </c>
      <c r="T148" s="218">
        <f t="shared" si="191"/>
        <v>0.47000000000000003</v>
      </c>
      <c r="U148" s="217">
        <f t="shared" si="192"/>
        <v>1</v>
      </c>
      <c r="V148" s="213">
        <f t="shared" si="193"/>
        <v>0.53103672189407014</v>
      </c>
      <c r="W148" s="213">
        <f t="shared" si="194"/>
        <v>4.2482937751525611E-2</v>
      </c>
      <c r="X148" s="213">
        <f t="shared" si="212"/>
        <v>0.42648034035440424</v>
      </c>
      <c r="Y148" s="217">
        <f t="shared" si="213"/>
        <v>0.88506120315678372</v>
      </c>
      <c r="Z148" s="213">
        <f t="shared" si="195"/>
        <v>1.7701224063135672</v>
      </c>
      <c r="AA148" s="213">
        <f t="shared" si="214"/>
        <v>1.7701224063135674</v>
      </c>
      <c r="AB148" s="218">
        <f t="shared" si="196"/>
        <v>0.744740460817224</v>
      </c>
      <c r="AC148" s="217">
        <v>0</v>
      </c>
      <c r="AD148" s="213">
        <f t="shared" si="197"/>
        <v>0.63783410707498889</v>
      </c>
      <c r="AE148" s="218">
        <f t="shared" si="215"/>
        <v>0.63783410707498889</v>
      </c>
      <c r="AF148" s="58">
        <f t="shared" si="198"/>
        <v>0.14100000000000001</v>
      </c>
      <c r="AG148" s="61">
        <f t="shared" si="199"/>
        <v>0.14100000000000001</v>
      </c>
      <c r="AH148" s="58">
        <f t="shared" si="200"/>
        <v>3.8824684778477579E-2</v>
      </c>
      <c r="AI148" s="49">
        <f t="shared" si="201"/>
        <v>1.0516596846871678E-2</v>
      </c>
      <c r="AJ148" s="61">
        <f t="shared" si="216"/>
        <v>4.9341281625349259E-2</v>
      </c>
      <c r="AK148" s="217">
        <f t="shared" si="202"/>
        <v>7.0500000000000007</v>
      </c>
      <c r="AL148" s="213">
        <f t="shared" si="203"/>
        <v>1500</v>
      </c>
      <c r="AM148" s="218">
        <f t="shared" si="217"/>
        <v>4.7000000000000002E-3</v>
      </c>
      <c r="AN148" s="217">
        <f t="shared" si="218"/>
        <v>2</v>
      </c>
      <c r="AO148" s="213">
        <f t="shared" si="219"/>
        <v>4.2482937751525604E-2</v>
      </c>
      <c r="AP148" s="213">
        <f t="shared" si="220"/>
        <v>0.11063265039459796</v>
      </c>
      <c r="AQ148" s="213">
        <f t="shared" si="221"/>
        <v>0.22126530078919585</v>
      </c>
      <c r="AR148" s="213">
        <f t="shared" si="236"/>
        <v>0.22126530078919587</v>
      </c>
      <c r="AS148" s="218">
        <f t="shared" si="237"/>
        <v>2.6330551503392665E-2</v>
      </c>
      <c r="AT148" s="217"/>
      <c r="AU148" s="213">
        <f t="shared" si="222"/>
        <v>5.9643000000000001E-4</v>
      </c>
      <c r="AV148" s="218">
        <f t="shared" si="238"/>
        <v>5.9643000000000001E-4</v>
      </c>
      <c r="AW148" s="217">
        <f t="shared" si="223"/>
        <v>0</v>
      </c>
      <c r="AX148" s="213">
        <f t="shared" si="224"/>
        <v>5.4050000000000001E-3</v>
      </c>
      <c r="AY148" s="218">
        <f t="shared" si="239"/>
        <v>5.4050000000000001E-3</v>
      </c>
      <c r="AZ148" s="217">
        <f t="shared" si="204"/>
        <v>0</v>
      </c>
      <c r="BA148" s="213">
        <f t="shared" si="205"/>
        <v>0</v>
      </c>
      <c r="BB148" s="213">
        <f t="shared" si="240"/>
        <v>0</v>
      </c>
      <c r="BC148" s="61">
        <f t="shared" si="225"/>
        <v>0</v>
      </c>
      <c r="BD148" s="58">
        <v>0</v>
      </c>
      <c r="BE148" s="49">
        <f t="shared" si="226"/>
        <v>0</v>
      </c>
      <c r="BF148" s="61">
        <f t="shared" si="241"/>
        <v>0</v>
      </c>
      <c r="BG148" s="58">
        <f t="shared" si="227"/>
        <v>0</v>
      </c>
      <c r="BH148" s="49">
        <f t="shared" si="228"/>
        <v>0</v>
      </c>
      <c r="BI148" s="61">
        <f t="shared" si="229"/>
        <v>0</v>
      </c>
      <c r="BK148" s="217">
        <f t="shared" si="206"/>
        <v>0</v>
      </c>
      <c r="BL148" s="213">
        <f t="shared" si="207"/>
        <v>0</v>
      </c>
      <c r="BM148" s="213">
        <f t="shared" si="208"/>
        <v>0</v>
      </c>
      <c r="BN148" s="61">
        <f t="shared" si="244"/>
        <v>0</v>
      </c>
      <c r="BO148" s="58">
        <v>0</v>
      </c>
      <c r="BP148" s="49">
        <f t="shared" si="230"/>
        <v>0</v>
      </c>
      <c r="BQ148" s="61">
        <f t="shared" si="242"/>
        <v>0</v>
      </c>
      <c r="BR148" s="58">
        <f t="shared" si="231"/>
        <v>0</v>
      </c>
      <c r="BS148" s="49">
        <f t="shared" si="232"/>
        <v>0</v>
      </c>
      <c r="BT148" s="61">
        <f t="shared" si="243"/>
        <v>0</v>
      </c>
      <c r="BU148" s="58">
        <f t="shared" si="209"/>
        <v>2.2185534159130044E-3</v>
      </c>
      <c r="BV148" s="49">
        <f t="shared" si="210"/>
        <v>3.6450000000000007E-3</v>
      </c>
      <c r="BW148" s="61">
        <f t="shared" si="211"/>
        <v>6.7499999999999999E-3</v>
      </c>
      <c r="BX148" s="49">
        <f t="shared" si="233"/>
        <v>0.7788341070749889</v>
      </c>
      <c r="BY148" s="49">
        <f t="shared" si="234"/>
        <v>0.9877903721162512</v>
      </c>
      <c r="BZ148" s="49">
        <f t="shared" si="235"/>
        <v>87.710672630341591</v>
      </c>
    </row>
    <row r="149" spans="17:78" x14ac:dyDescent="0.3">
      <c r="Q149" s="49">
        <v>142</v>
      </c>
      <c r="R149" s="217">
        <f t="shared" si="189"/>
        <v>7.1000000000000005</v>
      </c>
      <c r="S149" s="213">
        <f t="shared" si="190"/>
        <v>15</v>
      </c>
      <c r="T149" s="218">
        <f t="shared" si="191"/>
        <v>0.47333333333333338</v>
      </c>
      <c r="U149" s="217">
        <f t="shared" si="192"/>
        <v>1</v>
      </c>
      <c r="V149" s="213">
        <f t="shared" si="193"/>
        <v>0.53291650377896915</v>
      </c>
      <c r="W149" s="213">
        <f t="shared" si="194"/>
        <v>4.2633320302317534E-2</v>
      </c>
      <c r="X149" s="213">
        <f t="shared" si="212"/>
        <v>0.42445017591871331</v>
      </c>
      <c r="Y149" s="217">
        <f t="shared" si="213"/>
        <v>0.88819417296494851</v>
      </c>
      <c r="Z149" s="213">
        <f t="shared" si="195"/>
        <v>1.7763883459298973</v>
      </c>
      <c r="AA149" s="213">
        <f t="shared" si="214"/>
        <v>1.776388345929897</v>
      </c>
      <c r="AB149" s="218">
        <f t="shared" si="196"/>
        <v>0.74869834471723196</v>
      </c>
      <c r="AC149" s="217">
        <v>0</v>
      </c>
      <c r="AD149" s="213">
        <f t="shared" si="197"/>
        <v>0.64463159308967155</v>
      </c>
      <c r="AE149" s="218">
        <f t="shared" si="215"/>
        <v>0.64463159308967155</v>
      </c>
      <c r="AF149" s="58">
        <f t="shared" si="198"/>
        <v>0.14200000000000002</v>
      </c>
      <c r="AG149" s="61">
        <f t="shared" si="199"/>
        <v>0.14200000000000002</v>
      </c>
      <c r="AH149" s="58">
        <f t="shared" si="200"/>
        <v>3.9238444796762618E-2</v>
      </c>
      <c r="AI149" s="49">
        <f t="shared" si="201"/>
        <v>1.0553823854776186E-2</v>
      </c>
      <c r="AJ149" s="61">
        <f t="shared" si="216"/>
        <v>4.9792268651538803E-2</v>
      </c>
      <c r="AK149" s="217">
        <f t="shared" si="202"/>
        <v>7.1000000000000005</v>
      </c>
      <c r="AL149" s="213">
        <f t="shared" si="203"/>
        <v>1500</v>
      </c>
      <c r="AM149" s="218">
        <f t="shared" si="217"/>
        <v>4.7333333333333333E-3</v>
      </c>
      <c r="AN149" s="217">
        <f t="shared" si="218"/>
        <v>2</v>
      </c>
      <c r="AO149" s="213">
        <f t="shared" si="219"/>
        <v>4.2633320302317528E-2</v>
      </c>
      <c r="AP149" s="213">
        <f t="shared" si="220"/>
        <v>0.11102427162061856</v>
      </c>
      <c r="AQ149" s="213">
        <f t="shared" si="221"/>
        <v>0.22204854324123713</v>
      </c>
      <c r="AR149" s="213">
        <f t="shared" si="236"/>
        <v>0.22204854324123713</v>
      </c>
      <c r="AS149" s="218">
        <f t="shared" si="237"/>
        <v>2.6470483830634901E-2</v>
      </c>
      <c r="AT149" s="217"/>
      <c r="AU149" s="213">
        <f t="shared" si="222"/>
        <v>6.0492E-4</v>
      </c>
      <c r="AV149" s="218">
        <f t="shared" si="238"/>
        <v>6.0492E-4</v>
      </c>
      <c r="AW149" s="217">
        <f t="shared" si="223"/>
        <v>0</v>
      </c>
      <c r="AX149" s="213">
        <f t="shared" si="224"/>
        <v>5.443333333333333E-3</v>
      </c>
      <c r="AY149" s="218">
        <f t="shared" si="239"/>
        <v>5.443333333333333E-3</v>
      </c>
      <c r="AZ149" s="217">
        <f t="shared" si="204"/>
        <v>0</v>
      </c>
      <c r="BA149" s="213">
        <f t="shared" si="205"/>
        <v>0</v>
      </c>
      <c r="BB149" s="213">
        <f t="shared" si="240"/>
        <v>0</v>
      </c>
      <c r="BC149" s="61">
        <f t="shared" si="225"/>
        <v>0</v>
      </c>
      <c r="BD149" s="58">
        <v>0</v>
      </c>
      <c r="BE149" s="49">
        <f t="shared" si="226"/>
        <v>0</v>
      </c>
      <c r="BF149" s="61">
        <f t="shared" si="241"/>
        <v>0</v>
      </c>
      <c r="BG149" s="58">
        <f t="shared" si="227"/>
        <v>0</v>
      </c>
      <c r="BH149" s="49">
        <f t="shared" si="228"/>
        <v>0</v>
      </c>
      <c r="BI149" s="61">
        <f t="shared" si="229"/>
        <v>0</v>
      </c>
      <c r="BK149" s="217">
        <f t="shared" si="206"/>
        <v>0</v>
      </c>
      <c r="BL149" s="213">
        <f t="shared" si="207"/>
        <v>0</v>
      </c>
      <c r="BM149" s="213">
        <f t="shared" si="208"/>
        <v>0</v>
      </c>
      <c r="BN149" s="61">
        <f t="shared" si="244"/>
        <v>0</v>
      </c>
      <c r="BO149" s="58">
        <v>0</v>
      </c>
      <c r="BP149" s="49">
        <f t="shared" si="230"/>
        <v>0</v>
      </c>
      <c r="BQ149" s="61">
        <f t="shared" si="242"/>
        <v>0</v>
      </c>
      <c r="BR149" s="58">
        <f t="shared" si="231"/>
        <v>0</v>
      </c>
      <c r="BS149" s="49">
        <f t="shared" si="232"/>
        <v>0</v>
      </c>
      <c r="BT149" s="61">
        <f t="shared" si="243"/>
        <v>0</v>
      </c>
      <c r="BU149" s="58">
        <f t="shared" si="209"/>
        <v>2.2421968455292921E-3</v>
      </c>
      <c r="BV149" s="49">
        <f t="shared" si="210"/>
        <v>3.6450000000000007E-3</v>
      </c>
      <c r="BW149" s="61">
        <f t="shared" si="211"/>
        <v>6.7499999999999999E-3</v>
      </c>
      <c r="BX149" s="49">
        <f t="shared" si="233"/>
        <v>0.78663159308967157</v>
      </c>
      <c r="BY149" s="49">
        <f t="shared" si="234"/>
        <v>0.99710931192007302</v>
      </c>
      <c r="BZ149" s="49">
        <f t="shared" si="235"/>
        <v>87.685613797356183</v>
      </c>
    </row>
    <row r="150" spans="17:78" x14ac:dyDescent="0.3">
      <c r="Q150" s="49">
        <v>143</v>
      </c>
      <c r="R150" s="217">
        <f t="shared" si="189"/>
        <v>7.15</v>
      </c>
      <c r="S150" s="213">
        <f t="shared" si="190"/>
        <v>15</v>
      </c>
      <c r="T150" s="218">
        <f t="shared" si="191"/>
        <v>0.47666666666666668</v>
      </c>
      <c r="U150" s="217">
        <f t="shared" si="192"/>
        <v>1</v>
      </c>
      <c r="V150" s="213">
        <f t="shared" si="193"/>
        <v>0.53478967828483748</v>
      </c>
      <c r="W150" s="213">
        <f t="shared" si="194"/>
        <v>4.2783174262786994E-2</v>
      </c>
      <c r="X150" s="213">
        <f t="shared" si="212"/>
        <v>0.42242714745237553</v>
      </c>
      <c r="Y150" s="217">
        <f t="shared" si="213"/>
        <v>0.89131613047472935</v>
      </c>
      <c r="Z150" s="213">
        <f t="shared" si="195"/>
        <v>1.782632260949458</v>
      </c>
      <c r="AA150" s="213">
        <f t="shared" si="214"/>
        <v>1.7826322609494585</v>
      </c>
      <c r="AB150" s="218">
        <f t="shared" si="196"/>
        <v>0.75264926657739772</v>
      </c>
      <c r="AC150" s="217">
        <v>0</v>
      </c>
      <c r="AD150" s="213">
        <f t="shared" si="197"/>
        <v>0.65145305625141892</v>
      </c>
      <c r="AE150" s="218">
        <f t="shared" si="215"/>
        <v>0.65145305625141892</v>
      </c>
      <c r="AF150" s="58">
        <f t="shared" si="198"/>
        <v>0.14300000000000002</v>
      </c>
      <c r="AG150" s="61">
        <f t="shared" si="199"/>
        <v>0.14300000000000002</v>
      </c>
      <c r="AH150" s="58">
        <f t="shared" si="200"/>
        <v>3.9653664293564629E-2</v>
      </c>
      <c r="AI150" s="49">
        <f t="shared" si="201"/>
        <v>1.059092001082316E-2</v>
      </c>
      <c r="AJ150" s="61">
        <f t="shared" si="216"/>
        <v>5.0244584304387788E-2</v>
      </c>
      <c r="AK150" s="217">
        <f t="shared" si="202"/>
        <v>7.15</v>
      </c>
      <c r="AL150" s="213">
        <f t="shared" si="203"/>
        <v>1500</v>
      </c>
      <c r="AM150" s="218">
        <f t="shared" si="217"/>
        <v>4.7666666666666673E-3</v>
      </c>
      <c r="AN150" s="217">
        <f t="shared" si="218"/>
        <v>2</v>
      </c>
      <c r="AO150" s="213">
        <f t="shared" si="219"/>
        <v>4.2783174262787001E-2</v>
      </c>
      <c r="AP150" s="213">
        <f t="shared" si="220"/>
        <v>0.11141451630934117</v>
      </c>
      <c r="AQ150" s="213">
        <f t="shared" si="221"/>
        <v>0.22282903261868231</v>
      </c>
      <c r="AR150" s="213">
        <f t="shared" si="236"/>
        <v>0.22282903261868231</v>
      </c>
      <c r="AS150" s="218">
        <f t="shared" si="237"/>
        <v>2.661017001259797E-2</v>
      </c>
      <c r="AT150" s="217"/>
      <c r="AU150" s="213">
        <f t="shared" si="222"/>
        <v>6.1347000000000018E-4</v>
      </c>
      <c r="AV150" s="218">
        <f t="shared" si="238"/>
        <v>6.1347000000000018E-4</v>
      </c>
      <c r="AW150" s="217">
        <f t="shared" si="223"/>
        <v>0</v>
      </c>
      <c r="AX150" s="213">
        <f t="shared" si="224"/>
        <v>5.4816666666666668E-3</v>
      </c>
      <c r="AY150" s="218">
        <f t="shared" si="239"/>
        <v>5.4816666666666668E-3</v>
      </c>
      <c r="AZ150" s="217">
        <f t="shared" si="204"/>
        <v>0</v>
      </c>
      <c r="BA150" s="213">
        <f t="shared" si="205"/>
        <v>0</v>
      </c>
      <c r="BB150" s="213">
        <f t="shared" si="240"/>
        <v>0</v>
      </c>
      <c r="BC150" s="61">
        <f t="shared" si="225"/>
        <v>0</v>
      </c>
      <c r="BD150" s="58">
        <v>0</v>
      </c>
      <c r="BE150" s="49">
        <f t="shared" si="226"/>
        <v>0</v>
      </c>
      <c r="BF150" s="61">
        <f t="shared" si="241"/>
        <v>0</v>
      </c>
      <c r="BG150" s="58">
        <f t="shared" si="227"/>
        <v>0</v>
      </c>
      <c r="BH150" s="49">
        <f t="shared" si="228"/>
        <v>0</v>
      </c>
      <c r="BI150" s="61">
        <f t="shared" si="229"/>
        <v>0</v>
      </c>
      <c r="BK150" s="217">
        <f t="shared" si="206"/>
        <v>0</v>
      </c>
      <c r="BL150" s="213">
        <f t="shared" si="207"/>
        <v>0</v>
      </c>
      <c r="BM150" s="213">
        <f t="shared" si="208"/>
        <v>0</v>
      </c>
      <c r="BN150" s="61">
        <f t="shared" si="244"/>
        <v>0</v>
      </c>
      <c r="BO150" s="58">
        <v>0</v>
      </c>
      <c r="BP150" s="49">
        <f t="shared" si="230"/>
        <v>0</v>
      </c>
      <c r="BQ150" s="61">
        <f t="shared" si="242"/>
        <v>0</v>
      </c>
      <c r="BR150" s="58">
        <f t="shared" si="231"/>
        <v>0</v>
      </c>
      <c r="BS150" s="49">
        <f t="shared" si="232"/>
        <v>0</v>
      </c>
      <c r="BT150" s="61">
        <f t="shared" si="243"/>
        <v>0</v>
      </c>
      <c r="BU150" s="58">
        <f t="shared" si="209"/>
        <v>2.2659236739179787E-3</v>
      </c>
      <c r="BV150" s="49">
        <f t="shared" si="210"/>
        <v>3.6450000000000007E-3</v>
      </c>
      <c r="BW150" s="61">
        <f t="shared" si="211"/>
        <v>6.7499999999999999E-3</v>
      </c>
      <c r="BX150" s="49">
        <f t="shared" si="233"/>
        <v>0.79445305625141893</v>
      </c>
      <c r="BY150" s="49">
        <f t="shared" si="234"/>
        <v>1.0064537008963914</v>
      </c>
      <c r="BZ150" s="49">
        <f t="shared" si="235"/>
        <v>87.660645939965505</v>
      </c>
    </row>
    <row r="151" spans="17:78" x14ac:dyDescent="0.3">
      <c r="Q151" s="49">
        <v>144</v>
      </c>
      <c r="R151" s="217">
        <f t="shared" si="189"/>
        <v>7.2</v>
      </c>
      <c r="S151" s="213">
        <f t="shared" si="190"/>
        <v>15</v>
      </c>
      <c r="T151" s="218">
        <f t="shared" si="191"/>
        <v>0.48000000000000004</v>
      </c>
      <c r="U151" s="217">
        <f t="shared" si="192"/>
        <v>1</v>
      </c>
      <c r="V151" s="213">
        <f t="shared" si="193"/>
        <v>0.53665631459994956</v>
      </c>
      <c r="W151" s="213">
        <f t="shared" si="194"/>
        <v>4.293250516799596E-2</v>
      </c>
      <c r="X151" s="213">
        <f t="shared" si="212"/>
        <v>0.42041118023205448</v>
      </c>
      <c r="Y151" s="217">
        <f t="shared" si="213"/>
        <v>0.89442719099991597</v>
      </c>
      <c r="Z151" s="213">
        <f t="shared" si="195"/>
        <v>1.7888543819998317</v>
      </c>
      <c r="AA151" s="213">
        <f t="shared" si="214"/>
        <v>1.7888543819998319</v>
      </c>
      <c r="AB151" s="218">
        <f t="shared" si="196"/>
        <v>0.75659328720254071</v>
      </c>
      <c r="AC151" s="217">
        <v>0</v>
      </c>
      <c r="AD151" s="213">
        <f t="shared" si="197"/>
        <v>0.65829841257593824</v>
      </c>
      <c r="AE151" s="218">
        <f t="shared" si="215"/>
        <v>0.65829841257593824</v>
      </c>
      <c r="AF151" s="58">
        <f t="shared" si="198"/>
        <v>0.14400000000000002</v>
      </c>
      <c r="AG151" s="61">
        <f t="shared" si="199"/>
        <v>0.14400000000000002</v>
      </c>
      <c r="AH151" s="58">
        <f t="shared" si="200"/>
        <v>4.007033815679624E-2</v>
      </c>
      <c r="AI151" s="49">
        <f t="shared" si="201"/>
        <v>1.0627886685210095E-2</v>
      </c>
      <c r="AJ151" s="61">
        <f t="shared" si="216"/>
        <v>5.0698224842006333E-2</v>
      </c>
      <c r="AK151" s="217">
        <f t="shared" si="202"/>
        <v>7.2</v>
      </c>
      <c r="AL151" s="213">
        <f t="shared" si="203"/>
        <v>1500</v>
      </c>
      <c r="AM151" s="218">
        <f t="shared" si="217"/>
        <v>4.8000000000000004E-3</v>
      </c>
      <c r="AN151" s="217">
        <f t="shared" si="218"/>
        <v>2</v>
      </c>
      <c r="AO151" s="213">
        <f t="shared" si="219"/>
        <v>4.293250516799596E-2</v>
      </c>
      <c r="AP151" s="213">
        <f t="shared" si="220"/>
        <v>0.1118033988749895</v>
      </c>
      <c r="AQ151" s="213">
        <f t="shared" si="221"/>
        <v>0.22360679774997896</v>
      </c>
      <c r="AR151" s="213">
        <f t="shared" si="236"/>
        <v>0.22360679774997899</v>
      </c>
      <c r="AS151" s="218">
        <f t="shared" si="237"/>
        <v>2.6749612199056888E-2</v>
      </c>
      <c r="AT151" s="217"/>
      <c r="AU151" s="213">
        <f t="shared" si="222"/>
        <v>6.2208000000000012E-4</v>
      </c>
      <c r="AV151" s="218">
        <f t="shared" si="238"/>
        <v>6.2208000000000012E-4</v>
      </c>
      <c r="AW151" s="217">
        <f t="shared" si="223"/>
        <v>0</v>
      </c>
      <c r="AX151" s="213">
        <f t="shared" si="224"/>
        <v>5.5199999999999997E-3</v>
      </c>
      <c r="AY151" s="218">
        <f t="shared" si="239"/>
        <v>5.5199999999999997E-3</v>
      </c>
      <c r="AZ151" s="217">
        <f t="shared" si="204"/>
        <v>0</v>
      </c>
      <c r="BA151" s="213">
        <f t="shared" si="205"/>
        <v>0</v>
      </c>
      <c r="BB151" s="213">
        <f t="shared" si="240"/>
        <v>0</v>
      </c>
      <c r="BC151" s="61">
        <f t="shared" si="225"/>
        <v>0</v>
      </c>
      <c r="BD151" s="58">
        <v>0</v>
      </c>
      <c r="BE151" s="49">
        <f t="shared" si="226"/>
        <v>0</v>
      </c>
      <c r="BF151" s="61">
        <f t="shared" si="241"/>
        <v>0</v>
      </c>
      <c r="BG151" s="58">
        <f t="shared" si="227"/>
        <v>0</v>
      </c>
      <c r="BH151" s="49">
        <f t="shared" si="228"/>
        <v>0</v>
      </c>
      <c r="BI151" s="61">
        <f t="shared" si="229"/>
        <v>0</v>
      </c>
      <c r="BK151" s="217">
        <f t="shared" si="206"/>
        <v>0</v>
      </c>
      <c r="BL151" s="213">
        <f t="shared" si="207"/>
        <v>0</v>
      </c>
      <c r="BM151" s="213">
        <f t="shared" si="208"/>
        <v>0</v>
      </c>
      <c r="BN151" s="61">
        <f t="shared" si="244"/>
        <v>0</v>
      </c>
      <c r="BO151" s="58">
        <v>0</v>
      </c>
      <c r="BP151" s="49">
        <f t="shared" si="230"/>
        <v>0</v>
      </c>
      <c r="BQ151" s="61">
        <f t="shared" si="242"/>
        <v>0</v>
      </c>
      <c r="BR151" s="58">
        <f t="shared" si="231"/>
        <v>0</v>
      </c>
      <c r="BS151" s="49">
        <f t="shared" si="232"/>
        <v>0</v>
      </c>
      <c r="BT151" s="61">
        <f t="shared" si="243"/>
        <v>0</v>
      </c>
      <c r="BU151" s="58">
        <f t="shared" si="209"/>
        <v>2.2897336089597849E-3</v>
      </c>
      <c r="BV151" s="49">
        <f t="shared" si="210"/>
        <v>3.6450000000000007E-3</v>
      </c>
      <c r="BW151" s="61">
        <f t="shared" si="211"/>
        <v>6.7499999999999999E-3</v>
      </c>
      <c r="BX151" s="49">
        <f t="shared" si="233"/>
        <v>0.80229841257593826</v>
      </c>
      <c r="BY151" s="49">
        <f t="shared" si="234"/>
        <v>1.0158234510269044</v>
      </c>
      <c r="BZ151" s="49">
        <f t="shared" si="235"/>
        <v>87.63576825765486</v>
      </c>
    </row>
    <row r="152" spans="17:78" x14ac:dyDescent="0.3">
      <c r="Q152" s="49">
        <v>145</v>
      </c>
      <c r="R152" s="217">
        <f t="shared" si="189"/>
        <v>7.25</v>
      </c>
      <c r="S152" s="213">
        <f t="shared" si="190"/>
        <v>15</v>
      </c>
      <c r="T152" s="218">
        <f t="shared" si="191"/>
        <v>0.48333333333333334</v>
      </c>
      <c r="U152" s="217">
        <f t="shared" si="192"/>
        <v>1</v>
      </c>
      <c r="V152" s="213">
        <f t="shared" si="193"/>
        <v>0.53851648071345037</v>
      </c>
      <c r="W152" s="213">
        <f t="shared" si="194"/>
        <v>4.308131845707603E-2</v>
      </c>
      <c r="X152" s="213">
        <f t="shared" si="212"/>
        <v>0.4184022008294736</v>
      </c>
      <c r="Y152" s="217">
        <f t="shared" si="213"/>
        <v>0.89752746785575077</v>
      </c>
      <c r="Z152" s="213">
        <f t="shared" si="195"/>
        <v>1.7950549357115011</v>
      </c>
      <c r="AA152" s="213">
        <f t="shared" si="214"/>
        <v>1.7950549357115013</v>
      </c>
      <c r="AB152" s="218">
        <f t="shared" si="196"/>
        <v>0.76053046644820754</v>
      </c>
      <c r="AC152" s="217">
        <v>0</v>
      </c>
      <c r="AD152" s="213">
        <f t="shared" si="197"/>
        <v>0.66516757895531742</v>
      </c>
      <c r="AE152" s="218">
        <f t="shared" si="215"/>
        <v>0.66516757895531742</v>
      </c>
      <c r="AF152" s="58">
        <f t="shared" si="198"/>
        <v>0.14499999999999999</v>
      </c>
      <c r="AG152" s="61">
        <f t="shared" si="199"/>
        <v>0.14499999999999999</v>
      </c>
      <c r="AH152" s="58">
        <f t="shared" si="200"/>
        <v>4.048846132771497E-2</v>
      </c>
      <c r="AI152" s="49">
        <f t="shared" si="201"/>
        <v>1.0664725224387057E-2</v>
      </c>
      <c r="AJ152" s="61">
        <f t="shared" si="216"/>
        <v>5.1153186552102027E-2</v>
      </c>
      <c r="AK152" s="217">
        <f t="shared" si="202"/>
        <v>7.25</v>
      </c>
      <c r="AL152" s="213">
        <f t="shared" si="203"/>
        <v>1500</v>
      </c>
      <c r="AM152" s="218">
        <f t="shared" si="217"/>
        <v>4.8333333333333336E-3</v>
      </c>
      <c r="AN152" s="217">
        <f t="shared" si="218"/>
        <v>2</v>
      </c>
      <c r="AO152" s="213">
        <f t="shared" si="219"/>
        <v>4.3081318457076023E-2</v>
      </c>
      <c r="AP152" s="213">
        <f t="shared" si="220"/>
        <v>0.11219093348196886</v>
      </c>
      <c r="AQ152" s="213">
        <f t="shared" si="221"/>
        <v>0.22438186696393764</v>
      </c>
      <c r="AR152" s="213">
        <f t="shared" si="236"/>
        <v>0.22438186696393769</v>
      </c>
      <c r="AS152" s="218">
        <f t="shared" si="237"/>
        <v>2.6888812506224786E-2</v>
      </c>
      <c r="AT152" s="217"/>
      <c r="AU152" s="213">
        <f t="shared" si="222"/>
        <v>6.3075000000000013E-4</v>
      </c>
      <c r="AV152" s="218">
        <f t="shared" si="238"/>
        <v>6.3075000000000013E-4</v>
      </c>
      <c r="AW152" s="217">
        <f t="shared" si="223"/>
        <v>0</v>
      </c>
      <c r="AX152" s="213">
        <f t="shared" si="224"/>
        <v>5.5583333333333335E-3</v>
      </c>
      <c r="AY152" s="218">
        <f t="shared" si="239"/>
        <v>5.5583333333333335E-3</v>
      </c>
      <c r="AZ152" s="217">
        <f t="shared" si="204"/>
        <v>0</v>
      </c>
      <c r="BA152" s="213">
        <f t="shared" si="205"/>
        <v>0</v>
      </c>
      <c r="BB152" s="213">
        <f t="shared" si="240"/>
        <v>0</v>
      </c>
      <c r="BC152" s="61">
        <f t="shared" si="225"/>
        <v>0</v>
      </c>
      <c r="BD152" s="58">
        <v>0</v>
      </c>
      <c r="BE152" s="49">
        <f t="shared" si="226"/>
        <v>0</v>
      </c>
      <c r="BF152" s="61">
        <f t="shared" si="241"/>
        <v>0</v>
      </c>
      <c r="BG152" s="58">
        <f t="shared" si="227"/>
        <v>0</v>
      </c>
      <c r="BH152" s="49">
        <f t="shared" si="228"/>
        <v>0</v>
      </c>
      <c r="BI152" s="61">
        <f t="shared" si="229"/>
        <v>0</v>
      </c>
      <c r="BK152" s="217">
        <f t="shared" si="206"/>
        <v>0</v>
      </c>
      <c r="BL152" s="213">
        <f t="shared" si="207"/>
        <v>0</v>
      </c>
      <c r="BM152" s="213">
        <f t="shared" si="208"/>
        <v>0</v>
      </c>
      <c r="BN152" s="61">
        <f t="shared" si="244"/>
        <v>0</v>
      </c>
      <c r="BO152" s="58">
        <v>0</v>
      </c>
      <c r="BP152" s="49">
        <f t="shared" si="230"/>
        <v>0</v>
      </c>
      <c r="BQ152" s="61">
        <f t="shared" si="242"/>
        <v>0</v>
      </c>
      <c r="BR152" s="58">
        <f t="shared" si="231"/>
        <v>0</v>
      </c>
      <c r="BS152" s="49">
        <f t="shared" si="232"/>
        <v>0</v>
      </c>
      <c r="BT152" s="61">
        <f t="shared" si="243"/>
        <v>0</v>
      </c>
      <c r="BU152" s="58">
        <f t="shared" si="209"/>
        <v>2.3136263615837127E-3</v>
      </c>
      <c r="BV152" s="49">
        <f t="shared" si="210"/>
        <v>3.6450000000000007E-3</v>
      </c>
      <c r="BW152" s="61">
        <f t="shared" si="211"/>
        <v>6.7499999999999999E-3</v>
      </c>
      <c r="BX152" s="49">
        <f t="shared" si="233"/>
        <v>0.81016757895531744</v>
      </c>
      <c r="BY152" s="49">
        <f t="shared" si="234"/>
        <v>1.0252184752023366</v>
      </c>
      <c r="BZ152" s="49">
        <f t="shared" si="235"/>
        <v>87.610979960534891</v>
      </c>
    </row>
    <row r="153" spans="17:78" x14ac:dyDescent="0.3">
      <c r="Q153" s="49">
        <v>146</v>
      </c>
      <c r="R153" s="217">
        <f t="shared" si="189"/>
        <v>7.3000000000000007</v>
      </c>
      <c r="S153" s="213">
        <f t="shared" si="190"/>
        <v>15</v>
      </c>
      <c r="T153" s="218">
        <f t="shared" si="191"/>
        <v>0.48666666666666669</v>
      </c>
      <c r="U153" s="217">
        <f t="shared" si="192"/>
        <v>1</v>
      </c>
      <c r="V153" s="213">
        <f t="shared" si="193"/>
        <v>0.54037024344425189</v>
      </c>
      <c r="W153" s="213">
        <f t="shared" si="194"/>
        <v>4.3229619475540146E-2</v>
      </c>
      <c r="X153" s="213">
        <f t="shared" si="212"/>
        <v>0.41640013708020795</v>
      </c>
      <c r="Y153" s="217">
        <f t="shared" si="213"/>
        <v>0.90061707240708644</v>
      </c>
      <c r="Z153" s="213">
        <f t="shared" si="195"/>
        <v>1.8012341448141729</v>
      </c>
      <c r="AA153" s="213">
        <f t="shared" si="214"/>
        <v>1.8012341448141729</v>
      </c>
      <c r="AB153" s="218">
        <f t="shared" si="196"/>
        <v>0.76446086324193108</v>
      </c>
      <c r="AC153" s="217">
        <v>0</v>
      </c>
      <c r="AD153" s="213">
        <f t="shared" si="197"/>
        <v>0.6720604731428883</v>
      </c>
      <c r="AE153" s="218">
        <f t="shared" si="215"/>
        <v>0.6720604731428883</v>
      </c>
      <c r="AF153" s="58">
        <f t="shared" si="198"/>
        <v>0.14600000000000002</v>
      </c>
      <c r="AG153" s="61">
        <f t="shared" si="199"/>
        <v>0.14600000000000002</v>
      </c>
      <c r="AH153" s="58">
        <f t="shared" si="200"/>
        <v>4.0908028800001897E-2</v>
      </c>
      <c r="AI153" s="49">
        <f t="shared" si="201"/>
        <v>1.0701436951628934E-2</v>
      </c>
      <c r="AJ153" s="61">
        <f t="shared" si="216"/>
        <v>5.1609465751630834E-2</v>
      </c>
      <c r="AK153" s="217">
        <f t="shared" si="202"/>
        <v>7.3000000000000007</v>
      </c>
      <c r="AL153" s="213">
        <f t="shared" si="203"/>
        <v>1500</v>
      </c>
      <c r="AM153" s="218">
        <f t="shared" si="217"/>
        <v>4.8666666666666667E-3</v>
      </c>
      <c r="AN153" s="217">
        <f t="shared" si="218"/>
        <v>2</v>
      </c>
      <c r="AO153" s="213">
        <f t="shared" si="219"/>
        <v>4.3229619475540146E-2</v>
      </c>
      <c r="AP153" s="213">
        <f t="shared" si="220"/>
        <v>0.1125771340508858</v>
      </c>
      <c r="AQ153" s="213">
        <f t="shared" si="221"/>
        <v>0.22515426810177161</v>
      </c>
      <c r="AR153" s="213">
        <f t="shared" si="236"/>
        <v>0.22515426810177161</v>
      </c>
      <c r="AS153" s="218">
        <f t="shared" si="237"/>
        <v>2.7027773017504572E-2</v>
      </c>
      <c r="AT153" s="217"/>
      <c r="AU153" s="213">
        <f t="shared" si="222"/>
        <v>6.3948E-4</v>
      </c>
      <c r="AV153" s="218">
        <f t="shared" si="238"/>
        <v>6.3948E-4</v>
      </c>
      <c r="AW153" s="217">
        <f t="shared" si="223"/>
        <v>0</v>
      </c>
      <c r="AX153" s="213">
        <f t="shared" si="224"/>
        <v>5.5966666666666665E-3</v>
      </c>
      <c r="AY153" s="218">
        <f t="shared" si="239"/>
        <v>5.5966666666666665E-3</v>
      </c>
      <c r="AZ153" s="217">
        <f t="shared" si="204"/>
        <v>0</v>
      </c>
      <c r="BA153" s="213">
        <f t="shared" si="205"/>
        <v>0</v>
      </c>
      <c r="BB153" s="213">
        <f t="shared" si="240"/>
        <v>0</v>
      </c>
      <c r="BC153" s="61">
        <f t="shared" si="225"/>
        <v>0</v>
      </c>
      <c r="BD153" s="58">
        <v>0</v>
      </c>
      <c r="BE153" s="49">
        <f t="shared" si="226"/>
        <v>0</v>
      </c>
      <c r="BF153" s="61">
        <f t="shared" si="241"/>
        <v>0</v>
      </c>
      <c r="BG153" s="58">
        <f t="shared" si="227"/>
        <v>0</v>
      </c>
      <c r="BH153" s="49">
        <f t="shared" si="228"/>
        <v>0</v>
      </c>
      <c r="BI153" s="61">
        <f t="shared" si="229"/>
        <v>0</v>
      </c>
      <c r="BK153" s="217">
        <f t="shared" si="206"/>
        <v>0</v>
      </c>
      <c r="BL153" s="213">
        <f t="shared" si="207"/>
        <v>0</v>
      </c>
      <c r="BM153" s="213">
        <f t="shared" si="208"/>
        <v>0</v>
      </c>
      <c r="BN153" s="61">
        <f t="shared" si="244"/>
        <v>0</v>
      </c>
      <c r="BO153" s="58">
        <v>0</v>
      </c>
      <c r="BP153" s="49">
        <f t="shared" si="230"/>
        <v>0</v>
      </c>
      <c r="BQ153" s="61">
        <f t="shared" si="242"/>
        <v>0</v>
      </c>
      <c r="BR153" s="58">
        <f t="shared" si="231"/>
        <v>0</v>
      </c>
      <c r="BS153" s="49">
        <f t="shared" si="232"/>
        <v>0</v>
      </c>
      <c r="BT153" s="61">
        <f t="shared" si="243"/>
        <v>0</v>
      </c>
      <c r="BU153" s="58">
        <f t="shared" si="209"/>
        <v>2.3376016457143938E-3</v>
      </c>
      <c r="BV153" s="49">
        <f t="shared" si="210"/>
        <v>3.6450000000000007E-3</v>
      </c>
      <c r="BW153" s="61">
        <f t="shared" si="211"/>
        <v>6.7499999999999999E-3</v>
      </c>
      <c r="BX153" s="49">
        <f t="shared" si="233"/>
        <v>0.81806047314288832</v>
      </c>
      <c r="BY153" s="49">
        <f t="shared" si="234"/>
        <v>1.0346386872069002</v>
      </c>
      <c r="BZ153" s="49">
        <f t="shared" si="235"/>
        <v>87.586280269173528</v>
      </c>
    </row>
    <row r="154" spans="17:78" x14ac:dyDescent="0.3">
      <c r="Q154" s="49">
        <v>147</v>
      </c>
      <c r="R154" s="217">
        <f t="shared" si="189"/>
        <v>7.3500000000000005</v>
      </c>
      <c r="S154" s="213">
        <f t="shared" si="190"/>
        <v>15</v>
      </c>
      <c r="T154" s="218">
        <f t="shared" si="191"/>
        <v>0.49000000000000005</v>
      </c>
      <c r="U154" s="217">
        <f t="shared" si="192"/>
        <v>1</v>
      </c>
      <c r="V154" s="213">
        <f t="shared" si="193"/>
        <v>0.54221766846903829</v>
      </c>
      <c r="W154" s="213">
        <f t="shared" si="194"/>
        <v>4.3377413477523059E-2</v>
      </c>
      <c r="X154" s="213">
        <f t="shared" si="212"/>
        <v>0.41440491805343865</v>
      </c>
      <c r="Y154" s="217">
        <f t="shared" si="213"/>
        <v>0.90369611411506423</v>
      </c>
      <c r="Z154" s="213">
        <f t="shared" si="195"/>
        <v>1.8073922282301274</v>
      </c>
      <c r="AA154" s="213">
        <f t="shared" si="214"/>
        <v>1.8073922282301278</v>
      </c>
      <c r="AB154" s="218">
        <f t="shared" si="196"/>
        <v>0.76838453560386999</v>
      </c>
      <c r="AC154" s="217">
        <v>0</v>
      </c>
      <c r="AD154" s="213">
        <f t="shared" si="197"/>
        <v>0.67897701373845132</v>
      </c>
      <c r="AE154" s="218">
        <f t="shared" si="215"/>
        <v>0.67897701373845132</v>
      </c>
      <c r="AF154" s="58">
        <f t="shared" si="198"/>
        <v>0.14700000000000002</v>
      </c>
      <c r="AG154" s="61">
        <f t="shared" si="199"/>
        <v>0.14700000000000002</v>
      </c>
      <c r="AH154" s="58">
        <f t="shared" si="200"/>
        <v>4.1329035618862253E-2</v>
      </c>
      <c r="AI154" s="49">
        <f t="shared" si="201"/>
        <v>1.0738023167590057E-2</v>
      </c>
      <c r="AJ154" s="61">
        <f t="shared" si="216"/>
        <v>5.2067058786452312E-2</v>
      </c>
      <c r="AK154" s="217">
        <f t="shared" si="202"/>
        <v>7.3500000000000005</v>
      </c>
      <c r="AL154" s="213">
        <f t="shared" si="203"/>
        <v>1500</v>
      </c>
      <c r="AM154" s="218">
        <f t="shared" si="217"/>
        <v>4.9000000000000007E-3</v>
      </c>
      <c r="AN154" s="217">
        <f t="shared" si="218"/>
        <v>2</v>
      </c>
      <c r="AO154" s="213">
        <f t="shared" si="219"/>
        <v>4.3377413477523059E-2</v>
      </c>
      <c r="AP154" s="213">
        <f t="shared" si="220"/>
        <v>0.11296201426438303</v>
      </c>
      <c r="AQ154" s="213">
        <f t="shared" si="221"/>
        <v>0.22592402852876592</v>
      </c>
      <c r="AR154" s="213">
        <f t="shared" si="236"/>
        <v>0.22592402852876597</v>
      </c>
      <c r="AS154" s="218">
        <f t="shared" si="237"/>
        <v>2.716649578421863E-2</v>
      </c>
      <c r="AT154" s="217"/>
      <c r="AU154" s="213">
        <f t="shared" si="222"/>
        <v>6.4827000000000016E-4</v>
      </c>
      <c r="AV154" s="218">
        <f t="shared" si="238"/>
        <v>6.4827000000000016E-4</v>
      </c>
      <c r="AW154" s="217">
        <f t="shared" si="223"/>
        <v>0</v>
      </c>
      <c r="AX154" s="213">
        <f t="shared" si="224"/>
        <v>5.6350000000000003E-3</v>
      </c>
      <c r="AY154" s="218">
        <f t="shared" si="239"/>
        <v>5.6350000000000003E-3</v>
      </c>
      <c r="AZ154" s="217">
        <f t="shared" si="204"/>
        <v>0</v>
      </c>
      <c r="BA154" s="213">
        <f t="shared" si="205"/>
        <v>0</v>
      </c>
      <c r="BB154" s="213">
        <f t="shared" si="240"/>
        <v>0</v>
      </c>
      <c r="BC154" s="61">
        <f t="shared" si="225"/>
        <v>0</v>
      </c>
      <c r="BD154" s="58">
        <v>0</v>
      </c>
      <c r="BE154" s="49">
        <f t="shared" si="226"/>
        <v>0</v>
      </c>
      <c r="BF154" s="61">
        <f t="shared" si="241"/>
        <v>0</v>
      </c>
      <c r="BG154" s="58">
        <f t="shared" si="227"/>
        <v>0</v>
      </c>
      <c r="BH154" s="49">
        <f t="shared" si="228"/>
        <v>0</v>
      </c>
      <c r="BI154" s="61">
        <f t="shared" si="229"/>
        <v>0</v>
      </c>
      <c r="BK154" s="217">
        <f t="shared" si="206"/>
        <v>0</v>
      </c>
      <c r="BL154" s="213">
        <f t="shared" si="207"/>
        <v>0</v>
      </c>
      <c r="BM154" s="213">
        <f t="shared" si="208"/>
        <v>0</v>
      </c>
      <c r="BN154" s="61">
        <f t="shared" si="244"/>
        <v>0</v>
      </c>
      <c r="BO154" s="58">
        <v>0</v>
      </c>
      <c r="BP154" s="49">
        <f t="shared" si="230"/>
        <v>0</v>
      </c>
      <c r="BQ154" s="61">
        <f t="shared" si="242"/>
        <v>0</v>
      </c>
      <c r="BR154" s="58">
        <f t="shared" si="231"/>
        <v>0</v>
      </c>
      <c r="BS154" s="49">
        <f t="shared" si="232"/>
        <v>0</v>
      </c>
      <c r="BT154" s="61">
        <f t="shared" si="243"/>
        <v>0</v>
      </c>
      <c r="BU154" s="58">
        <f t="shared" si="209"/>
        <v>2.3616591782206998E-3</v>
      </c>
      <c r="BV154" s="49">
        <f t="shared" si="210"/>
        <v>3.6450000000000007E-3</v>
      </c>
      <c r="BW154" s="61">
        <f t="shared" si="211"/>
        <v>6.7499999999999999E-3</v>
      </c>
      <c r="BX154" s="49">
        <f t="shared" si="233"/>
        <v>0.82597701373845134</v>
      </c>
      <c r="BY154" s="49">
        <f t="shared" si="234"/>
        <v>1.0440840017031243</v>
      </c>
      <c r="BZ154" s="49">
        <f t="shared" si="235"/>
        <v>87.561668414429931</v>
      </c>
    </row>
    <row r="155" spans="17:78" x14ac:dyDescent="0.3">
      <c r="Q155" s="49">
        <v>148</v>
      </c>
      <c r="R155" s="217">
        <f t="shared" si="189"/>
        <v>7.4</v>
      </c>
      <c r="S155" s="213">
        <f t="shared" si="190"/>
        <v>15</v>
      </c>
      <c r="T155" s="218">
        <f t="shared" si="191"/>
        <v>0.49333333333333335</v>
      </c>
      <c r="U155" s="217">
        <f t="shared" si="192"/>
        <v>1</v>
      </c>
      <c r="V155" s="213">
        <f t="shared" si="193"/>
        <v>0.54405882034941777</v>
      </c>
      <c r="W155" s="213">
        <f t="shared" si="194"/>
        <v>4.3524705627953415E-2</v>
      </c>
      <c r="X155" s="213">
        <f t="shared" si="212"/>
        <v>0.41241647402262882</v>
      </c>
      <c r="Y155" s="217">
        <f t="shared" si="213"/>
        <v>0.90676470058236291</v>
      </c>
      <c r="Z155" s="213">
        <f t="shared" si="195"/>
        <v>1.8135294011647258</v>
      </c>
      <c r="AA155" s="213">
        <f t="shared" si="214"/>
        <v>1.8135294011647258</v>
      </c>
      <c r="AB155" s="218">
        <f t="shared" si="196"/>
        <v>0.77230154066685563</v>
      </c>
      <c r="AC155" s="217">
        <v>0</v>
      </c>
      <c r="AD155" s="213">
        <f t="shared" si="197"/>
        <v>0.68591712017385886</v>
      </c>
      <c r="AE155" s="218">
        <f t="shared" si="215"/>
        <v>0.68591712017385886</v>
      </c>
      <c r="AF155" s="58">
        <f t="shared" si="198"/>
        <v>0.14800000000000002</v>
      </c>
      <c r="AG155" s="61">
        <f t="shared" si="199"/>
        <v>0.14800000000000002</v>
      </c>
      <c r="AH155" s="58">
        <f t="shared" si="200"/>
        <v>4.1751476880147929E-2</v>
      </c>
      <c r="AI155" s="49">
        <f t="shared" si="201"/>
        <v>1.0774485150841886E-2</v>
      </c>
      <c r="AJ155" s="61">
        <f t="shared" si="216"/>
        <v>5.2525962030989817E-2</v>
      </c>
      <c r="AK155" s="217">
        <f t="shared" si="202"/>
        <v>7.4</v>
      </c>
      <c r="AL155" s="213">
        <f t="shared" si="203"/>
        <v>1500</v>
      </c>
      <c r="AM155" s="218">
        <f t="shared" si="217"/>
        <v>4.9333333333333338E-3</v>
      </c>
      <c r="AN155" s="217">
        <f t="shared" si="218"/>
        <v>2</v>
      </c>
      <c r="AO155" s="213">
        <f t="shared" si="219"/>
        <v>4.3524705627953422E-2</v>
      </c>
      <c r="AP155" s="213">
        <f t="shared" si="220"/>
        <v>0.11334558757279536</v>
      </c>
      <c r="AQ155" s="213">
        <f t="shared" si="221"/>
        <v>0.22669117514559073</v>
      </c>
      <c r="AR155" s="213">
        <f t="shared" si="236"/>
        <v>0.22669117514559073</v>
      </c>
      <c r="AS155" s="218">
        <f t="shared" si="237"/>
        <v>2.7304982826317586E-2</v>
      </c>
      <c r="AT155" s="217"/>
      <c r="AU155" s="213">
        <f t="shared" si="222"/>
        <v>6.5712000000000008E-4</v>
      </c>
      <c r="AV155" s="218">
        <f t="shared" si="238"/>
        <v>6.5712000000000008E-4</v>
      </c>
      <c r="AW155" s="217">
        <f t="shared" si="223"/>
        <v>0</v>
      </c>
      <c r="AX155" s="213">
        <f t="shared" si="224"/>
        <v>5.6733333333333332E-3</v>
      </c>
      <c r="AY155" s="218">
        <f t="shared" si="239"/>
        <v>5.6733333333333332E-3</v>
      </c>
      <c r="AZ155" s="217">
        <f t="shared" si="204"/>
        <v>0</v>
      </c>
      <c r="BA155" s="213">
        <f t="shared" si="205"/>
        <v>0</v>
      </c>
      <c r="BB155" s="213">
        <f t="shared" si="240"/>
        <v>0</v>
      </c>
      <c r="BC155" s="61">
        <f t="shared" si="225"/>
        <v>0</v>
      </c>
      <c r="BD155" s="58">
        <v>0</v>
      </c>
      <c r="BE155" s="49">
        <f t="shared" si="226"/>
        <v>0</v>
      </c>
      <c r="BF155" s="61">
        <f t="shared" si="241"/>
        <v>0</v>
      </c>
      <c r="BG155" s="58">
        <f t="shared" si="227"/>
        <v>0</v>
      </c>
      <c r="BH155" s="49">
        <f t="shared" si="228"/>
        <v>0</v>
      </c>
      <c r="BI155" s="61">
        <f t="shared" si="229"/>
        <v>0</v>
      </c>
      <c r="BK155" s="217">
        <f t="shared" si="206"/>
        <v>0</v>
      </c>
      <c r="BL155" s="213">
        <f t="shared" si="207"/>
        <v>0</v>
      </c>
      <c r="BM155" s="213">
        <f t="shared" si="208"/>
        <v>0</v>
      </c>
      <c r="BN155" s="61">
        <f t="shared" si="244"/>
        <v>0</v>
      </c>
      <c r="BO155" s="58">
        <v>0</v>
      </c>
      <c r="BP155" s="49">
        <f t="shared" si="230"/>
        <v>0</v>
      </c>
      <c r="BQ155" s="61">
        <f t="shared" si="242"/>
        <v>0</v>
      </c>
      <c r="BR155" s="58">
        <f t="shared" si="231"/>
        <v>0</v>
      </c>
      <c r="BS155" s="49">
        <f t="shared" si="232"/>
        <v>0</v>
      </c>
      <c r="BT155" s="61">
        <f t="shared" si="243"/>
        <v>0</v>
      </c>
      <c r="BU155" s="58">
        <f t="shared" si="209"/>
        <v>2.3857986788655959E-3</v>
      </c>
      <c r="BV155" s="49">
        <f t="shared" si="210"/>
        <v>3.6450000000000007E-3</v>
      </c>
      <c r="BW155" s="61">
        <f t="shared" si="211"/>
        <v>6.7499999999999999E-3</v>
      </c>
      <c r="BX155" s="49">
        <f t="shared" si="233"/>
        <v>0.83391712017385888</v>
      </c>
      <c r="BY155" s="49">
        <f t="shared" si="234"/>
        <v>1.0535543342170475</v>
      </c>
      <c r="BZ155" s="49">
        <f t="shared" si="235"/>
        <v>87.537143637290811</v>
      </c>
    </row>
    <row r="156" spans="17:78" x14ac:dyDescent="0.3">
      <c r="Q156" s="49">
        <v>149</v>
      </c>
      <c r="R156" s="217">
        <f t="shared" si="189"/>
        <v>7.45</v>
      </c>
      <c r="S156" s="213">
        <f t="shared" si="190"/>
        <v>15</v>
      </c>
      <c r="T156" s="218">
        <f t="shared" si="191"/>
        <v>0.4966666666666667</v>
      </c>
      <c r="U156" s="217">
        <f t="shared" si="192"/>
        <v>1</v>
      </c>
      <c r="V156" s="213">
        <f t="shared" si="193"/>
        <v>0.54589376255824718</v>
      </c>
      <c r="W156" s="213">
        <f t="shared" si="194"/>
        <v>4.3671501004659774E-2</v>
      </c>
      <c r="X156" s="213">
        <f t="shared" si="212"/>
        <v>0.41043473643709305</v>
      </c>
      <c r="Y156" s="217">
        <f t="shared" si="213"/>
        <v>0.90982293759707877</v>
      </c>
      <c r="Z156" s="213">
        <f t="shared" si="195"/>
        <v>1.8196458751941573</v>
      </c>
      <c r="AA156" s="213">
        <f t="shared" si="214"/>
        <v>1.8196458751941575</v>
      </c>
      <c r="AB156" s="218">
        <f t="shared" si="196"/>
        <v>0.77621193469585859</v>
      </c>
      <c r="AC156" s="217">
        <v>0</v>
      </c>
      <c r="AD156" s="213">
        <f t="shared" si="197"/>
        <v>0.69288071269893114</v>
      </c>
      <c r="AE156" s="218">
        <f t="shared" si="215"/>
        <v>0.69288071269893114</v>
      </c>
      <c r="AF156" s="58">
        <f t="shared" si="198"/>
        <v>0.14899999999999999</v>
      </c>
      <c r="AG156" s="61">
        <f t="shared" si="199"/>
        <v>0.14899999999999999</v>
      </c>
      <c r="AH156" s="58">
        <f t="shared" si="200"/>
        <v>4.217534772950015E-2</v>
      </c>
      <c r="AI156" s="49">
        <f t="shared" si="201"/>
        <v>1.0810824158394395E-2</v>
      </c>
      <c r="AJ156" s="61">
        <f t="shared" si="216"/>
        <v>5.2986171887894548E-2</v>
      </c>
      <c r="AK156" s="217">
        <f t="shared" si="202"/>
        <v>7.45</v>
      </c>
      <c r="AL156" s="213">
        <f t="shared" si="203"/>
        <v>1500</v>
      </c>
      <c r="AM156" s="218">
        <f t="shared" si="217"/>
        <v>4.966666666666667E-3</v>
      </c>
      <c r="AN156" s="217">
        <f t="shared" si="218"/>
        <v>2</v>
      </c>
      <c r="AO156" s="213">
        <f t="shared" si="219"/>
        <v>4.3671501004659781E-2</v>
      </c>
      <c r="AP156" s="213">
        <f t="shared" si="220"/>
        <v>0.11372786719963485</v>
      </c>
      <c r="AQ156" s="213">
        <f t="shared" si="221"/>
        <v>0.22745573439926969</v>
      </c>
      <c r="AR156" s="213">
        <f t="shared" si="236"/>
        <v>0.22745573439926969</v>
      </c>
      <c r="AS156" s="218">
        <f t="shared" si="237"/>
        <v>2.7443236133068555E-2</v>
      </c>
      <c r="AT156" s="217"/>
      <c r="AU156" s="213">
        <f t="shared" si="222"/>
        <v>6.6603000000000007E-4</v>
      </c>
      <c r="AV156" s="218">
        <f t="shared" si="238"/>
        <v>6.6603000000000007E-4</v>
      </c>
      <c r="AW156" s="217">
        <f t="shared" si="223"/>
        <v>0</v>
      </c>
      <c r="AX156" s="213">
        <f t="shared" si="224"/>
        <v>5.711666666666667E-3</v>
      </c>
      <c r="AY156" s="218">
        <f t="shared" si="239"/>
        <v>5.711666666666667E-3</v>
      </c>
      <c r="AZ156" s="217">
        <f t="shared" si="204"/>
        <v>0</v>
      </c>
      <c r="BA156" s="213">
        <f t="shared" si="205"/>
        <v>0</v>
      </c>
      <c r="BB156" s="213">
        <f t="shared" si="240"/>
        <v>0</v>
      </c>
      <c r="BC156" s="61">
        <f t="shared" si="225"/>
        <v>0</v>
      </c>
      <c r="BD156" s="58">
        <v>0</v>
      </c>
      <c r="BE156" s="49">
        <f t="shared" si="226"/>
        <v>0</v>
      </c>
      <c r="BF156" s="61">
        <f t="shared" si="241"/>
        <v>0</v>
      </c>
      <c r="BG156" s="58">
        <f t="shared" si="227"/>
        <v>0</v>
      </c>
      <c r="BH156" s="49">
        <f t="shared" si="228"/>
        <v>0</v>
      </c>
      <c r="BI156" s="61">
        <f t="shared" si="229"/>
        <v>0</v>
      </c>
      <c r="BK156" s="217">
        <f t="shared" si="206"/>
        <v>0</v>
      </c>
      <c r="BL156" s="213">
        <f t="shared" si="207"/>
        <v>0</v>
      </c>
      <c r="BM156" s="213">
        <f t="shared" si="208"/>
        <v>0</v>
      </c>
      <c r="BN156" s="61">
        <f t="shared" si="244"/>
        <v>0</v>
      </c>
      <c r="BO156" s="58">
        <v>0</v>
      </c>
      <c r="BP156" s="49">
        <f t="shared" si="230"/>
        <v>0</v>
      </c>
      <c r="BQ156" s="61">
        <f t="shared" si="242"/>
        <v>0</v>
      </c>
      <c r="BR156" s="58">
        <f t="shared" si="231"/>
        <v>0</v>
      </c>
      <c r="BS156" s="49">
        <f t="shared" si="232"/>
        <v>0</v>
      </c>
      <c r="BT156" s="61">
        <f t="shared" si="243"/>
        <v>0</v>
      </c>
      <c r="BU156" s="58">
        <f t="shared" si="209"/>
        <v>2.4100198702571513E-3</v>
      </c>
      <c r="BV156" s="49">
        <f t="shared" si="210"/>
        <v>3.6450000000000007E-3</v>
      </c>
      <c r="BW156" s="61">
        <f t="shared" si="211"/>
        <v>6.7499999999999999E-3</v>
      </c>
      <c r="BX156" s="49">
        <f t="shared" si="233"/>
        <v>0.84188071269893117</v>
      </c>
      <c r="BY156" s="49">
        <f t="shared" si="234"/>
        <v>1.0630496011237496</v>
      </c>
      <c r="BZ156" s="49">
        <f t="shared" si="235"/>
        <v>87.512705188709063</v>
      </c>
    </row>
    <row r="157" spans="17:78" ht="15" thickBot="1" x14ac:dyDescent="0.35">
      <c r="Q157" s="49">
        <v>150</v>
      </c>
      <c r="R157" s="219">
        <f t="shared" si="189"/>
        <v>7.5</v>
      </c>
      <c r="S157" s="220">
        <f t="shared" si="190"/>
        <v>15</v>
      </c>
      <c r="T157" s="221">
        <f t="shared" si="191"/>
        <v>0.5</v>
      </c>
      <c r="U157" s="219">
        <f t="shared" si="192"/>
        <v>1</v>
      </c>
      <c r="V157" s="220">
        <f t="shared" si="193"/>
        <v>0.54772255750516607</v>
      </c>
      <c r="W157" s="220">
        <f t="shared" si="194"/>
        <v>4.381780460041329E-2</v>
      </c>
      <c r="X157" s="220">
        <f t="shared" si="212"/>
        <v>0.40845963789442064</v>
      </c>
      <c r="Y157" s="219">
        <f t="shared" si="213"/>
        <v>0.9128709291752769</v>
      </c>
      <c r="Z157" s="220">
        <f t="shared" si="195"/>
        <v>1.8257418583505536</v>
      </c>
      <c r="AA157" s="220">
        <f>Y157+(Z157/2)</f>
        <v>1.8257418583505536</v>
      </c>
      <c r="AB157" s="221">
        <f t="shared" si="196"/>
        <v>0.78011577310690527</v>
      </c>
      <c r="AC157" s="219">
        <v>0</v>
      </c>
      <c r="AD157" s="220">
        <f t="shared" si="197"/>
        <v>0.69986771236771228</v>
      </c>
      <c r="AE157" s="221">
        <f t="shared" si="215"/>
        <v>0.69986771236771228</v>
      </c>
      <c r="AF157" s="58">
        <f t="shared" si="198"/>
        <v>0.15</v>
      </c>
      <c r="AG157" s="63">
        <f t="shared" si="199"/>
        <v>0.15</v>
      </c>
      <c r="AH157" s="62">
        <f t="shared" si="200"/>
        <v>4.2600643361512917E-2</v>
      </c>
      <c r="AI157" s="49">
        <f t="shared" si="201"/>
        <v>1.0847041426201682E-2</v>
      </c>
      <c r="AJ157" s="63">
        <f t="shared" si="216"/>
        <v>5.3447684787714597E-2</v>
      </c>
      <c r="AK157" s="219">
        <f t="shared" si="202"/>
        <v>7.5</v>
      </c>
      <c r="AL157" s="220">
        <f t="shared" si="203"/>
        <v>1500</v>
      </c>
      <c r="AM157" s="221">
        <f t="shared" si="217"/>
        <v>5.0000000000000001E-3</v>
      </c>
      <c r="AN157" s="219">
        <f t="shared" si="218"/>
        <v>2</v>
      </c>
      <c r="AO157" s="220">
        <f t="shared" si="219"/>
        <v>4.381780460041329E-2</v>
      </c>
      <c r="AP157" s="220">
        <f t="shared" si="220"/>
        <v>0.11410886614690961</v>
      </c>
      <c r="AQ157" s="220">
        <f t="shared" si="221"/>
        <v>0.2282177322938192</v>
      </c>
      <c r="AR157" s="220">
        <f t="shared" si="236"/>
        <v>0.2282177322938192</v>
      </c>
      <c r="AS157" s="221">
        <f t="shared" si="237"/>
        <v>2.7581257663723938E-2</v>
      </c>
      <c r="AT157" s="217"/>
      <c r="AU157" s="213">
        <f t="shared" si="222"/>
        <v>6.7500000000000004E-4</v>
      </c>
      <c r="AV157" s="218">
        <f t="shared" si="238"/>
        <v>6.7500000000000004E-4</v>
      </c>
      <c r="AW157" s="217">
        <f t="shared" si="223"/>
        <v>0</v>
      </c>
      <c r="AX157" s="213">
        <f t="shared" si="224"/>
        <v>5.7499999999999999E-3</v>
      </c>
      <c r="AY157" s="218">
        <f t="shared" si="239"/>
        <v>5.7499999999999999E-3</v>
      </c>
      <c r="AZ157" s="219">
        <f t="shared" si="204"/>
        <v>0</v>
      </c>
      <c r="BA157" s="220">
        <f t="shared" si="205"/>
        <v>0</v>
      </c>
      <c r="BB157" s="213">
        <f t="shared" si="240"/>
        <v>0</v>
      </c>
      <c r="BC157" s="61">
        <f t="shared" si="225"/>
        <v>0</v>
      </c>
      <c r="BD157" s="58">
        <v>0</v>
      </c>
      <c r="BE157" s="49">
        <f t="shared" si="226"/>
        <v>0</v>
      </c>
      <c r="BF157" s="61">
        <f t="shared" si="241"/>
        <v>0</v>
      </c>
      <c r="BG157" s="58">
        <f t="shared" si="227"/>
        <v>0</v>
      </c>
      <c r="BH157" s="49">
        <f t="shared" si="228"/>
        <v>0</v>
      </c>
      <c r="BI157" s="63">
        <f t="shared" si="229"/>
        <v>0</v>
      </c>
      <c r="BJ157" s="55"/>
      <c r="BK157" s="219">
        <f t="shared" si="206"/>
        <v>0</v>
      </c>
      <c r="BL157" s="220">
        <f t="shared" si="207"/>
        <v>0</v>
      </c>
      <c r="BM157" s="220">
        <f t="shared" si="208"/>
        <v>0</v>
      </c>
      <c r="BN157" s="61">
        <f t="shared" si="244"/>
        <v>0</v>
      </c>
      <c r="BO157" s="58">
        <v>0</v>
      </c>
      <c r="BP157" s="49">
        <f t="shared" si="230"/>
        <v>0</v>
      </c>
      <c r="BQ157" s="61">
        <f t="shared" si="242"/>
        <v>0</v>
      </c>
      <c r="BR157" s="58">
        <f t="shared" si="231"/>
        <v>0</v>
      </c>
      <c r="BS157" s="49">
        <f t="shared" si="232"/>
        <v>0</v>
      </c>
      <c r="BT157" s="61">
        <f t="shared" si="243"/>
        <v>0</v>
      </c>
      <c r="BU157" s="58">
        <f t="shared" si="209"/>
        <v>2.4343224778007378E-3</v>
      </c>
      <c r="BV157" s="49">
        <f t="shared" si="210"/>
        <v>3.6450000000000007E-3</v>
      </c>
      <c r="BW157" s="61">
        <f t="shared" si="211"/>
        <v>6.7499999999999999E-3</v>
      </c>
      <c r="BX157" s="49">
        <f t="shared" si="233"/>
        <v>0.8498677123677123</v>
      </c>
      <c r="BY157" s="49">
        <f t="shared" si="234"/>
        <v>1.0725697196332276</v>
      </c>
      <c r="BZ157" s="49">
        <f t="shared" si="235"/>
        <v>87.488352329444609</v>
      </c>
    </row>
  </sheetData>
  <mergeCells count="19">
    <mergeCell ref="BK4:BT4"/>
    <mergeCell ref="AF5:AG5"/>
    <mergeCell ref="R4:T5"/>
    <mergeCell ref="BK5:BN5"/>
    <mergeCell ref="BU5:BW5"/>
    <mergeCell ref="BD5:BF5"/>
    <mergeCell ref="AZ5:BC5"/>
    <mergeCell ref="BG5:BI5"/>
    <mergeCell ref="AZ4:BI4"/>
    <mergeCell ref="BO5:BQ5"/>
    <mergeCell ref="BR5:BT5"/>
    <mergeCell ref="A1:M1"/>
    <mergeCell ref="AH5:AJ5"/>
    <mergeCell ref="U4:AE4"/>
    <mergeCell ref="AK4:AY4"/>
    <mergeCell ref="AK5:AM5"/>
    <mergeCell ref="AN5:AS5"/>
    <mergeCell ref="AT5:AV5"/>
    <mergeCell ref="AW5:AY5"/>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1"/>
  <sheetViews>
    <sheetView topLeftCell="A34" zoomScaleNormal="100" workbookViewId="0">
      <selection activeCell="B59" sqref="B59"/>
    </sheetView>
  </sheetViews>
  <sheetFormatPr defaultRowHeight="14.4" x14ac:dyDescent="0.3"/>
  <cols>
    <col min="1" max="1" width="26.6640625" customWidth="1"/>
    <col min="2" max="2" width="25.5546875" customWidth="1"/>
    <col min="3" max="3" width="10.109375" customWidth="1"/>
  </cols>
  <sheetData>
    <row r="1" spans="1:9" ht="28.2" x14ac:dyDescent="0.5">
      <c r="A1" s="283" t="s">
        <v>71</v>
      </c>
      <c r="B1" s="283"/>
      <c r="C1" s="283"/>
      <c r="D1" s="283"/>
      <c r="E1" s="283"/>
      <c r="F1" s="283"/>
      <c r="G1" s="283"/>
      <c r="H1" s="283"/>
      <c r="I1" s="283"/>
    </row>
    <row r="2" spans="1:9" x14ac:dyDescent="0.3">
      <c r="A2" s="11"/>
      <c r="B2" s="11" t="s">
        <v>17</v>
      </c>
      <c r="C2" s="12"/>
      <c r="D2" s="17"/>
      <c r="E2" s="11"/>
      <c r="F2" s="11"/>
      <c r="G2" s="11"/>
      <c r="H2" s="11"/>
      <c r="I2" s="11"/>
    </row>
    <row r="3" spans="1:9" x14ac:dyDescent="0.3">
      <c r="A3" s="11"/>
      <c r="B3" s="11" t="s">
        <v>18</v>
      </c>
      <c r="C3" s="13"/>
      <c r="D3" s="17"/>
      <c r="E3" s="11"/>
      <c r="F3" s="11"/>
      <c r="G3" s="11"/>
      <c r="H3" s="11"/>
      <c r="I3" s="11"/>
    </row>
    <row r="4" spans="1:9" x14ac:dyDescent="0.3">
      <c r="A4" s="11"/>
      <c r="B4" s="11" t="s">
        <v>19</v>
      </c>
      <c r="C4" s="14"/>
      <c r="D4" s="17"/>
      <c r="E4" s="11"/>
      <c r="F4" s="11"/>
      <c r="G4" s="11"/>
      <c r="H4" s="11"/>
      <c r="I4" s="11"/>
    </row>
    <row r="5" spans="1:9" x14ac:dyDescent="0.3">
      <c r="A5" s="10" t="s">
        <v>20</v>
      </c>
      <c r="B5" s="10" t="s">
        <v>21</v>
      </c>
      <c r="C5" s="10" t="s">
        <v>22</v>
      </c>
      <c r="D5" s="17"/>
      <c r="E5" s="284" t="s">
        <v>23</v>
      </c>
      <c r="F5" s="284"/>
      <c r="G5" s="284"/>
      <c r="H5" s="284"/>
      <c r="I5" s="10"/>
    </row>
    <row r="6" spans="1:9" s="4" customFormat="1" x14ac:dyDescent="0.3">
      <c r="A6" s="10"/>
      <c r="B6" s="10"/>
      <c r="C6" s="10"/>
      <c r="D6" s="17"/>
      <c r="E6" s="19"/>
      <c r="F6" s="19"/>
      <c r="G6" s="19"/>
      <c r="H6" s="19"/>
      <c r="I6" s="10"/>
    </row>
    <row r="7" spans="1:9" s="31" customFormat="1" x14ac:dyDescent="0.3">
      <c r="A7" s="10" t="s">
        <v>446</v>
      </c>
      <c r="B7" s="10"/>
      <c r="C7" s="10"/>
      <c r="D7" s="17"/>
      <c r="E7" s="175"/>
      <c r="F7" s="175"/>
      <c r="G7" s="175"/>
      <c r="H7" s="175"/>
      <c r="I7" s="10"/>
    </row>
    <row r="8" spans="1:9" s="31" customFormat="1" x14ac:dyDescent="0.3">
      <c r="A8" s="179" t="s">
        <v>447</v>
      </c>
      <c r="B8" s="180">
        <v>0</v>
      </c>
      <c r="C8" s="179" t="s">
        <v>11</v>
      </c>
      <c r="D8" s="179" t="s">
        <v>448</v>
      </c>
      <c r="E8" s="175"/>
      <c r="F8" s="175"/>
      <c r="G8" s="175"/>
      <c r="H8" s="175"/>
      <c r="I8" s="10"/>
    </row>
    <row r="9" spans="1:9" s="4" customFormat="1" x14ac:dyDescent="0.3">
      <c r="A9" s="10" t="s">
        <v>51</v>
      </c>
      <c r="B9" s="10"/>
      <c r="C9" s="10"/>
      <c r="D9" s="17"/>
      <c r="E9" s="19"/>
      <c r="F9" s="19"/>
      <c r="G9" s="19"/>
      <c r="H9" s="19"/>
      <c r="I9" s="10"/>
    </row>
    <row r="10" spans="1:9" s="4" customFormat="1" x14ac:dyDescent="0.3">
      <c r="A10" s="10"/>
      <c r="B10" s="10"/>
      <c r="C10" s="10"/>
      <c r="D10" s="17"/>
      <c r="E10" s="19"/>
      <c r="F10" s="19"/>
      <c r="G10" s="19"/>
      <c r="H10" s="19"/>
      <c r="I10" s="10"/>
    </row>
    <row r="11" spans="1:9" x14ac:dyDescent="0.3">
      <c r="A11" t="s">
        <v>40</v>
      </c>
      <c r="B11" s="21">
        <v>0.8</v>
      </c>
      <c r="D11" t="s">
        <v>43</v>
      </c>
    </row>
    <row r="12" spans="1:9" s="4" customFormat="1" x14ac:dyDescent="0.3">
      <c r="A12" s="4" t="s">
        <v>44</v>
      </c>
      <c r="B12" s="22">
        <f>(1-B11)/(2.2*10^6)</f>
        <v>9.0909090909090888E-8</v>
      </c>
      <c r="C12" s="4" t="s">
        <v>47</v>
      </c>
      <c r="D12" s="4" t="s">
        <v>50</v>
      </c>
    </row>
    <row r="13" spans="1:9" x14ac:dyDescent="0.3">
      <c r="A13" s="4" t="s">
        <v>41</v>
      </c>
      <c r="B13" s="21">
        <v>0.85</v>
      </c>
      <c r="D13" s="4" t="s">
        <v>43</v>
      </c>
    </row>
    <row r="14" spans="1:9" s="4" customFormat="1" x14ac:dyDescent="0.3">
      <c r="A14" s="4" t="s">
        <v>45</v>
      </c>
      <c r="B14" s="22">
        <f>(1-B13)/(2.2*10^6)</f>
        <v>6.8181818181818186E-8</v>
      </c>
      <c r="C14" s="4" t="s">
        <v>47</v>
      </c>
      <c r="D14" s="4" t="s">
        <v>49</v>
      </c>
    </row>
    <row r="15" spans="1:9" x14ac:dyDescent="0.3">
      <c r="A15" s="4" t="s">
        <v>42</v>
      </c>
      <c r="B15" s="21">
        <v>0.9</v>
      </c>
      <c r="D15" s="4" t="s">
        <v>43</v>
      </c>
    </row>
    <row r="16" spans="1:9" x14ac:dyDescent="0.3">
      <c r="A16" t="s">
        <v>46</v>
      </c>
      <c r="B16" s="22">
        <f>(1-B15)/(2.2*10^6)</f>
        <v>4.5454545454545444E-8</v>
      </c>
      <c r="C16" t="s">
        <v>47</v>
      </c>
      <c r="D16" t="s">
        <v>48</v>
      </c>
    </row>
    <row r="18" spans="1:4" x14ac:dyDescent="0.3">
      <c r="A18" t="s">
        <v>52</v>
      </c>
      <c r="B18" s="21">
        <v>0.9</v>
      </c>
      <c r="D18" s="4" t="s">
        <v>57</v>
      </c>
    </row>
    <row r="19" spans="1:4" x14ac:dyDescent="0.3">
      <c r="A19" t="s">
        <v>53</v>
      </c>
      <c r="B19" s="21">
        <v>0.93</v>
      </c>
      <c r="D19" t="s">
        <v>55</v>
      </c>
    </row>
    <row r="20" spans="1:4" x14ac:dyDescent="0.3">
      <c r="A20" t="s">
        <v>54</v>
      </c>
      <c r="B20" s="21">
        <v>0.96</v>
      </c>
      <c r="D20" s="4" t="s">
        <v>58</v>
      </c>
    </row>
    <row r="21" spans="1:4" x14ac:dyDescent="0.3">
      <c r="B21" s="4">
        <f>IF(((1-D_limit_nom)/Constants!B14)&lt;Fsw,2,1)</f>
        <v>1</v>
      </c>
      <c r="D21" s="4" t="s">
        <v>64</v>
      </c>
    </row>
    <row r="22" spans="1:4" x14ac:dyDescent="0.3">
      <c r="A22" t="s">
        <v>69</v>
      </c>
      <c r="B22" s="1">
        <f>CHOOSE(B21,D_limit_nom,(1-Constants!B14*Fsw))</f>
        <v>0.93</v>
      </c>
      <c r="D22" s="4" t="s">
        <v>70</v>
      </c>
    </row>
    <row r="24" spans="1:4" x14ac:dyDescent="0.3">
      <c r="A24" t="s">
        <v>72</v>
      </c>
      <c r="B24" s="21">
        <f>50*10^-9</f>
        <v>5.0000000000000004E-8</v>
      </c>
      <c r="C24" t="s">
        <v>47</v>
      </c>
      <c r="D24" t="s">
        <v>73</v>
      </c>
    </row>
    <row r="25" spans="1:4" s="31" customFormat="1" x14ac:dyDescent="0.3">
      <c r="B25" s="21"/>
    </row>
    <row r="26" spans="1:4" ht="15.6" x14ac:dyDescent="0.3">
      <c r="A26" s="41" t="s">
        <v>135</v>
      </c>
    </row>
    <row r="27" spans="1:4" x14ac:dyDescent="0.3">
      <c r="A27" t="s">
        <v>109</v>
      </c>
      <c r="B27" s="21">
        <f>30*10^-6</f>
        <v>2.9999999999999997E-5</v>
      </c>
      <c r="C27" t="s">
        <v>12</v>
      </c>
      <c r="D27" t="s">
        <v>110</v>
      </c>
    </row>
    <row r="28" spans="1:4" x14ac:dyDescent="0.3">
      <c r="A28" t="s">
        <v>111</v>
      </c>
      <c r="B28" s="21">
        <v>1333</v>
      </c>
      <c r="C28" s="2" t="s">
        <v>35</v>
      </c>
      <c r="D28" t="s">
        <v>112</v>
      </c>
    </row>
    <row r="29" spans="1:4" x14ac:dyDescent="0.3">
      <c r="A29" t="s">
        <v>115</v>
      </c>
      <c r="B29" s="21">
        <f>0.1</f>
        <v>0.1</v>
      </c>
      <c r="C29" s="2" t="s">
        <v>11</v>
      </c>
      <c r="D29" t="s">
        <v>116</v>
      </c>
    </row>
    <row r="31" spans="1:4" x14ac:dyDescent="0.3">
      <c r="A31" t="s">
        <v>190</v>
      </c>
      <c r="B31" s="21">
        <v>0.14199999999999999</v>
      </c>
      <c r="C31" t="s">
        <v>144</v>
      </c>
      <c r="D31" t="s">
        <v>192</v>
      </c>
    </row>
    <row r="32" spans="1:4" x14ac:dyDescent="0.3">
      <c r="A32" t="s">
        <v>194</v>
      </c>
      <c r="B32" s="21">
        <v>1</v>
      </c>
      <c r="C32" t="s">
        <v>144</v>
      </c>
      <c r="D32" t="s">
        <v>195</v>
      </c>
    </row>
    <row r="34" spans="1:4" s="31" customFormat="1" x14ac:dyDescent="0.3">
      <c r="A34" s="46" t="s">
        <v>215</v>
      </c>
    </row>
    <row r="35" spans="1:4" s="31" customFormat="1" x14ac:dyDescent="0.3">
      <c r="A35" s="31" t="s">
        <v>234</v>
      </c>
      <c r="B35" s="31">
        <v>1</v>
      </c>
      <c r="C35" s="31" t="s">
        <v>11</v>
      </c>
      <c r="D35" s="31" t="s">
        <v>235</v>
      </c>
    </row>
    <row r="36" spans="1:4" x14ac:dyDescent="0.3">
      <c r="A36" t="s">
        <v>219</v>
      </c>
      <c r="B36">
        <f>(2*10^-3)/1</f>
        <v>2E-3</v>
      </c>
      <c r="C36" t="s">
        <v>221</v>
      </c>
      <c r="D36" t="s">
        <v>220</v>
      </c>
    </row>
    <row r="37" spans="1:4" s="31" customFormat="1" x14ac:dyDescent="0.3">
      <c r="A37" s="31" t="s">
        <v>540</v>
      </c>
      <c r="B37" s="31">
        <v>2.5</v>
      </c>
      <c r="C37" s="31" t="s">
        <v>11</v>
      </c>
      <c r="D37" s="31" t="s">
        <v>541</v>
      </c>
    </row>
    <row r="38" spans="1:4" s="31" customFormat="1" x14ac:dyDescent="0.3">
      <c r="A38" s="31" t="s">
        <v>542</v>
      </c>
      <c r="B38" s="31">
        <f>1.6*10^-3</f>
        <v>1.6000000000000001E-3</v>
      </c>
      <c r="C38" s="31" t="s">
        <v>12</v>
      </c>
      <c r="D38" s="31" t="s">
        <v>543</v>
      </c>
    </row>
    <row r="39" spans="1:4" s="31" customFormat="1" x14ac:dyDescent="0.3"/>
    <row r="40" spans="1:4" s="31" customFormat="1" x14ac:dyDescent="0.3"/>
    <row r="41" spans="1:4" s="31" customFormat="1" x14ac:dyDescent="0.3"/>
    <row r="42" spans="1:4" s="31" customFormat="1" x14ac:dyDescent="0.3"/>
    <row r="44" spans="1:4" x14ac:dyDescent="0.3">
      <c r="A44" s="46" t="s">
        <v>286</v>
      </c>
    </row>
    <row r="45" spans="1:4" x14ac:dyDescent="0.3">
      <c r="A45" t="s">
        <v>287</v>
      </c>
      <c r="B45">
        <f>10*10^-6</f>
        <v>9.9999999999999991E-6</v>
      </c>
      <c r="C45" t="s">
        <v>12</v>
      </c>
      <c r="D45" t="s">
        <v>288</v>
      </c>
    </row>
    <row r="47" spans="1:4" x14ac:dyDescent="0.3">
      <c r="A47" s="46" t="s">
        <v>308</v>
      </c>
    </row>
    <row r="48" spans="1:4" x14ac:dyDescent="0.3">
      <c r="A48" t="s">
        <v>309</v>
      </c>
      <c r="B48">
        <v>1.5</v>
      </c>
      <c r="C48" t="s">
        <v>11</v>
      </c>
      <c r="D48" t="s">
        <v>312</v>
      </c>
    </row>
    <row r="49" spans="1:4" x14ac:dyDescent="0.3">
      <c r="A49" t="s">
        <v>310</v>
      </c>
      <c r="B49">
        <v>1.45</v>
      </c>
      <c r="C49" t="s">
        <v>11</v>
      </c>
      <c r="D49" t="s">
        <v>311</v>
      </c>
    </row>
    <row r="50" spans="1:4" x14ac:dyDescent="0.3">
      <c r="A50" t="s">
        <v>315</v>
      </c>
      <c r="B50">
        <f>5*10^-6</f>
        <v>4.9999999999999996E-6</v>
      </c>
      <c r="C50" t="s">
        <v>12</v>
      </c>
      <c r="D50" t="s">
        <v>316</v>
      </c>
    </row>
    <row r="52" spans="1:4" x14ac:dyDescent="0.3">
      <c r="A52" s="46" t="s">
        <v>361</v>
      </c>
    </row>
    <row r="53" spans="1:4" x14ac:dyDescent="0.3">
      <c r="A53" t="s">
        <v>362</v>
      </c>
      <c r="B53">
        <v>6.75</v>
      </c>
      <c r="C53" t="s">
        <v>11</v>
      </c>
      <c r="D53" t="s">
        <v>363</v>
      </c>
    </row>
    <row r="55" spans="1:4" x14ac:dyDescent="0.3">
      <c r="A55" s="46" t="s">
        <v>375</v>
      </c>
    </row>
    <row r="56" spans="1:4" x14ac:dyDescent="0.3">
      <c r="A56" t="s">
        <v>376</v>
      </c>
      <c r="B56">
        <f>450*(10^-6)</f>
        <v>4.4999999999999999E-4</v>
      </c>
      <c r="C56" t="s">
        <v>12</v>
      </c>
      <c r="D56" t="s">
        <v>377</v>
      </c>
    </row>
    <row r="58" spans="1:4" x14ac:dyDescent="0.3">
      <c r="A58" t="s">
        <v>407</v>
      </c>
    </row>
    <row r="59" spans="1:4" x14ac:dyDescent="0.3">
      <c r="A59" t="s">
        <v>408</v>
      </c>
      <c r="B59">
        <v>1.5</v>
      </c>
      <c r="C59" t="s">
        <v>11</v>
      </c>
      <c r="D59" t="s">
        <v>409</v>
      </c>
    </row>
    <row r="60" spans="1:4" x14ac:dyDescent="0.3">
      <c r="A60" s="31" t="s">
        <v>411</v>
      </c>
      <c r="B60">
        <v>45</v>
      </c>
      <c r="C60" t="s">
        <v>11</v>
      </c>
      <c r="D60" t="s">
        <v>410</v>
      </c>
    </row>
    <row r="61" spans="1:4" x14ac:dyDescent="0.3">
      <c r="A61" t="s">
        <v>707</v>
      </c>
      <c r="B61">
        <v>60</v>
      </c>
      <c r="C61" t="s">
        <v>11</v>
      </c>
      <c r="D61" t="s">
        <v>708</v>
      </c>
    </row>
  </sheetData>
  <mergeCells count="2">
    <mergeCell ref="A1:I1"/>
    <mergeCell ref="E5:H5"/>
  </mergeCells>
  <conditionalFormatting sqref="H14">
    <cfRule type="cellIs" priority="1" operator="lessThan">
      <formula>100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9"/>
  <sheetViews>
    <sheetView topLeftCell="B4" zoomScale="70" zoomScaleNormal="70" workbookViewId="0">
      <selection activeCell="C14" sqref="C14"/>
    </sheetView>
  </sheetViews>
  <sheetFormatPr defaultColWidth="9.33203125" defaultRowHeight="14.4" x14ac:dyDescent="0.3"/>
  <cols>
    <col min="1" max="2" width="9.33203125" style="49"/>
    <col min="3" max="3" width="145.88671875" style="206" customWidth="1"/>
    <col min="4" max="16384" width="9.33203125" style="49"/>
  </cols>
  <sheetData>
    <row r="2" spans="2:2" x14ac:dyDescent="0.3">
      <c r="B2" s="49" t="str">
        <f>CHOOSE(Variable_Management!B13,"Eff_OUT_1","Eff_OUT_2","Eff_OUT_3")</f>
        <v>Eff_OUT_1</v>
      </c>
    </row>
    <row r="3" spans="2:2" ht="379.65" customHeight="1" x14ac:dyDescent="0.3"/>
    <row r="6" spans="2:2" ht="379.65" customHeight="1" x14ac:dyDescent="0.3"/>
    <row r="9" spans="2:2" ht="379.95" customHeight="1" x14ac:dyDescent="0.3"/>
  </sheetData>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
  <sheetViews>
    <sheetView workbookViewId="0">
      <selection activeCell="F15" sqref="F15"/>
    </sheetView>
  </sheetViews>
  <sheetFormatPr defaultRowHeight="14.4" x14ac:dyDescent="0.3"/>
  <sheetData>
    <row r="1" spans="1:12" x14ac:dyDescent="0.3">
      <c r="I1" t="s">
        <v>514</v>
      </c>
    </row>
    <row r="2" spans="1:12" ht="18" x14ac:dyDescent="0.35">
      <c r="A2" t="s">
        <v>387</v>
      </c>
      <c r="F2" t="s">
        <v>432</v>
      </c>
      <c r="I2" s="239" t="s">
        <v>515</v>
      </c>
      <c r="L2" t="s">
        <v>635</v>
      </c>
    </row>
    <row r="3" spans="1:12" ht="18" x14ac:dyDescent="0.35">
      <c r="B3">
        <f>VIN_min</f>
        <v>14</v>
      </c>
      <c r="F3" t="s">
        <v>432</v>
      </c>
      <c r="G3">
        <v>1</v>
      </c>
      <c r="I3" s="239" t="s">
        <v>516</v>
      </c>
      <c r="L3" t="s">
        <v>636</v>
      </c>
    </row>
    <row r="4" spans="1:12" x14ac:dyDescent="0.3">
      <c r="B4">
        <f>VIN_nom</f>
        <v>15</v>
      </c>
      <c r="D4">
        <v>2.5</v>
      </c>
      <c r="G4">
        <v>0</v>
      </c>
      <c r="L4" t="s">
        <v>637</v>
      </c>
    </row>
    <row r="5" spans="1:12" x14ac:dyDescent="0.3">
      <c r="B5">
        <f>VIN_max</f>
        <v>16.8</v>
      </c>
    </row>
  </sheetData>
  <dataValidations count="3">
    <dataValidation type="list" allowBlank="1" showInputMessage="1" showErrorMessage="1" sqref="D4" xr:uid="{00000000-0002-0000-0700-000000000000}">
      <formula1>$B$3:$B$5</formula1>
    </dataValidation>
    <dataValidation type="decimal" allowBlank="1" showInputMessage="1" showErrorMessage="1" sqref="F4" xr:uid="{00000000-0002-0000-0700-000001000000}">
      <formula1>B3</formula1>
      <formula2>B5</formula2>
    </dataValidation>
    <dataValidation type="list" showDropDown="1" showInputMessage="1" showErrorMessage="1" sqref="I15" xr:uid="{00000000-0002-0000-0700-000002000000}">
      <formula1>$B$3:$B$5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202</vt:i4>
      </vt:variant>
    </vt:vector>
  </HeadingPairs>
  <TitlesOfParts>
    <vt:vector size="213" baseType="lpstr">
      <vt:lpstr>Design Converter</vt:lpstr>
      <vt:lpstr>Licenses</vt:lpstr>
      <vt:lpstr>Variable_Management</vt:lpstr>
      <vt:lpstr>CCM_Loop_Modeling_Isolated</vt:lpstr>
      <vt:lpstr>CCM_Loop_Modeling_non_isolated</vt:lpstr>
      <vt:lpstr>Eff_vs_IOUT</vt:lpstr>
      <vt:lpstr>Constants</vt:lpstr>
      <vt:lpstr>Plot_Management_Eff</vt:lpstr>
      <vt:lpstr>Lists</vt:lpstr>
      <vt:lpstr>Plot Management_Loop</vt:lpstr>
      <vt:lpstr>Plot Management_Sch</vt:lpstr>
      <vt:lpstr>Acs</vt:lpstr>
      <vt:lpstr>CCM_Loop_Modeling_Isolated!Adc</vt:lpstr>
      <vt:lpstr>Adc</vt:lpstr>
      <vt:lpstr>Adc_ea</vt:lpstr>
      <vt:lpstr>CCM_Loop_Modeling_Isolated!Adc_ea_iso</vt:lpstr>
      <vt:lpstr>ADC_VINmin</vt:lpstr>
      <vt:lpstr>CCOMP</vt:lpstr>
      <vt:lpstr>CComp_calc</vt:lpstr>
      <vt:lpstr>Ccomp_iso</vt:lpstr>
      <vt:lpstr>Ccomp_iso_calc</vt:lpstr>
      <vt:lpstr>CD3_</vt:lpstr>
      <vt:lpstr>CHF</vt:lpstr>
      <vt:lpstr>Comp_calc</vt:lpstr>
      <vt:lpstr>Copto</vt:lpstr>
      <vt:lpstr>Cout_total</vt:lpstr>
      <vt:lpstr>Cout1</vt:lpstr>
      <vt:lpstr>Cout1_min</vt:lpstr>
      <vt:lpstr>Cout2</vt:lpstr>
      <vt:lpstr>Cout2_min</vt:lpstr>
      <vt:lpstr>Cout3</vt:lpstr>
      <vt:lpstr>Cout3_min</vt:lpstr>
      <vt:lpstr>D_limit_max</vt:lpstr>
      <vt:lpstr>D_limit_min</vt:lpstr>
      <vt:lpstr>D_limit_nom</vt:lpstr>
      <vt:lpstr>CCM_Loop_Modeling_Isolated!Dc_var_ccm</vt:lpstr>
      <vt:lpstr>Dc_var_ccm</vt:lpstr>
      <vt:lpstr>Dc_VIN_max</vt:lpstr>
      <vt:lpstr>Dc_VIN_min</vt:lpstr>
      <vt:lpstr>Dc_VIN_nom</vt:lpstr>
      <vt:lpstr>Dmax_limit</vt:lpstr>
      <vt:lpstr>EFF_est</vt:lpstr>
      <vt:lpstr>Eff_OUT_1</vt:lpstr>
      <vt:lpstr>Eff_OUT_2</vt:lpstr>
      <vt:lpstr>Eff_OUT_3</vt:lpstr>
      <vt:lpstr>Eff_vs_IOUT</vt:lpstr>
      <vt:lpstr>EN_OUT_2</vt:lpstr>
      <vt:lpstr>EN_OUT_3</vt:lpstr>
      <vt:lpstr>FB_type</vt:lpstr>
      <vt:lpstr>fcross</vt:lpstr>
      <vt:lpstr>fcross_est</vt:lpstr>
      <vt:lpstr>fcross_iso</vt:lpstr>
      <vt:lpstr>fcross_iso_est</vt:lpstr>
      <vt:lpstr>fopto</vt:lpstr>
      <vt:lpstr>fp_ea_est</vt:lpstr>
      <vt:lpstr>Fsw</vt:lpstr>
      <vt:lpstr>fz_ea_est</vt:lpstr>
      <vt:lpstr>fz_rhp</vt:lpstr>
      <vt:lpstr>Gcomp</vt:lpstr>
      <vt:lpstr>Gea_mid_calc</vt:lpstr>
      <vt:lpstr>gfs</vt:lpstr>
      <vt:lpstr>gm_ea</vt:lpstr>
      <vt:lpstr>CCM_Loop_Modeling_Isolated!Gplant_fc_dB</vt:lpstr>
      <vt:lpstr>Gplant_fc_dB</vt:lpstr>
      <vt:lpstr>Icomp_sink_max</vt:lpstr>
      <vt:lpstr>IL_avg_VIN_max</vt:lpstr>
      <vt:lpstr>IL_avg_VIN_min</vt:lpstr>
      <vt:lpstr>IL_avg_VIN_nom</vt:lpstr>
      <vt:lpstr>IL_pk</vt:lpstr>
      <vt:lpstr>IL_pk_max</vt:lpstr>
      <vt:lpstr>ILp_VINmax</vt:lpstr>
      <vt:lpstr>ILp_VINmin</vt:lpstr>
      <vt:lpstr>ILp_VINnom</vt:lpstr>
      <vt:lpstr>ILrip</vt:lpstr>
      <vt:lpstr>ILrip_VINmax</vt:lpstr>
      <vt:lpstr>ILrip_VINmin</vt:lpstr>
      <vt:lpstr>ILrip_VINnom</vt:lpstr>
      <vt:lpstr>IOUT1</vt:lpstr>
      <vt:lpstr>IOUT2</vt:lpstr>
      <vt:lpstr>IOUT3</vt:lpstr>
      <vt:lpstr>Ipk_margin</vt:lpstr>
      <vt:lpstr>Ipk_selected</vt:lpstr>
      <vt:lpstr>IQ</vt:lpstr>
      <vt:lpstr>IRMS_COUT</vt:lpstr>
      <vt:lpstr>Isl</vt:lpstr>
      <vt:lpstr>Iss</vt:lpstr>
      <vt:lpstr>kopto_max</vt:lpstr>
      <vt:lpstr>kopto_min</vt:lpstr>
      <vt:lpstr>Kslope</vt:lpstr>
      <vt:lpstr>Lm</vt:lpstr>
      <vt:lpstr>LOOP_ISO</vt:lpstr>
      <vt:lpstr>LOOP_nISO</vt:lpstr>
      <vt:lpstr>CCM_Loop_Modeling_Isolated!mc</vt:lpstr>
      <vt:lpstr>mc</vt:lpstr>
      <vt:lpstr>Np</vt:lpstr>
      <vt:lpstr>NS1_</vt:lpstr>
      <vt:lpstr>NS2_</vt:lpstr>
      <vt:lpstr>NS3_</vt:lpstr>
      <vt:lpstr>POUT_Total</vt:lpstr>
      <vt:lpstr>CCM_Loop_Modeling_Isolated!Pout_var</vt:lpstr>
      <vt:lpstr>Pout_var</vt:lpstr>
      <vt:lpstr>POUT1</vt:lpstr>
      <vt:lpstr>POUT2</vt:lpstr>
      <vt:lpstr>POUT3</vt:lpstr>
      <vt:lpstr>'Design Converter'!Print_Area</vt:lpstr>
      <vt:lpstr>CCM_Loop_Modeling_Isolated!Q</vt:lpstr>
      <vt:lpstr>Q</vt:lpstr>
      <vt:lpstr>Q_VINmin</vt:lpstr>
      <vt:lpstr>Qg_tot</vt:lpstr>
      <vt:lpstr>Qgd</vt:lpstr>
      <vt:lpstr>Qgs</vt:lpstr>
      <vt:lpstr>QRR1_</vt:lpstr>
      <vt:lpstr>QRR2_</vt:lpstr>
      <vt:lpstr>QRR3_</vt:lpstr>
      <vt:lpstr>R_cs</vt:lpstr>
      <vt:lpstr>R_sl</vt:lpstr>
      <vt:lpstr>RCOMP</vt:lpstr>
      <vt:lpstr>Rcomp_calc</vt:lpstr>
      <vt:lpstr>Rcomp_iso</vt:lpstr>
      <vt:lpstr>Rcs_max</vt:lpstr>
      <vt:lpstr>Rcs_w_sl</vt:lpstr>
      <vt:lpstr>Rcs_wo_sl</vt:lpstr>
      <vt:lpstr>Rdcr</vt:lpstr>
      <vt:lpstr>Rdcr1</vt:lpstr>
      <vt:lpstr>Rdcr2</vt:lpstr>
      <vt:lpstr>Rdcr3</vt:lpstr>
      <vt:lpstr>RDS_on</vt:lpstr>
      <vt:lpstr>Resr_total</vt:lpstr>
      <vt:lpstr>Resr1</vt:lpstr>
      <vt:lpstr>Resr2</vt:lpstr>
      <vt:lpstr>Resr2_Trans</vt:lpstr>
      <vt:lpstr>Resr3</vt:lpstr>
      <vt:lpstr>Resr3_Trans</vt:lpstr>
      <vt:lpstr>RFBB</vt:lpstr>
      <vt:lpstr>RFBB_calc</vt:lpstr>
      <vt:lpstr>RFBB_iso</vt:lpstr>
      <vt:lpstr>RFBB_iso_calc</vt:lpstr>
      <vt:lpstr>RFBT</vt:lpstr>
      <vt:lpstr>RFBT_iso</vt:lpstr>
      <vt:lpstr>Rgate</vt:lpstr>
      <vt:lpstr>RLED</vt:lpstr>
      <vt:lpstr>ROUT1</vt:lpstr>
      <vt:lpstr>ROUT2</vt:lpstr>
      <vt:lpstr>ROUT3</vt:lpstr>
      <vt:lpstr>Rpullup</vt:lpstr>
      <vt:lpstr>Rpullup_min</vt:lpstr>
      <vt:lpstr>Rsl_int</vt:lpstr>
      <vt:lpstr>RT</vt:lpstr>
      <vt:lpstr>Ruvlo_bottom_calc</vt:lpstr>
      <vt:lpstr>Ruvlo_top</vt:lpstr>
      <vt:lpstr>Ruvlo_top_calc</vt:lpstr>
      <vt:lpstr>sch_ISO_1</vt:lpstr>
      <vt:lpstr>sch_ISO_2</vt:lpstr>
      <vt:lpstr>sch_ISO_3</vt:lpstr>
      <vt:lpstr>sch_nISO_1</vt:lpstr>
      <vt:lpstr>sch_nISO_2</vt:lpstr>
      <vt:lpstr>sch_nISO_3</vt:lpstr>
      <vt:lpstr>Se_VINmin</vt:lpstr>
      <vt:lpstr>Sn_VINmin</vt:lpstr>
      <vt:lpstr>tf_sw</vt:lpstr>
      <vt:lpstr>tr_sw</vt:lpstr>
      <vt:lpstr>tss</vt:lpstr>
      <vt:lpstr>UV_fall</vt:lpstr>
      <vt:lpstr>UV_I_hyst</vt:lpstr>
      <vt:lpstr>UV_rise</vt:lpstr>
      <vt:lpstr>Vcc</vt:lpstr>
      <vt:lpstr>VCE_sat</vt:lpstr>
      <vt:lpstr>Vcl</vt:lpstr>
      <vt:lpstr>Vcomp_max</vt:lpstr>
      <vt:lpstr>VD</vt:lpstr>
      <vt:lpstr>Vd_opto</vt:lpstr>
      <vt:lpstr>VD1_</vt:lpstr>
      <vt:lpstr>VD2_</vt:lpstr>
      <vt:lpstr>VD3_</vt:lpstr>
      <vt:lpstr>VIN_max</vt:lpstr>
      <vt:lpstr>VIN_min</vt:lpstr>
      <vt:lpstr>VIN_nom</vt:lpstr>
      <vt:lpstr>VIN_op_max</vt:lpstr>
      <vt:lpstr>VIN_op_max_56</vt:lpstr>
      <vt:lpstr>VIN_op_min</vt:lpstr>
      <vt:lpstr>VIN_var</vt:lpstr>
      <vt:lpstr>VOUT1</vt:lpstr>
      <vt:lpstr>Vout1_rip_sel</vt:lpstr>
      <vt:lpstr>VOUT2</vt:lpstr>
      <vt:lpstr>Vout2_rip_sel</vt:lpstr>
      <vt:lpstr>VOUT3</vt:lpstr>
      <vt:lpstr>Vout3_rip_sel</vt:lpstr>
      <vt:lpstr>Vpullup</vt:lpstr>
      <vt:lpstr>Vref</vt:lpstr>
      <vt:lpstr>Vref_iso</vt:lpstr>
      <vt:lpstr>Vth</vt:lpstr>
      <vt:lpstr>Vuvlo_off</vt:lpstr>
      <vt:lpstr>Vuvlo_on</vt:lpstr>
      <vt:lpstr>CCM_Loop_Modeling_Isolated!wp_lf</vt:lpstr>
      <vt:lpstr>wp_lf</vt:lpstr>
      <vt:lpstr>wp_lf_VINmin</vt:lpstr>
      <vt:lpstr>wp0_ea</vt:lpstr>
      <vt:lpstr>wp1_ea</vt:lpstr>
      <vt:lpstr>CCM_Loop_Modeling_Isolated!wpA_ea_iso</vt:lpstr>
      <vt:lpstr>CCM_Loop_Modeling_Isolated!wpB_ea_iso</vt:lpstr>
      <vt:lpstr>wpC_ea_iso</vt:lpstr>
      <vt:lpstr>CCM_Loop_Modeling_Isolated!wsl</vt:lpstr>
      <vt:lpstr>wsl</vt:lpstr>
      <vt:lpstr>wsl_VINmin</vt:lpstr>
      <vt:lpstr>wz_ea</vt:lpstr>
      <vt:lpstr>CCM_Loop_Modeling_Isolated!wz_esr</vt:lpstr>
      <vt:lpstr>wz_esr</vt:lpstr>
      <vt:lpstr>wz_esr_VINmin</vt:lpstr>
      <vt:lpstr>CCM_Loop_Modeling_Isolated!wz_rhp</vt:lpstr>
      <vt:lpstr>wz_rhp</vt:lpstr>
      <vt:lpstr>wz_RHP_VINmin</vt:lpstr>
      <vt:lpstr>wz1_ea_iso</vt:lpstr>
      <vt:lpstr>CCM_Loop_Modeling_Isolated!wz2_ea_iso</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BMC-BCS</dc:creator>
  <cp:lastModifiedBy>Clayten Tew</cp:lastModifiedBy>
  <cp:lastPrinted>2018-08-09T07:13:51Z</cp:lastPrinted>
  <dcterms:created xsi:type="dcterms:W3CDTF">2018-06-26T09:13:29Z</dcterms:created>
  <dcterms:modified xsi:type="dcterms:W3CDTF">2024-02-01T17:10:53Z</dcterms:modified>
</cp:coreProperties>
</file>